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2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3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4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5.xml" ContentType="application/vnd.openxmlformats-officedocument.spreadsheetml.comments+xml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4385" yWindow="-15" windowWidth="14430" windowHeight="11760" tabRatio="868"/>
  </bookViews>
  <sheets>
    <sheet name="Summary &gt;&gt;&gt;" sheetId="104" r:id="rId1"/>
    <sheet name="Summary of Rates" sheetId="108" r:id="rId2"/>
    <sheet name="Summary of Revenue" sheetId="72" r:id="rId3"/>
    <sheet name="Summary of Stats" sheetId="78" r:id="rId4"/>
    <sheet name="Exhibits&gt;" sheetId="116" r:id="rId5"/>
    <sheet name="Bill Frequency" sheetId="20" r:id="rId6"/>
    <sheet name="Test Year Revenue Present" sheetId="76" r:id="rId7"/>
    <sheet name="Contract &amp; Vol Adj" sheetId="56" r:id="rId8"/>
    <sheet name="WNA Summary" sheetId="55" r:id="rId9"/>
    <sheet name="WNA" sheetId="113" r:id="rId10"/>
    <sheet name="Test Year Monthly - (Pres)" sheetId="65" r:id="rId11"/>
    <sheet name="Test Year Revenue Proposed" sheetId="91" r:id="rId12"/>
    <sheet name="Test Year Monthly - (Prop)" sheetId="115" r:id="rId13"/>
    <sheet name="Work Papers&gt;" sheetId="105" r:id="rId14"/>
    <sheet name="Rate Design" sheetId="44" r:id="rId15"/>
    <sheet name="Monthly Forecast" sheetId="60" r:id="rId16"/>
    <sheet name="TBS Adjustments" sheetId="117" r:id="rId17"/>
    <sheet name="Peak Day Estimate" sheetId="81" r:id="rId18"/>
    <sheet name="Other Revenue" sheetId="64" r:id="rId19"/>
    <sheet name="HDDs" sheetId="82" r:id="rId20"/>
    <sheet name="Gas Cost Worksheet" sheetId="80" r:id="rId21"/>
    <sheet name="CCS Extract" sheetId="61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123Graph_A" hidden="1">#REF!</definedName>
    <definedName name="__123Graph_B" hidden="1">#REF!</definedName>
    <definedName name="__123Graph_X" hidden="1">#REF!</definedName>
    <definedName name="_Dist_Bin" localSheetId="20" hidden="1">#REF!</definedName>
    <definedName name="_Dist_Bin" hidden="1">#REF!</definedName>
    <definedName name="_Dist_Values" localSheetId="20" hidden="1">#REF!</definedName>
    <definedName name="_Dist_Values" hidden="1">#REF!</definedName>
    <definedName name="_Fill" localSheetId="4" hidden="1">#REF!</definedName>
    <definedName name="_Fill" localSheetId="20" hidden="1">#REF!</definedName>
    <definedName name="_Fill" localSheetId="3" hidden="1">#REF!</definedName>
    <definedName name="_Fill" localSheetId="12" hidden="1">#REF!</definedName>
    <definedName name="_Fill" localSheetId="11" hidden="1">#REF!</definedName>
    <definedName name="_Fill" localSheetId="9" hidden="1">#REF!</definedName>
    <definedName name="_Fill" hidden="1">#REF!</definedName>
    <definedName name="_xlnm._FilterDatabase" localSheetId="16" hidden="1">'TBS Adjustments'!$A$4:$P$147</definedName>
    <definedName name="_Order1" hidden="1">255</definedName>
    <definedName name="_Order2" hidden="1">255</definedName>
    <definedName name="_Regression_Out" localSheetId="4" hidden="1">#REF!</definedName>
    <definedName name="_Regression_Out" localSheetId="3" hidden="1">#REF!</definedName>
    <definedName name="_Regression_Out" localSheetId="12" hidden="1">#REF!</definedName>
    <definedName name="_Regression_Out" localSheetId="11" hidden="1">#REF!</definedName>
    <definedName name="_Regression_Out" localSheetId="9" hidden="1">#REF!</definedName>
    <definedName name="_Regression_Out" hidden="1">#REF!</definedName>
    <definedName name="_Regression_Y" localSheetId="4" hidden="1">#REF!</definedName>
    <definedName name="_Regression_Y" localSheetId="3" hidden="1">#REF!</definedName>
    <definedName name="_Regression_Y" localSheetId="12" hidden="1">#REF!</definedName>
    <definedName name="_Regression_Y" localSheetId="11" hidden="1">#REF!</definedName>
    <definedName name="_Regression_Y" localSheetId="9" hidden="1">#REF!</definedName>
    <definedName name="_Regression_Y" hidden="1">#REF!</definedName>
    <definedName name="_xlnm.Print_Area" localSheetId="5">'Bill Frequency'!$A$1:$R$86</definedName>
    <definedName name="_xlnm.Print_Area" localSheetId="7">'Contract &amp; Vol Adj'!$A$1:$R$84</definedName>
    <definedName name="_xlnm.Print_Area" localSheetId="4">'Exhibits&gt;'!$A$1:$I$44</definedName>
    <definedName name="_xlnm.Print_Area" localSheetId="20">'Gas Cost Worksheet'!$A$1:$CD$146</definedName>
    <definedName name="_xlnm.Print_Area" localSheetId="19">HDDs!$A$1:$G$30</definedName>
    <definedName name="_xlnm.Print_Area" localSheetId="15">'Monthly Forecast'!$A$1:$CI$104</definedName>
    <definedName name="_xlnm.Print_Area" localSheetId="0">'Summary &gt;&gt;&gt;'!$A$1:$J$44</definedName>
    <definedName name="_xlnm.Print_Area" localSheetId="1">'Summary of Rates'!$A$1:$F$51</definedName>
    <definedName name="_xlnm.Print_Area" localSheetId="16">'TBS Adjustments'!$A$1:$P$186</definedName>
    <definedName name="_xlnm.Print_Area" localSheetId="10">'Test Year Monthly - (Pres)'!$A$1:$P$105</definedName>
    <definedName name="_xlnm.Print_Area" localSheetId="12">'Test Year Monthly - (Prop)'!$A$1:$P$105</definedName>
    <definedName name="_xlnm.Print_Area" localSheetId="6">'Test Year Revenue Present'!$A$1:$P$51</definedName>
    <definedName name="_xlnm.Print_Area" localSheetId="11">'Test Year Revenue Proposed'!$A$1:$P$51</definedName>
    <definedName name="_xlnm.Print_Area" localSheetId="9">WNA!$A$13:$N$95</definedName>
    <definedName name="_xlnm.Print_Area" localSheetId="8">'WNA Summary'!$A$1:$S$32</definedName>
    <definedName name="_xlnm.Print_Area" localSheetId="13">'Work Papers&gt;'!$A$1:$J$44</definedName>
    <definedName name="_xlnm.Print_Titles" localSheetId="7">'Contract &amp; Vol Adj'!$1:$11</definedName>
    <definedName name="_xlnm.Print_Titles" localSheetId="10">'Test Year Monthly - (Pres)'!$1:$11</definedName>
    <definedName name="_xlnm.Print_Titles" localSheetId="12">'Test Year Monthly - (Prop)'!$1:$11</definedName>
    <definedName name="_xlnm.Print_Titles" localSheetId="9">WNA!$A:$B,WNA!$3:$16</definedName>
  </definedNames>
  <calcPr calcId="145621" iterate="1"/>
</workbook>
</file>

<file path=xl/calcChain.xml><?xml version="1.0" encoding="utf-8"?>
<calcChain xmlns="http://schemas.openxmlformats.org/spreadsheetml/2006/main">
  <c r="D40" i="108" l="1"/>
  <c r="E40" i="108"/>
  <c r="F40" i="108"/>
  <c r="D41" i="108"/>
  <c r="E41" i="108"/>
  <c r="F41" i="108"/>
  <c r="D42" i="108"/>
  <c r="E42" i="108"/>
  <c r="F42" i="108"/>
  <c r="D43" i="108"/>
  <c r="E43" i="108"/>
  <c r="F43" i="108"/>
  <c r="D44" i="108"/>
  <c r="E44" i="108"/>
  <c r="F44" i="108"/>
  <c r="D45" i="108"/>
  <c r="E45" i="108"/>
  <c r="F45" i="108"/>
  <c r="D46" i="108"/>
  <c r="E46" i="108"/>
  <c r="F46" i="108"/>
  <c r="D47" i="108"/>
  <c r="E47" i="108"/>
  <c r="F47" i="108"/>
  <c r="D50" i="108"/>
  <c r="E50" i="108"/>
  <c r="F50" i="108"/>
  <c r="D48" i="108"/>
  <c r="E48" i="108"/>
  <c r="F48" i="108"/>
  <c r="D49" i="108"/>
  <c r="E49" i="108"/>
  <c r="F49" i="108"/>
  <c r="C41" i="108"/>
  <c r="C42" i="108"/>
  <c r="C43" i="108"/>
  <c r="C44" i="108"/>
  <c r="C45" i="108"/>
  <c r="C46" i="108"/>
  <c r="C47" i="108"/>
  <c r="C50" i="108"/>
  <c r="C48" i="108"/>
  <c r="C49" i="108"/>
  <c r="C40" i="108"/>
  <c r="D35" i="108"/>
  <c r="E35" i="108"/>
  <c r="E34" i="108"/>
  <c r="E19" i="108"/>
  <c r="E20" i="108"/>
  <c r="E21" i="108"/>
  <c r="E23" i="108"/>
  <c r="E24" i="108"/>
  <c r="E25" i="108"/>
  <c r="E27" i="108"/>
  <c r="E28" i="108"/>
  <c r="E30" i="108"/>
  <c r="E31" i="108"/>
  <c r="E11" i="108"/>
  <c r="E12" i="108"/>
  <c r="E13" i="108"/>
  <c r="E14" i="108"/>
  <c r="E15" i="108"/>
  <c r="E17" i="108"/>
  <c r="W31" i="44" l="1"/>
  <c r="W30" i="44"/>
  <c r="W28" i="44"/>
  <c r="W27" i="44"/>
  <c r="W25" i="44"/>
  <c r="W24" i="44"/>
  <c r="W23" i="44"/>
  <c r="W21" i="44"/>
  <c r="W20" i="44"/>
  <c r="W19" i="44"/>
  <c r="U28" i="44"/>
  <c r="U21" i="44"/>
  <c r="U20" i="44"/>
  <c r="F97" i="44" l="1"/>
  <c r="E97" i="44"/>
  <c r="D93" i="44"/>
  <c r="D90" i="44"/>
  <c r="D89" i="44"/>
  <c r="I178" i="117" l="1"/>
  <c r="F178" i="117"/>
  <c r="G178" i="117"/>
  <c r="H178" i="117"/>
  <c r="J178" i="117"/>
  <c r="K178" i="117"/>
  <c r="L178" i="117"/>
  <c r="M178" i="117"/>
  <c r="N178" i="117"/>
  <c r="O178" i="117"/>
  <c r="P178" i="117"/>
  <c r="E178" i="117"/>
  <c r="F175" i="117" l="1"/>
  <c r="G175" i="117"/>
  <c r="H175" i="117"/>
  <c r="I175" i="117"/>
  <c r="J175" i="117"/>
  <c r="K175" i="117"/>
  <c r="L175" i="117"/>
  <c r="M175" i="117"/>
  <c r="N175" i="117"/>
  <c r="O175" i="117"/>
  <c r="P175" i="117"/>
  <c r="E175" i="117"/>
  <c r="Q178" i="117" l="1"/>
  <c r="F179" i="117"/>
  <c r="G179" i="117"/>
  <c r="H179" i="117"/>
  <c r="I179" i="117"/>
  <c r="J179" i="117"/>
  <c r="K179" i="117"/>
  <c r="L179" i="117"/>
  <c r="M179" i="117"/>
  <c r="N179" i="117"/>
  <c r="O179" i="117"/>
  <c r="P179" i="117"/>
  <c r="G15" i="44" l="1"/>
  <c r="G16" i="44" s="1"/>
  <c r="E179" i="117" l="1"/>
  <c r="Q180" i="117" s="1"/>
  <c r="F13" i="44"/>
  <c r="D12" i="108" s="1"/>
  <c r="R94" i="65" l="1"/>
  <c r="F16" i="44"/>
  <c r="D15" i="108" s="1"/>
  <c r="F15" i="44"/>
  <c r="D14" i="108" s="1"/>
  <c r="F14" i="44"/>
  <c r="D13" i="108" s="1"/>
  <c r="F12" i="44"/>
  <c r="F31" i="44"/>
  <c r="F30" i="44"/>
  <c r="F28" i="44"/>
  <c r="D28" i="108" s="1"/>
  <c r="F27" i="44"/>
  <c r="D27" i="108" s="1"/>
  <c r="F25" i="44"/>
  <c r="F24" i="44"/>
  <c r="F23" i="44"/>
  <c r="C89" i="44" l="1"/>
  <c r="D11" i="108"/>
  <c r="V23" i="44"/>
  <c r="X23" i="44" s="1"/>
  <c r="D23" i="108"/>
  <c r="V24" i="44"/>
  <c r="X24" i="44" s="1"/>
  <c r="D24" i="108"/>
  <c r="V30" i="44"/>
  <c r="X30" i="44" s="1"/>
  <c r="D30" i="108"/>
  <c r="V25" i="44"/>
  <c r="X25" i="44" s="1"/>
  <c r="D25" i="108"/>
  <c r="V31" i="44"/>
  <c r="X31" i="44" s="1"/>
  <c r="D31" i="108"/>
  <c r="E28" i="44"/>
  <c r="V28" i="44"/>
  <c r="X28" i="44" s="1"/>
  <c r="E27" i="44"/>
  <c r="V27" i="44"/>
  <c r="X27" i="44" s="1"/>
  <c r="P24" i="44"/>
  <c r="C76" i="65" s="1"/>
  <c r="P25" i="44"/>
  <c r="C76" i="60" s="1"/>
  <c r="P23" i="44"/>
  <c r="Q63" i="56" s="1"/>
  <c r="C77" i="65" l="1"/>
  <c r="O34" i="76"/>
  <c r="Q64" i="56"/>
  <c r="C74" i="60"/>
  <c r="Q65" i="20"/>
  <c r="Q65" i="56"/>
  <c r="Q63" i="20"/>
  <c r="O35" i="76"/>
  <c r="C75" i="65"/>
  <c r="C75" i="60"/>
  <c r="Q64" i="20"/>
  <c r="P39" i="76" l="1"/>
  <c r="P39" i="91" l="1"/>
  <c r="Q179" i="117"/>
  <c r="P64" i="20"/>
  <c r="E34" i="91" s="1"/>
  <c r="P63" i="20"/>
  <c r="D66" i="20"/>
  <c r="E66" i="20"/>
  <c r="F66" i="20"/>
  <c r="G66" i="20"/>
  <c r="H66" i="20"/>
  <c r="I66" i="20"/>
  <c r="K66" i="20"/>
  <c r="L66" i="20"/>
  <c r="M66" i="20"/>
  <c r="F169" i="117"/>
  <c r="G169" i="117"/>
  <c r="H169" i="117"/>
  <c r="I169" i="117"/>
  <c r="J169" i="117"/>
  <c r="K169" i="117"/>
  <c r="L169" i="117"/>
  <c r="M169" i="117"/>
  <c r="N169" i="117"/>
  <c r="O169" i="117"/>
  <c r="P169" i="117"/>
  <c r="F170" i="117"/>
  <c r="D63" i="56" s="1"/>
  <c r="E74" i="60" s="1"/>
  <c r="G170" i="117"/>
  <c r="E63" i="56" s="1"/>
  <c r="F74" i="60" s="1"/>
  <c r="R74" i="60" s="1"/>
  <c r="AD74" i="60" s="1"/>
  <c r="H170" i="117"/>
  <c r="F63" i="56" s="1"/>
  <c r="G74" i="60" s="1"/>
  <c r="I170" i="117"/>
  <c r="G63" i="56" s="1"/>
  <c r="H74" i="60" s="1"/>
  <c r="J170" i="117"/>
  <c r="H63" i="56" s="1"/>
  <c r="I74" i="60" s="1"/>
  <c r="K170" i="117"/>
  <c r="I63" i="56" s="1"/>
  <c r="J74" i="60" s="1"/>
  <c r="V74" i="60" s="1"/>
  <c r="AH74" i="60" s="1"/>
  <c r="L170" i="117"/>
  <c r="J63" i="56" s="1"/>
  <c r="M170" i="117"/>
  <c r="K63" i="56" s="1"/>
  <c r="L74" i="60" s="1"/>
  <c r="N170" i="117"/>
  <c r="L63" i="56" s="1"/>
  <c r="M74" i="60" s="1"/>
  <c r="O170" i="117"/>
  <c r="M63" i="56" s="1"/>
  <c r="N74" i="60" s="1"/>
  <c r="Z74" i="60" s="1"/>
  <c r="P170" i="117"/>
  <c r="N63" i="56" s="1"/>
  <c r="F171" i="117"/>
  <c r="D64" i="56" s="1"/>
  <c r="E75" i="60" s="1"/>
  <c r="Q75" i="60" s="1"/>
  <c r="AC75" i="60" s="1"/>
  <c r="L171" i="117"/>
  <c r="J64" i="56" s="1"/>
  <c r="K75" i="60" s="1"/>
  <c r="W75" i="60" s="1"/>
  <c r="AI75" i="60" s="1"/>
  <c r="AU75" i="60" s="1"/>
  <c r="BG75" i="60" s="1"/>
  <c r="BS75" i="60" s="1"/>
  <c r="CE75" i="60" s="1"/>
  <c r="M171" i="117"/>
  <c r="K64" i="56" s="1"/>
  <c r="L75" i="60" s="1"/>
  <c r="X75" i="60" s="1"/>
  <c r="AJ75" i="60" s="1"/>
  <c r="N171" i="117"/>
  <c r="L64" i="56" s="1"/>
  <c r="M75" i="60" s="1"/>
  <c r="Y75" i="60" s="1"/>
  <c r="O171" i="117"/>
  <c r="M64" i="56" s="1"/>
  <c r="N75" i="60" s="1"/>
  <c r="Z75" i="60" s="1"/>
  <c r="P171" i="117"/>
  <c r="N64" i="56" s="1"/>
  <c r="O75" i="60" s="1"/>
  <c r="AA75" i="60" s="1"/>
  <c r="AM75" i="60" s="1"/>
  <c r="AY75" i="60" s="1"/>
  <c r="BK75" i="60" s="1"/>
  <c r="BW75" i="60" s="1"/>
  <c r="CI75" i="60" s="1"/>
  <c r="E171" i="117"/>
  <c r="C64" i="56" s="1"/>
  <c r="D75" i="60" s="1"/>
  <c r="P75" i="60" s="1"/>
  <c r="AB75" i="60" s="1"/>
  <c r="E170" i="117"/>
  <c r="C63" i="56" s="1"/>
  <c r="D74" i="60" s="1"/>
  <c r="E169" i="117"/>
  <c r="K75" i="117"/>
  <c r="K171" i="117" s="1"/>
  <c r="I64" i="56" s="1"/>
  <c r="J75" i="60" s="1"/>
  <c r="V75" i="60" s="1"/>
  <c r="AH75" i="60" s="1"/>
  <c r="H75" i="117"/>
  <c r="H171" i="117" s="1"/>
  <c r="F64" i="56" s="1"/>
  <c r="G75" i="60" s="1"/>
  <c r="S75" i="60" s="1"/>
  <c r="AE75" i="60" s="1"/>
  <c r="AQ75" i="60" s="1"/>
  <c r="BC75" i="60" s="1"/>
  <c r="BO75" i="60" s="1"/>
  <c r="CA75" i="60" s="1"/>
  <c r="I75" i="117"/>
  <c r="I171" i="117" s="1"/>
  <c r="G64" i="56" s="1"/>
  <c r="H75" i="60" s="1"/>
  <c r="T75" i="60" s="1"/>
  <c r="AF75" i="60" s="1"/>
  <c r="J75" i="117"/>
  <c r="J171" i="117" s="1"/>
  <c r="H64" i="56" s="1"/>
  <c r="I75" i="60" s="1"/>
  <c r="U75" i="60" s="1"/>
  <c r="AG75" i="60" s="1"/>
  <c r="H76" i="117"/>
  <c r="I76" i="117"/>
  <c r="J76" i="117"/>
  <c r="G76" i="117"/>
  <c r="G75" i="117"/>
  <c r="G171" i="117" s="1"/>
  <c r="E64" i="56" s="1"/>
  <c r="F75" i="60" s="1"/>
  <c r="R75" i="60" s="1"/>
  <c r="AD75" i="60" s="1"/>
  <c r="F64" i="117"/>
  <c r="F172" i="117" s="1"/>
  <c r="D65" i="56" s="1"/>
  <c r="G64" i="117"/>
  <c r="H64" i="117"/>
  <c r="I64" i="117"/>
  <c r="I172" i="117" s="1"/>
  <c r="G65" i="56" s="1"/>
  <c r="J64" i="117"/>
  <c r="K64" i="117"/>
  <c r="K172" i="117" s="1"/>
  <c r="I65" i="56" s="1"/>
  <c r="L64" i="117"/>
  <c r="L172" i="117" s="1"/>
  <c r="J65" i="56" s="1"/>
  <c r="M64" i="117"/>
  <c r="M172" i="117" s="1"/>
  <c r="K65" i="56" s="1"/>
  <c r="N64" i="117"/>
  <c r="N172" i="117" s="1"/>
  <c r="L65" i="56" s="1"/>
  <c r="O64" i="117"/>
  <c r="O172" i="117" s="1"/>
  <c r="M65" i="56" s="1"/>
  <c r="P64" i="117"/>
  <c r="P172" i="117" s="1"/>
  <c r="N65" i="56" s="1"/>
  <c r="E64" i="117"/>
  <c r="E172" i="117" s="1"/>
  <c r="C65" i="56" s="1"/>
  <c r="H172" i="117" l="1"/>
  <c r="F65" i="56" s="1"/>
  <c r="F66" i="56" s="1"/>
  <c r="G172" i="117"/>
  <c r="E65" i="56" s="1"/>
  <c r="J172" i="117"/>
  <c r="H65" i="56" s="1"/>
  <c r="N66" i="56"/>
  <c r="K74" i="60"/>
  <c r="W74" i="60" s="1"/>
  <c r="J66" i="56"/>
  <c r="O76" i="60"/>
  <c r="AA76" i="60" s="1"/>
  <c r="F77" i="65" s="1"/>
  <c r="K76" i="60"/>
  <c r="W76" i="60" s="1"/>
  <c r="AI76" i="60" s="1"/>
  <c r="AU76" i="60" s="1"/>
  <c r="BG76" i="60" s="1"/>
  <c r="BS76" i="60" s="1"/>
  <c r="CE76" i="60" s="1"/>
  <c r="E34" i="76"/>
  <c r="E177" i="117"/>
  <c r="D76" i="60"/>
  <c r="P76" i="60" s="1"/>
  <c r="AB76" i="60" s="1"/>
  <c r="AN76" i="60" s="1"/>
  <c r="AZ76" i="60" s="1"/>
  <c r="BL76" i="60" s="1"/>
  <c r="BX76" i="60" s="1"/>
  <c r="AP75" i="60"/>
  <c r="BB75" i="60" s="1"/>
  <c r="BN75" i="60" s="1"/>
  <c r="BZ75" i="60" s="1"/>
  <c r="I76" i="115"/>
  <c r="I76" i="65"/>
  <c r="AN75" i="60"/>
  <c r="AZ75" i="60" s="1"/>
  <c r="BL75" i="60" s="1"/>
  <c r="BX75" i="60" s="1"/>
  <c r="G76" i="115"/>
  <c r="G76" i="65"/>
  <c r="AL75" i="60"/>
  <c r="AX75" i="60" s="1"/>
  <c r="BJ75" i="60" s="1"/>
  <c r="BV75" i="60" s="1"/>
  <c r="CH75" i="60" s="1"/>
  <c r="E76" i="115"/>
  <c r="E76" i="65"/>
  <c r="AT75" i="60"/>
  <c r="BF75" i="60" s="1"/>
  <c r="BR75" i="60" s="1"/>
  <c r="CD75" i="60" s="1"/>
  <c r="M76" i="115"/>
  <c r="M76" i="65"/>
  <c r="AK75" i="60"/>
  <c r="AW75" i="60" s="1"/>
  <c r="BI75" i="60" s="1"/>
  <c r="BU75" i="60" s="1"/>
  <c r="CG75" i="60" s="1"/>
  <c r="D76" i="65"/>
  <c r="D76" i="115"/>
  <c r="AS75" i="60"/>
  <c r="BE75" i="60" s="1"/>
  <c r="BQ75" i="60" s="1"/>
  <c r="CC75" i="60" s="1"/>
  <c r="L76" i="65"/>
  <c r="L76" i="115"/>
  <c r="AO75" i="60"/>
  <c r="BA75" i="60" s="1"/>
  <c r="BM75" i="60" s="1"/>
  <c r="BY75" i="60" s="1"/>
  <c r="H76" i="65"/>
  <c r="H76" i="115"/>
  <c r="I75" i="65"/>
  <c r="I75" i="115"/>
  <c r="AV75" i="60"/>
  <c r="BH75" i="60" s="1"/>
  <c r="BT75" i="60" s="1"/>
  <c r="CF75" i="60" s="1"/>
  <c r="O76" i="115"/>
  <c r="O76" i="65"/>
  <c r="AR75" i="60"/>
  <c r="BD75" i="60" s="1"/>
  <c r="BP75" i="60" s="1"/>
  <c r="CB75" i="60" s="1"/>
  <c r="K76" i="115"/>
  <c r="K76" i="65"/>
  <c r="M75" i="115"/>
  <c r="M75" i="65"/>
  <c r="AL74" i="60"/>
  <c r="AX74" i="60" s="1"/>
  <c r="E75" i="115"/>
  <c r="E75" i="65"/>
  <c r="F76" i="115"/>
  <c r="J76" i="115"/>
  <c r="N76" i="115"/>
  <c r="O74" i="60"/>
  <c r="F76" i="65"/>
  <c r="J76" i="65"/>
  <c r="N76" i="65"/>
  <c r="M66" i="56"/>
  <c r="I66" i="56"/>
  <c r="L66" i="56"/>
  <c r="D66" i="56"/>
  <c r="K66" i="56"/>
  <c r="G66" i="56"/>
  <c r="J66" i="20"/>
  <c r="N66" i="20"/>
  <c r="H76" i="60"/>
  <c r="T76" i="60" s="1"/>
  <c r="AF76" i="60" s="1"/>
  <c r="L76" i="60"/>
  <c r="X76" i="60" s="1"/>
  <c r="AJ76" i="60" s="1"/>
  <c r="E76" i="60"/>
  <c r="Q76" i="60" s="1"/>
  <c r="AC76" i="60" s="1"/>
  <c r="M76" i="60"/>
  <c r="Y76" i="60" s="1"/>
  <c r="P65" i="20"/>
  <c r="F76" i="60"/>
  <c r="R76" i="60" s="1"/>
  <c r="AD76" i="60" s="1"/>
  <c r="AD77" i="60" s="1"/>
  <c r="J76" i="60"/>
  <c r="V76" i="60" s="1"/>
  <c r="N76" i="60"/>
  <c r="Z76" i="60" s="1"/>
  <c r="Z77" i="60" s="1"/>
  <c r="S74" i="60"/>
  <c r="P74" i="60"/>
  <c r="T74" i="60"/>
  <c r="X74" i="60"/>
  <c r="Q74" i="60"/>
  <c r="U74" i="60"/>
  <c r="Y74" i="60"/>
  <c r="AP74" i="60"/>
  <c r="AT74" i="60"/>
  <c r="P64" i="56"/>
  <c r="E66" i="56"/>
  <c r="P63" i="56"/>
  <c r="C66" i="56"/>
  <c r="C66" i="20"/>
  <c r="N77" i="65" l="1"/>
  <c r="K77" i="60"/>
  <c r="P65" i="56"/>
  <c r="F35" i="91" s="1"/>
  <c r="G76" i="60"/>
  <c r="S76" i="60" s="1"/>
  <c r="AE76" i="60" s="1"/>
  <c r="J77" i="115" s="1"/>
  <c r="I76" i="60"/>
  <c r="U76" i="60" s="1"/>
  <c r="AG76" i="60" s="1"/>
  <c r="L77" i="65" s="1"/>
  <c r="E77" i="60"/>
  <c r="H66" i="56"/>
  <c r="P66" i="56" s="1"/>
  <c r="T77" i="60"/>
  <c r="F77" i="115"/>
  <c r="AM76" i="60"/>
  <c r="AY76" i="60" s="1"/>
  <c r="BK76" i="60" s="1"/>
  <c r="BW76" i="60" s="1"/>
  <c r="CI76" i="60" s="1"/>
  <c r="O77" i="60"/>
  <c r="P77" i="60"/>
  <c r="G77" i="115"/>
  <c r="D77" i="60"/>
  <c r="G77" i="65"/>
  <c r="N77" i="115"/>
  <c r="F177" i="117"/>
  <c r="P66" i="20"/>
  <c r="L77" i="60"/>
  <c r="H77" i="60"/>
  <c r="P76" i="115"/>
  <c r="P76" i="65"/>
  <c r="F34" i="76"/>
  <c r="F34" i="91"/>
  <c r="H34" i="91" s="1"/>
  <c r="M34" i="91" s="1"/>
  <c r="AA74" i="60"/>
  <c r="AB74" i="60"/>
  <c r="AN74" i="60" s="1"/>
  <c r="D75" i="65"/>
  <c r="D75" i="115"/>
  <c r="AR76" i="60"/>
  <c r="BD76" i="60" s="1"/>
  <c r="BP76" i="60" s="1"/>
  <c r="CB76" i="60" s="1"/>
  <c r="K77" i="115"/>
  <c r="K77" i="65"/>
  <c r="R77" i="60"/>
  <c r="E35" i="91"/>
  <c r="E35" i="76"/>
  <c r="AP76" i="60"/>
  <c r="BB76" i="60" s="1"/>
  <c r="BN76" i="60" s="1"/>
  <c r="BZ76" i="60" s="1"/>
  <c r="I77" i="65"/>
  <c r="I78" i="65" s="1"/>
  <c r="I77" i="115"/>
  <c r="F77" i="60"/>
  <c r="M77" i="60"/>
  <c r="AL76" i="60"/>
  <c r="E77" i="65"/>
  <c r="E78" i="65" s="1"/>
  <c r="E77" i="115"/>
  <c r="AO76" i="60"/>
  <c r="BA76" i="60" s="1"/>
  <c r="BM76" i="60" s="1"/>
  <c r="BY76" i="60" s="1"/>
  <c r="H77" i="65"/>
  <c r="H77" i="115"/>
  <c r="N77" i="60"/>
  <c r="AK76" i="60"/>
  <c r="AW76" i="60" s="1"/>
  <c r="BI76" i="60" s="1"/>
  <c r="BU76" i="60" s="1"/>
  <c r="CG76" i="60" s="1"/>
  <c r="D77" i="65"/>
  <c r="D77" i="115"/>
  <c r="AH76" i="60"/>
  <c r="V77" i="60"/>
  <c r="J77" i="60"/>
  <c r="AV76" i="60"/>
  <c r="BH76" i="60" s="1"/>
  <c r="BT76" i="60" s="1"/>
  <c r="CF76" i="60" s="1"/>
  <c r="O77" i="115"/>
  <c r="O77" i="65"/>
  <c r="AQ76" i="60"/>
  <c r="BC76" i="60" s="1"/>
  <c r="BO76" i="60" s="1"/>
  <c r="CA76" i="60" s="1"/>
  <c r="AK74" i="60"/>
  <c r="Y77" i="60"/>
  <c r="AJ74" i="60"/>
  <c r="X77" i="60"/>
  <c r="AI74" i="60"/>
  <c r="W77" i="60"/>
  <c r="AG74" i="60"/>
  <c r="AE74" i="60"/>
  <c r="AF74" i="60"/>
  <c r="AR74" i="60" s="1"/>
  <c r="AC74" i="60"/>
  <c r="Q77" i="60"/>
  <c r="BF74" i="60"/>
  <c r="BJ74" i="60"/>
  <c r="BB74" i="60"/>
  <c r="S77" i="60" l="1"/>
  <c r="J77" i="65"/>
  <c r="G77" i="60"/>
  <c r="U77" i="60"/>
  <c r="AS76" i="60"/>
  <c r="BE76" i="60" s="1"/>
  <c r="BQ76" i="60" s="1"/>
  <c r="CC76" i="60" s="1"/>
  <c r="I77" i="60"/>
  <c r="F35" i="76"/>
  <c r="L77" i="115"/>
  <c r="AB77" i="60"/>
  <c r="H35" i="91"/>
  <c r="M35" i="91" s="1"/>
  <c r="H35" i="76"/>
  <c r="M35" i="76" s="1"/>
  <c r="G177" i="117"/>
  <c r="I78" i="115"/>
  <c r="E78" i="115"/>
  <c r="J75" i="115"/>
  <c r="J75" i="65"/>
  <c r="J78" i="65" s="1"/>
  <c r="F75" i="115"/>
  <c r="F75" i="65"/>
  <c r="F78" i="65" s="1"/>
  <c r="K75" i="115"/>
  <c r="K78" i="115" s="1"/>
  <c r="K75" i="65"/>
  <c r="K78" i="65" s="1"/>
  <c r="N75" i="115"/>
  <c r="N75" i="65"/>
  <c r="N78" i="65" s="1"/>
  <c r="AA77" i="60"/>
  <c r="AM74" i="60"/>
  <c r="AY74" i="60" s="1"/>
  <c r="L75" i="65"/>
  <c r="L78" i="65" s="1"/>
  <c r="L75" i="115"/>
  <c r="O75" i="115"/>
  <c r="O78" i="115" s="1"/>
  <c r="O75" i="65"/>
  <c r="O78" i="65" s="1"/>
  <c r="AF77" i="60"/>
  <c r="H75" i="115"/>
  <c r="H78" i="115" s="1"/>
  <c r="H75" i="65"/>
  <c r="H78" i="65" s="1"/>
  <c r="G75" i="115"/>
  <c r="G75" i="65"/>
  <c r="G78" i="65" s="1"/>
  <c r="AP77" i="60"/>
  <c r="D78" i="115"/>
  <c r="D78" i="65"/>
  <c r="AX76" i="60"/>
  <c r="AL77" i="60"/>
  <c r="AT76" i="60"/>
  <c r="M77" i="65"/>
  <c r="M78" i="65" s="1"/>
  <c r="M77" i="115"/>
  <c r="AH77" i="60"/>
  <c r="AG77" i="60"/>
  <c r="AS74" i="60"/>
  <c r="AV74" i="60"/>
  <c r="AJ77" i="60"/>
  <c r="AO74" i="60"/>
  <c r="AC77" i="60"/>
  <c r="AQ74" i="60"/>
  <c r="AE77" i="60"/>
  <c r="AI77" i="60"/>
  <c r="AU74" i="60"/>
  <c r="AK77" i="60"/>
  <c r="AW74" i="60"/>
  <c r="BD74" i="60"/>
  <c r="AR77" i="60"/>
  <c r="BB77" i="60"/>
  <c r="BN74" i="60"/>
  <c r="AN77" i="60"/>
  <c r="AZ74" i="60"/>
  <c r="BV74" i="60"/>
  <c r="BR74" i="60"/>
  <c r="G78" i="115" l="1"/>
  <c r="L78" i="115"/>
  <c r="H177" i="117"/>
  <c r="F78" i="115"/>
  <c r="P75" i="65"/>
  <c r="J78" i="115"/>
  <c r="N78" i="115"/>
  <c r="M78" i="115"/>
  <c r="AM77" i="60"/>
  <c r="P75" i="115"/>
  <c r="BF76" i="60"/>
  <c r="AT77" i="60"/>
  <c r="P77" i="65"/>
  <c r="BJ76" i="60"/>
  <c r="AX77" i="60"/>
  <c r="P77" i="115"/>
  <c r="P78" i="115" s="1"/>
  <c r="BG74" i="60"/>
  <c r="AU77" i="60"/>
  <c r="BE74" i="60"/>
  <c r="AS77" i="60"/>
  <c r="BA74" i="60"/>
  <c r="AO77" i="60"/>
  <c r="BI74" i="60"/>
  <c r="AW77" i="60"/>
  <c r="BC74" i="60"/>
  <c r="AQ77" i="60"/>
  <c r="AV77" i="60"/>
  <c r="BH74" i="60"/>
  <c r="AY77" i="60"/>
  <c r="BK74" i="60"/>
  <c r="BZ74" i="60"/>
  <c r="BZ77" i="60" s="1"/>
  <c r="BN77" i="60"/>
  <c r="CH74" i="60"/>
  <c r="BP74" i="60"/>
  <c r="BD77" i="60"/>
  <c r="CD74" i="60"/>
  <c r="AZ77" i="60"/>
  <c r="BL74" i="60"/>
  <c r="I177" i="117" l="1"/>
  <c r="P78" i="65"/>
  <c r="BV76" i="60"/>
  <c r="BJ77" i="60"/>
  <c r="BR76" i="60"/>
  <c r="BF77" i="60"/>
  <c r="BT74" i="60"/>
  <c r="BH77" i="60"/>
  <c r="BQ74" i="60"/>
  <c r="BE77" i="60"/>
  <c r="BW74" i="60"/>
  <c r="BK77" i="60"/>
  <c r="BU74" i="60"/>
  <c r="BI77" i="60"/>
  <c r="BO74" i="60"/>
  <c r="BC77" i="60"/>
  <c r="BA77" i="60"/>
  <c r="BM74" i="60"/>
  <c r="BS74" i="60"/>
  <c r="BG77" i="60"/>
  <c r="BL77" i="60"/>
  <c r="BX74" i="60"/>
  <c r="BX77" i="60" s="1"/>
  <c r="BP77" i="60"/>
  <c r="CB74" i="60"/>
  <c r="CB77" i="60" s="1"/>
  <c r="J177" i="117" l="1"/>
  <c r="CH76" i="60"/>
  <c r="CH77" i="60" s="1"/>
  <c r="BV77" i="60"/>
  <c r="CD76" i="60"/>
  <c r="CD77" i="60" s="1"/>
  <c r="BR77" i="60"/>
  <c r="BQ77" i="60"/>
  <c r="CC74" i="60"/>
  <c r="CC77" i="60" s="1"/>
  <c r="BM77" i="60"/>
  <c r="BY74" i="60"/>
  <c r="BY77" i="60" s="1"/>
  <c r="CG74" i="60"/>
  <c r="CG77" i="60" s="1"/>
  <c r="BU77" i="60"/>
  <c r="BS77" i="60"/>
  <c r="CE74" i="60"/>
  <c r="CE77" i="60" s="1"/>
  <c r="CA74" i="60"/>
  <c r="CA77" i="60" s="1"/>
  <c r="BO77" i="60"/>
  <c r="CI74" i="60"/>
  <c r="CI77" i="60" s="1"/>
  <c r="BW77" i="60"/>
  <c r="BT77" i="60"/>
  <c r="CF74" i="60"/>
  <c r="CF77" i="60" s="1"/>
  <c r="K177" i="117" l="1"/>
  <c r="H42" i="80"/>
  <c r="H41" i="80"/>
  <c r="L177" i="117" l="1"/>
  <c r="CD34" i="80"/>
  <c r="CC34" i="80"/>
  <c r="CB34" i="80"/>
  <c r="CA34" i="80"/>
  <c r="BZ34" i="80"/>
  <c r="BY34" i="80"/>
  <c r="BX34" i="80"/>
  <c r="BW34" i="80"/>
  <c r="BV34" i="80"/>
  <c r="BU34" i="80"/>
  <c r="BT34" i="80"/>
  <c r="BS34" i="80"/>
  <c r="BR34" i="80"/>
  <c r="BQ34" i="80"/>
  <c r="BP34" i="80"/>
  <c r="BO34" i="80"/>
  <c r="BN34" i="80"/>
  <c r="BM34" i="80"/>
  <c r="BL34" i="80"/>
  <c r="BK34" i="80"/>
  <c r="BJ34" i="80"/>
  <c r="BI34" i="80"/>
  <c r="BH34" i="80"/>
  <c r="BG34" i="80"/>
  <c r="BF34" i="80"/>
  <c r="BE34" i="80"/>
  <c r="BD34" i="80"/>
  <c r="BC34" i="80"/>
  <c r="BB34" i="80"/>
  <c r="BA34" i="80"/>
  <c r="AZ34" i="80"/>
  <c r="AY34" i="80"/>
  <c r="AX34" i="80"/>
  <c r="AW34" i="80"/>
  <c r="AV34" i="80"/>
  <c r="AU34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K34" i="80"/>
  <c r="H77" i="80"/>
  <c r="M177" i="117" l="1"/>
  <c r="O75" i="113"/>
  <c r="O74" i="113"/>
  <c r="O38" i="113"/>
  <c r="P38" i="113"/>
  <c r="Q38" i="113"/>
  <c r="R38" i="113"/>
  <c r="S38" i="113"/>
  <c r="T38" i="113"/>
  <c r="U38" i="113"/>
  <c r="V38" i="113"/>
  <c r="W38" i="113"/>
  <c r="X38" i="113"/>
  <c r="Y38" i="113"/>
  <c r="Z38" i="113"/>
  <c r="AA38" i="113"/>
  <c r="AB38" i="113"/>
  <c r="AC38" i="113"/>
  <c r="AD38" i="113"/>
  <c r="AE38" i="113"/>
  <c r="AF38" i="113"/>
  <c r="AG38" i="113"/>
  <c r="AH38" i="113"/>
  <c r="AI38" i="113"/>
  <c r="AJ38" i="113"/>
  <c r="AK38" i="113"/>
  <c r="AL38" i="113"/>
  <c r="AM38" i="113"/>
  <c r="AN38" i="113"/>
  <c r="AO38" i="113"/>
  <c r="AP38" i="113"/>
  <c r="AQ38" i="113"/>
  <c r="AR38" i="113"/>
  <c r="AS38" i="113"/>
  <c r="AT38" i="113"/>
  <c r="AU38" i="113"/>
  <c r="AV38" i="113"/>
  <c r="AW38" i="113"/>
  <c r="AX38" i="113"/>
  <c r="AY38" i="113"/>
  <c r="AZ38" i="113"/>
  <c r="BA38" i="113"/>
  <c r="BB38" i="113"/>
  <c r="BC38" i="113"/>
  <c r="BD38" i="113"/>
  <c r="BE38" i="113"/>
  <c r="BF38" i="113"/>
  <c r="BG38" i="113"/>
  <c r="BH38" i="113"/>
  <c r="BI38" i="113"/>
  <c r="BJ38" i="113"/>
  <c r="BK38" i="113"/>
  <c r="BL38" i="113"/>
  <c r="BM38" i="113"/>
  <c r="BN38" i="113"/>
  <c r="BO38" i="113"/>
  <c r="BP38" i="113"/>
  <c r="BQ38" i="113"/>
  <c r="BR38" i="113"/>
  <c r="BS38" i="113"/>
  <c r="BT38" i="113"/>
  <c r="BU38" i="113"/>
  <c r="BV38" i="113"/>
  <c r="BW38" i="113"/>
  <c r="BX38" i="113"/>
  <c r="BY38" i="113"/>
  <c r="BZ38" i="113"/>
  <c r="CA38" i="113"/>
  <c r="CB38" i="113"/>
  <c r="CC38" i="113"/>
  <c r="CD38" i="113"/>
  <c r="CE38" i="113"/>
  <c r="CF38" i="113"/>
  <c r="CG38" i="113"/>
  <c r="CH38" i="113"/>
  <c r="O41" i="113"/>
  <c r="P41" i="113"/>
  <c r="Q41" i="113"/>
  <c r="R41" i="113"/>
  <c r="S41" i="113"/>
  <c r="T41" i="113"/>
  <c r="U41" i="113"/>
  <c r="V41" i="113"/>
  <c r="W41" i="113"/>
  <c r="X41" i="113"/>
  <c r="Y41" i="113"/>
  <c r="Z41" i="113"/>
  <c r="AA41" i="113"/>
  <c r="AB41" i="113"/>
  <c r="AC41" i="113"/>
  <c r="AD41" i="113"/>
  <c r="AE41" i="113"/>
  <c r="AF41" i="113"/>
  <c r="AG41" i="113"/>
  <c r="AH41" i="113"/>
  <c r="AI41" i="113"/>
  <c r="AJ41" i="113"/>
  <c r="AK41" i="113"/>
  <c r="AL41" i="113"/>
  <c r="AM41" i="113"/>
  <c r="AN41" i="113"/>
  <c r="AO41" i="113"/>
  <c r="AP41" i="113"/>
  <c r="AQ41" i="113"/>
  <c r="AR41" i="113"/>
  <c r="AS41" i="113"/>
  <c r="AT41" i="113"/>
  <c r="AU41" i="113"/>
  <c r="AV41" i="113"/>
  <c r="AW41" i="113"/>
  <c r="AX41" i="113"/>
  <c r="AY41" i="113"/>
  <c r="AZ41" i="113"/>
  <c r="BA41" i="113"/>
  <c r="BB41" i="113"/>
  <c r="BC41" i="113"/>
  <c r="BD41" i="113"/>
  <c r="BE41" i="113"/>
  <c r="BF41" i="113"/>
  <c r="BG41" i="113"/>
  <c r="BH41" i="113"/>
  <c r="BI41" i="113"/>
  <c r="BJ41" i="113"/>
  <c r="BK41" i="113"/>
  <c r="BL41" i="113"/>
  <c r="BM41" i="113"/>
  <c r="BN41" i="113"/>
  <c r="BO41" i="113"/>
  <c r="BP41" i="113"/>
  <c r="BQ41" i="113"/>
  <c r="BR41" i="113"/>
  <c r="BS41" i="113"/>
  <c r="BT41" i="113"/>
  <c r="BU41" i="113"/>
  <c r="BV41" i="113"/>
  <c r="BW41" i="113"/>
  <c r="BX41" i="113"/>
  <c r="BY41" i="113"/>
  <c r="BZ41" i="113"/>
  <c r="CA41" i="113"/>
  <c r="CB41" i="113"/>
  <c r="CC41" i="113"/>
  <c r="CD41" i="113"/>
  <c r="CE41" i="113"/>
  <c r="CF41" i="113"/>
  <c r="CG41" i="113"/>
  <c r="CH41" i="113"/>
  <c r="O46" i="113"/>
  <c r="O47" i="113"/>
  <c r="O48" i="113"/>
  <c r="O21" i="113"/>
  <c r="O20" i="113"/>
  <c r="N177" i="117" l="1"/>
  <c r="D57" i="64"/>
  <c r="D99" i="60" s="1"/>
  <c r="O177" i="117" l="1"/>
  <c r="P177" i="117"/>
  <c r="P100" i="80"/>
  <c r="Q100" i="80" s="1"/>
  <c r="R100" i="80" s="1"/>
  <c r="S100" i="80"/>
  <c r="T100" i="80" s="1"/>
  <c r="U100" i="80" s="1"/>
  <c r="V100" i="80"/>
  <c r="W100" i="80" s="1"/>
  <c r="X100" i="80" s="1"/>
  <c r="Y100" i="80"/>
  <c r="Z100" i="80" s="1"/>
  <c r="AA100" i="80" s="1"/>
  <c r="AB100" i="80"/>
  <c r="AC100" i="80" s="1"/>
  <c r="AD100" i="80" s="1"/>
  <c r="AE100" i="80"/>
  <c r="AF100" i="80" s="1"/>
  <c r="AG100" i="80" s="1"/>
  <c r="AH100" i="80"/>
  <c r="AI100" i="80" s="1"/>
  <c r="AJ100" i="80" s="1"/>
  <c r="AK100" i="80"/>
  <c r="AL100" i="80" s="1"/>
  <c r="AM100" i="80" s="1"/>
  <c r="AN100" i="80"/>
  <c r="AO100" i="80"/>
  <c r="AP100" i="80" s="1"/>
  <c r="AQ100" i="80"/>
  <c r="AR100" i="80" s="1"/>
  <c r="AS100" i="80" s="1"/>
  <c r="AT100" i="80"/>
  <c r="AU100" i="80" s="1"/>
  <c r="AV100" i="80" s="1"/>
  <c r="AW100" i="80"/>
  <c r="AX100" i="80"/>
  <c r="AY100" i="80" s="1"/>
  <c r="AZ100" i="80"/>
  <c r="BA100" i="80" s="1"/>
  <c r="BB100" i="80" s="1"/>
  <c r="BC100" i="80"/>
  <c r="BD100" i="80" s="1"/>
  <c r="BE100" i="80" s="1"/>
  <c r="BF100" i="80"/>
  <c r="BG100" i="80" s="1"/>
  <c r="BH100" i="80" s="1"/>
  <c r="BI100" i="80"/>
  <c r="BJ100" i="80" s="1"/>
  <c r="BK100" i="80" s="1"/>
  <c r="BL100" i="80"/>
  <c r="BM100" i="80" s="1"/>
  <c r="BN100" i="80" s="1"/>
  <c r="BO100" i="80"/>
  <c r="BP100" i="80" s="1"/>
  <c r="BQ100" i="80" s="1"/>
  <c r="BR100" i="80"/>
  <c r="BS100" i="80" s="1"/>
  <c r="BT100" i="80" s="1"/>
  <c r="BU100" i="80"/>
  <c r="BV100" i="80" s="1"/>
  <c r="BW100" i="80" s="1"/>
  <c r="BX100" i="80"/>
  <c r="BY100" i="80" s="1"/>
  <c r="BZ100" i="80" s="1"/>
  <c r="CA100" i="80"/>
  <c r="CB100" i="80" s="1"/>
  <c r="CC100" i="80" s="1"/>
  <c r="Q177" i="117" l="1"/>
  <c r="M100" i="80"/>
  <c r="N100" i="80" s="1"/>
  <c r="O100" i="80" s="1"/>
  <c r="BR76" i="80"/>
  <c r="BF76" i="80"/>
  <c r="AT76" i="80"/>
  <c r="AH76" i="80"/>
  <c r="V76" i="80"/>
  <c r="J76" i="80"/>
  <c r="M88" i="80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AG88" i="80" s="1"/>
  <c r="AH88" i="80" s="1"/>
  <c r="AI88" i="80" s="1"/>
  <c r="AJ88" i="80" s="1"/>
  <c r="AK88" i="80" s="1"/>
  <c r="AL88" i="80" s="1"/>
  <c r="AM88" i="80" s="1"/>
  <c r="AN88" i="80" s="1"/>
  <c r="AO88" i="80" s="1"/>
  <c r="AP88" i="80" s="1"/>
  <c r="AQ88" i="80" s="1"/>
  <c r="AR88" i="80" s="1"/>
  <c r="AS88" i="80" s="1"/>
  <c r="AT88" i="80" s="1"/>
  <c r="AU88" i="80" s="1"/>
  <c r="AV88" i="80" s="1"/>
  <c r="AW88" i="80" s="1"/>
  <c r="AX88" i="80" s="1"/>
  <c r="AY88" i="80" s="1"/>
  <c r="AZ88" i="80" s="1"/>
  <c r="BA88" i="80" s="1"/>
  <c r="BB88" i="80" s="1"/>
  <c r="BC88" i="80" s="1"/>
  <c r="BD88" i="80" s="1"/>
  <c r="BE88" i="80" s="1"/>
  <c r="BF88" i="80" s="1"/>
  <c r="BG88" i="80" s="1"/>
  <c r="BH88" i="80" s="1"/>
  <c r="BI88" i="80" s="1"/>
  <c r="BJ88" i="80" s="1"/>
  <c r="BK88" i="80" s="1"/>
  <c r="BL88" i="80" s="1"/>
  <c r="BM88" i="80" s="1"/>
  <c r="BN88" i="80" s="1"/>
  <c r="BO88" i="80" s="1"/>
  <c r="BP88" i="80" s="1"/>
  <c r="BQ88" i="80" s="1"/>
  <c r="BR88" i="80" s="1"/>
  <c r="BS88" i="80" s="1"/>
  <c r="BT88" i="80" s="1"/>
  <c r="BU88" i="80" s="1"/>
  <c r="BV88" i="80" s="1"/>
  <c r="BW88" i="80" s="1"/>
  <c r="BX88" i="80" s="1"/>
  <c r="BY88" i="80" s="1"/>
  <c r="BZ88" i="80" s="1"/>
  <c r="CA88" i="80" s="1"/>
  <c r="CB88" i="80" s="1"/>
  <c r="CC88" i="80" s="1"/>
  <c r="K101" i="80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K95" i="80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J100" i="80"/>
  <c r="K100" i="80" s="1"/>
  <c r="L100" i="80" s="1"/>
  <c r="J99" i="80"/>
  <c r="K99" i="80" s="1"/>
  <c r="L99" i="80" s="1"/>
  <c r="M99" i="80" s="1"/>
  <c r="N99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J94" i="80"/>
  <c r="K94" i="80" s="1"/>
  <c r="L94" i="80" s="1"/>
  <c r="J93" i="80"/>
  <c r="K93" i="80" s="1"/>
  <c r="L93" i="80" s="1"/>
  <c r="J92" i="80"/>
  <c r="K92" i="80" s="1"/>
  <c r="L92" i="80" s="1"/>
  <c r="G100" i="80"/>
  <c r="G99" i="80"/>
  <c r="G96" i="80"/>
  <c r="G102" i="80" s="1"/>
  <c r="G94" i="80"/>
  <c r="G93" i="80"/>
  <c r="G92" i="80"/>
  <c r="G98" i="80" s="1"/>
  <c r="J102" i="80" l="1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J98" i="80"/>
  <c r="K98" i="80" s="1"/>
  <c r="L98" i="80" s="1"/>
  <c r="J97" i="80"/>
  <c r="K97" i="80" s="1"/>
  <c r="L97" i="80" s="1"/>
  <c r="G103" i="80"/>
  <c r="G97" i="80"/>
  <c r="J103" i="80" l="1"/>
  <c r="K103" i="80" s="1"/>
  <c r="L103" i="80" s="1"/>
  <c r="R52" i="60"/>
  <c r="Q17" i="60"/>
  <c r="R17" i="60"/>
  <c r="H48" i="80" l="1"/>
  <c r="H46" i="80"/>
  <c r="H52" i="80"/>
  <c r="H34" i="76" l="1"/>
  <c r="M34" i="76" s="1"/>
  <c r="H49" i="80"/>
  <c r="G46" i="80" l="1"/>
  <c r="F46" i="80"/>
  <c r="E46" i="80"/>
  <c r="D46" i="80"/>
  <c r="C46" i="80"/>
  <c r="C36" i="80"/>
  <c r="D36" i="80"/>
  <c r="E36" i="80"/>
  <c r="F36" i="80"/>
  <c r="G36" i="80"/>
  <c r="C37" i="80"/>
  <c r="D37" i="80"/>
  <c r="E37" i="80"/>
  <c r="F37" i="80"/>
  <c r="G37" i="80"/>
  <c r="C38" i="80"/>
  <c r="D38" i="80"/>
  <c r="E38" i="80"/>
  <c r="F38" i="80"/>
  <c r="G38" i="80"/>
  <c r="G48" i="80"/>
  <c r="F48" i="80"/>
  <c r="E48" i="80"/>
  <c r="D48" i="80"/>
  <c r="C48" i="80"/>
  <c r="D41" i="80"/>
  <c r="E41" i="80"/>
  <c r="F41" i="80"/>
  <c r="G41" i="80"/>
  <c r="C41" i="80"/>
  <c r="D42" i="80"/>
  <c r="E42" i="80"/>
  <c r="F42" i="80"/>
  <c r="G42" i="80"/>
  <c r="C42" i="80"/>
  <c r="D47" i="80" l="1"/>
  <c r="E47" i="80"/>
  <c r="F47" i="80"/>
  <c r="G47" i="80"/>
  <c r="H47" i="80"/>
  <c r="C43" i="80"/>
  <c r="D43" i="80" l="1"/>
  <c r="C51" i="80"/>
  <c r="E43" i="80" l="1"/>
  <c r="D51" i="80"/>
  <c r="F43" i="80" l="1"/>
  <c r="E51" i="80"/>
  <c r="G43" i="80" l="1"/>
  <c r="G51" i="80" s="1"/>
  <c r="F51" i="80"/>
  <c r="D52" i="80" l="1"/>
  <c r="E52" i="80"/>
  <c r="F52" i="80"/>
  <c r="G52" i="80"/>
  <c r="C52" i="80"/>
  <c r="C24" i="80" l="1"/>
  <c r="D24" i="80" s="1"/>
  <c r="E24" i="80" s="1"/>
  <c r="F24" i="80" s="1"/>
  <c r="G24" i="80" s="1"/>
  <c r="H24" i="80" s="1"/>
  <c r="I24" i="80" s="1"/>
  <c r="J24" i="80" s="1"/>
  <c r="K24" i="80" s="1"/>
  <c r="L24" i="80" s="1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B58" i="80" l="1"/>
  <c r="CD57" i="80"/>
  <c r="CD68" i="80" s="1"/>
  <c r="CC57" i="80"/>
  <c r="CC68" i="80" s="1"/>
  <c r="CB57" i="80"/>
  <c r="CB68" i="80" s="1"/>
  <c r="CD58" i="80"/>
  <c r="CC58" i="80"/>
  <c r="CD20" i="80"/>
  <c r="CD19" i="80"/>
  <c r="CD18" i="80"/>
  <c r="CC15" i="80"/>
  <c r="CB15" i="80"/>
  <c r="CC14" i="80"/>
  <c r="CB14" i="80"/>
  <c r="CC13" i="80"/>
  <c r="CB13" i="80"/>
  <c r="CC16" i="80" l="1"/>
  <c r="CC59" i="80" s="1"/>
  <c r="CB16" i="80"/>
  <c r="CB59" i="80" s="1"/>
  <c r="CD21" i="80"/>
  <c r="CD60" i="80" s="1"/>
  <c r="H38" i="80"/>
  <c r="H37" i="80"/>
  <c r="H36" i="80"/>
  <c r="D78" i="56" l="1"/>
  <c r="E78" i="56"/>
  <c r="F78" i="56"/>
  <c r="G78" i="56"/>
  <c r="H78" i="56"/>
  <c r="I78" i="56"/>
  <c r="J78" i="56"/>
  <c r="K78" i="56"/>
  <c r="L78" i="56"/>
  <c r="M78" i="56"/>
  <c r="N78" i="56"/>
  <c r="C78" i="56"/>
  <c r="C80" i="56" s="1"/>
  <c r="D83" i="56"/>
  <c r="E83" i="56"/>
  <c r="F83" i="56"/>
  <c r="G83" i="56"/>
  <c r="H83" i="56"/>
  <c r="I83" i="56"/>
  <c r="J83" i="56"/>
  <c r="K83" i="56"/>
  <c r="L83" i="56"/>
  <c r="M83" i="56"/>
  <c r="N83" i="56"/>
  <c r="C83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P167" i="117"/>
  <c r="N59" i="56" s="1"/>
  <c r="O167" i="117"/>
  <c r="M59" i="56" s="1"/>
  <c r="N167" i="117"/>
  <c r="L59" i="56" s="1"/>
  <c r="M167" i="117"/>
  <c r="K59" i="56" s="1"/>
  <c r="L167" i="117"/>
  <c r="J59" i="56" s="1"/>
  <c r="K167" i="117"/>
  <c r="I59" i="56" s="1"/>
  <c r="J167" i="117"/>
  <c r="H59" i="56" s="1"/>
  <c r="I167" i="117"/>
  <c r="G59" i="56" s="1"/>
  <c r="H167" i="117"/>
  <c r="F59" i="56" s="1"/>
  <c r="G167" i="117"/>
  <c r="E59" i="56" s="1"/>
  <c r="F167" i="117"/>
  <c r="D59" i="56" s="1"/>
  <c r="E167" i="117"/>
  <c r="C59" i="56" s="1"/>
  <c r="P165" i="117"/>
  <c r="N57" i="56" s="1"/>
  <c r="O165" i="117"/>
  <c r="M57" i="56" s="1"/>
  <c r="N165" i="117"/>
  <c r="L57" i="56" s="1"/>
  <c r="M165" i="117"/>
  <c r="K57" i="56" s="1"/>
  <c r="L165" i="117"/>
  <c r="J57" i="56" s="1"/>
  <c r="K165" i="117"/>
  <c r="I57" i="56" s="1"/>
  <c r="J165" i="117"/>
  <c r="H57" i="56" s="1"/>
  <c r="I165" i="117"/>
  <c r="G57" i="56" s="1"/>
  <c r="H165" i="117"/>
  <c r="F57" i="56" s="1"/>
  <c r="G165" i="117"/>
  <c r="E57" i="56" s="1"/>
  <c r="P164" i="117"/>
  <c r="N53" i="56" s="1"/>
  <c r="N55" i="56" s="1"/>
  <c r="O164" i="117"/>
  <c r="M53" i="56" s="1"/>
  <c r="M55" i="56" s="1"/>
  <c r="N164" i="117"/>
  <c r="L53" i="56" s="1"/>
  <c r="L55" i="56" s="1"/>
  <c r="M164" i="117"/>
  <c r="K53" i="56" s="1"/>
  <c r="K55" i="56" s="1"/>
  <c r="L164" i="117"/>
  <c r="J53" i="56" s="1"/>
  <c r="J55" i="56" s="1"/>
  <c r="K164" i="117"/>
  <c r="I53" i="56" s="1"/>
  <c r="I55" i="56" s="1"/>
  <c r="J164" i="117"/>
  <c r="H53" i="56" s="1"/>
  <c r="H55" i="56" s="1"/>
  <c r="I164" i="117"/>
  <c r="G53" i="56" s="1"/>
  <c r="G55" i="56" s="1"/>
  <c r="H164" i="117"/>
  <c r="F53" i="56" s="1"/>
  <c r="F55" i="56" s="1"/>
  <c r="G164" i="117"/>
  <c r="E53" i="56" s="1"/>
  <c r="E55" i="56" s="1"/>
  <c r="P162" i="117"/>
  <c r="N74" i="56" s="1"/>
  <c r="O162" i="117"/>
  <c r="M74" i="56" s="1"/>
  <c r="N162" i="117"/>
  <c r="L74" i="56" s="1"/>
  <c r="M162" i="117"/>
  <c r="K74" i="56" s="1"/>
  <c r="L162" i="117"/>
  <c r="J74" i="56" s="1"/>
  <c r="K162" i="117"/>
  <c r="I74" i="56" s="1"/>
  <c r="J162" i="117"/>
  <c r="H74" i="56" s="1"/>
  <c r="I162" i="117"/>
  <c r="G74" i="56" s="1"/>
  <c r="H162" i="117"/>
  <c r="F74" i="56" s="1"/>
  <c r="G162" i="117"/>
  <c r="E74" i="56" s="1"/>
  <c r="F162" i="117"/>
  <c r="D74" i="56" s="1"/>
  <c r="E162" i="117"/>
  <c r="C74" i="56" s="1"/>
  <c r="P161" i="117"/>
  <c r="N73" i="56" s="1"/>
  <c r="O161" i="117"/>
  <c r="M73" i="56" s="1"/>
  <c r="N161" i="117"/>
  <c r="L73" i="56" s="1"/>
  <c r="M161" i="117"/>
  <c r="K73" i="56" s="1"/>
  <c r="L161" i="117"/>
  <c r="J73" i="56" s="1"/>
  <c r="K161" i="117"/>
  <c r="I73" i="56" s="1"/>
  <c r="J161" i="117"/>
  <c r="H73" i="56" s="1"/>
  <c r="I161" i="117"/>
  <c r="G73" i="56" s="1"/>
  <c r="H161" i="117"/>
  <c r="F73" i="56" s="1"/>
  <c r="G161" i="117"/>
  <c r="E73" i="56" s="1"/>
  <c r="F161" i="117"/>
  <c r="D73" i="56" s="1"/>
  <c r="E161" i="117"/>
  <c r="C73" i="56" s="1"/>
  <c r="P160" i="117"/>
  <c r="N69" i="56" s="1"/>
  <c r="N71" i="56" s="1"/>
  <c r="O160" i="117"/>
  <c r="M69" i="56" s="1"/>
  <c r="M71" i="56" s="1"/>
  <c r="N160" i="117"/>
  <c r="L69" i="56" s="1"/>
  <c r="L71" i="56" s="1"/>
  <c r="M160" i="117"/>
  <c r="K69" i="56" s="1"/>
  <c r="K71" i="56" s="1"/>
  <c r="L160" i="117"/>
  <c r="J69" i="56" s="1"/>
  <c r="J71" i="56" s="1"/>
  <c r="K160" i="117"/>
  <c r="I69" i="56" s="1"/>
  <c r="I71" i="56" s="1"/>
  <c r="J160" i="117"/>
  <c r="H69" i="56" s="1"/>
  <c r="H71" i="56" s="1"/>
  <c r="I160" i="117"/>
  <c r="G69" i="56" s="1"/>
  <c r="G71" i="56" s="1"/>
  <c r="H160" i="117"/>
  <c r="F69" i="56" s="1"/>
  <c r="F71" i="56" s="1"/>
  <c r="G160" i="117"/>
  <c r="E69" i="56" s="1"/>
  <c r="E71" i="56" s="1"/>
  <c r="F160" i="117"/>
  <c r="D69" i="56" s="1"/>
  <c r="D71" i="56" s="1"/>
  <c r="E160" i="117"/>
  <c r="C69" i="56" s="1"/>
  <c r="C71" i="56" s="1"/>
  <c r="P158" i="117"/>
  <c r="N49" i="56" s="1"/>
  <c r="O158" i="117"/>
  <c r="M49" i="56" s="1"/>
  <c r="N158" i="117"/>
  <c r="L49" i="56" s="1"/>
  <c r="M158" i="117"/>
  <c r="K49" i="56" s="1"/>
  <c r="L158" i="117"/>
  <c r="J49" i="56" s="1"/>
  <c r="K158" i="117"/>
  <c r="I49" i="56" s="1"/>
  <c r="J158" i="117"/>
  <c r="H49" i="56" s="1"/>
  <c r="I158" i="117"/>
  <c r="G49" i="56" s="1"/>
  <c r="H158" i="117"/>
  <c r="F49" i="56" s="1"/>
  <c r="G158" i="117"/>
  <c r="E49" i="56" s="1"/>
  <c r="F158" i="117"/>
  <c r="D49" i="56" s="1"/>
  <c r="E158" i="117"/>
  <c r="C49" i="56" s="1"/>
  <c r="P157" i="117"/>
  <c r="N48" i="56" s="1"/>
  <c r="O157" i="117"/>
  <c r="M48" i="56" s="1"/>
  <c r="N157" i="117"/>
  <c r="L48" i="56" s="1"/>
  <c r="M157" i="117"/>
  <c r="K48" i="56" s="1"/>
  <c r="L157" i="117"/>
  <c r="J48" i="56" s="1"/>
  <c r="K157" i="117"/>
  <c r="I48" i="56" s="1"/>
  <c r="J157" i="117"/>
  <c r="H48" i="56" s="1"/>
  <c r="I157" i="117"/>
  <c r="G48" i="56" s="1"/>
  <c r="H157" i="117"/>
  <c r="F48" i="56" s="1"/>
  <c r="G157" i="117"/>
  <c r="E48" i="56" s="1"/>
  <c r="F157" i="117"/>
  <c r="D48" i="56" s="1"/>
  <c r="E157" i="117"/>
  <c r="C48" i="56" s="1"/>
  <c r="P156" i="117"/>
  <c r="N47" i="56" s="1"/>
  <c r="O156" i="117"/>
  <c r="M47" i="56" s="1"/>
  <c r="N156" i="117"/>
  <c r="L47" i="56" s="1"/>
  <c r="M156" i="117"/>
  <c r="K47" i="56" s="1"/>
  <c r="L156" i="117"/>
  <c r="J47" i="56" s="1"/>
  <c r="K156" i="117"/>
  <c r="I47" i="56" s="1"/>
  <c r="J156" i="117"/>
  <c r="H47" i="56" s="1"/>
  <c r="I156" i="117"/>
  <c r="G47" i="56" s="1"/>
  <c r="H156" i="117"/>
  <c r="F47" i="56" s="1"/>
  <c r="G156" i="117"/>
  <c r="E47" i="56" s="1"/>
  <c r="F156" i="117"/>
  <c r="D47" i="56" s="1"/>
  <c r="E156" i="117"/>
  <c r="C47" i="56" s="1"/>
  <c r="P154" i="117"/>
  <c r="N30" i="56" s="1"/>
  <c r="O154" i="117"/>
  <c r="M30" i="56" s="1"/>
  <c r="N154" i="117"/>
  <c r="L30" i="56" s="1"/>
  <c r="M154" i="117"/>
  <c r="K30" i="56" s="1"/>
  <c r="L154" i="117"/>
  <c r="J30" i="56" s="1"/>
  <c r="K154" i="117"/>
  <c r="I30" i="56" s="1"/>
  <c r="J154" i="117"/>
  <c r="H30" i="56" s="1"/>
  <c r="I154" i="117"/>
  <c r="G30" i="56" s="1"/>
  <c r="H154" i="117"/>
  <c r="F30" i="56" s="1"/>
  <c r="G154" i="117"/>
  <c r="E30" i="56" s="1"/>
  <c r="F154" i="117"/>
  <c r="D30" i="56" s="1"/>
  <c r="E154" i="117"/>
  <c r="C30" i="56" s="1"/>
  <c r="P153" i="117"/>
  <c r="N29" i="56" s="1"/>
  <c r="O153" i="117"/>
  <c r="M29" i="56" s="1"/>
  <c r="N153" i="117"/>
  <c r="L29" i="56" s="1"/>
  <c r="M153" i="117"/>
  <c r="K29" i="56" s="1"/>
  <c r="L153" i="117"/>
  <c r="J29" i="56" s="1"/>
  <c r="K153" i="117"/>
  <c r="I29" i="56" s="1"/>
  <c r="J153" i="117"/>
  <c r="H29" i="56" s="1"/>
  <c r="I153" i="117"/>
  <c r="G29" i="56" s="1"/>
  <c r="H153" i="117"/>
  <c r="F29" i="56" s="1"/>
  <c r="G153" i="117"/>
  <c r="E29" i="56" s="1"/>
  <c r="F153" i="117"/>
  <c r="D29" i="56" s="1"/>
  <c r="E153" i="117"/>
  <c r="C29" i="56" s="1"/>
  <c r="P152" i="117"/>
  <c r="N28" i="56" s="1"/>
  <c r="O152" i="117"/>
  <c r="M28" i="56" s="1"/>
  <c r="N152" i="117"/>
  <c r="L28" i="56" s="1"/>
  <c r="M152" i="117"/>
  <c r="K28" i="56" s="1"/>
  <c r="L152" i="117"/>
  <c r="J28" i="56" s="1"/>
  <c r="K152" i="117"/>
  <c r="I28" i="56" s="1"/>
  <c r="J152" i="117"/>
  <c r="H28" i="56" s="1"/>
  <c r="I152" i="117"/>
  <c r="G28" i="56" s="1"/>
  <c r="H152" i="117"/>
  <c r="F28" i="56" s="1"/>
  <c r="G152" i="117"/>
  <c r="E28" i="56" s="1"/>
  <c r="F152" i="117"/>
  <c r="D28" i="56" s="1"/>
  <c r="E152" i="117"/>
  <c r="C28" i="56" s="1"/>
  <c r="F123" i="117"/>
  <c r="E123" i="117"/>
  <c r="F122" i="117"/>
  <c r="F165" i="117" s="1"/>
  <c r="D57" i="56" s="1"/>
  <c r="E122" i="117"/>
  <c r="E165" i="117" s="1"/>
  <c r="C57" i="56" s="1"/>
  <c r="F121" i="117"/>
  <c r="F164" i="117" s="1"/>
  <c r="D53" i="56" s="1"/>
  <c r="D55" i="56" s="1"/>
  <c r="E121" i="117"/>
  <c r="E164" i="117" s="1"/>
  <c r="C53" i="56" s="1"/>
  <c r="C55" i="56" s="1"/>
  <c r="P151" i="117"/>
  <c r="N27" i="56" s="1"/>
  <c r="O151" i="117"/>
  <c r="M27" i="56" s="1"/>
  <c r="N151" i="117"/>
  <c r="L27" i="56" s="1"/>
  <c r="M151" i="117"/>
  <c r="K27" i="56" s="1"/>
  <c r="L151" i="117"/>
  <c r="J27" i="56" s="1"/>
  <c r="K151" i="117"/>
  <c r="I27" i="56" s="1"/>
  <c r="J151" i="117"/>
  <c r="H27" i="56" s="1"/>
  <c r="I151" i="117"/>
  <c r="G27" i="56" s="1"/>
  <c r="H151" i="117"/>
  <c r="F27" i="56" s="1"/>
  <c r="G151" i="117"/>
  <c r="E27" i="56" s="1"/>
  <c r="F151" i="117"/>
  <c r="D27" i="56" s="1"/>
  <c r="E151" i="117"/>
  <c r="C27" i="56" s="1"/>
  <c r="P166" i="117"/>
  <c r="N58" i="56" s="1"/>
  <c r="O166" i="117"/>
  <c r="M58" i="56" s="1"/>
  <c r="N166" i="117"/>
  <c r="L58" i="56" s="1"/>
  <c r="M166" i="117"/>
  <c r="K58" i="56" s="1"/>
  <c r="L166" i="117"/>
  <c r="J58" i="56" s="1"/>
  <c r="K166" i="117"/>
  <c r="I58" i="56" s="1"/>
  <c r="J166" i="117"/>
  <c r="H58" i="56" s="1"/>
  <c r="I166" i="117"/>
  <c r="G58" i="56" s="1"/>
  <c r="H166" i="117"/>
  <c r="F58" i="56" s="1"/>
  <c r="G166" i="117"/>
  <c r="E58" i="56" s="1"/>
  <c r="F166" i="117"/>
  <c r="D58" i="56" s="1"/>
  <c r="E166" i="117"/>
  <c r="C58" i="56" s="1"/>
  <c r="C60" i="56" l="1"/>
  <c r="D60" i="56"/>
  <c r="G60" i="56"/>
  <c r="K60" i="56"/>
  <c r="H60" i="56"/>
  <c r="L60" i="56"/>
  <c r="E60" i="56"/>
  <c r="I60" i="56"/>
  <c r="M60" i="56"/>
  <c r="F60" i="56"/>
  <c r="J60" i="56"/>
  <c r="N60" i="56"/>
  <c r="N60" i="20" l="1"/>
  <c r="M60" i="20"/>
  <c r="L60" i="20"/>
  <c r="K60" i="20"/>
  <c r="J60" i="20"/>
  <c r="I60" i="20"/>
  <c r="H60" i="20"/>
  <c r="G60" i="20"/>
  <c r="F60" i="20"/>
  <c r="E60" i="20"/>
  <c r="D60" i="20"/>
  <c r="C60" i="20"/>
  <c r="F33" i="44"/>
  <c r="D34" i="108" s="1"/>
  <c r="F21" i="44"/>
  <c r="D21" i="108" s="1"/>
  <c r="F20" i="44"/>
  <c r="D20" i="108" s="1"/>
  <c r="F19" i="44"/>
  <c r="F17" i="44"/>
  <c r="V19" i="44" l="1"/>
  <c r="X19" i="44" s="1"/>
  <c r="D19" i="108"/>
  <c r="E20" i="44"/>
  <c r="V20" i="44"/>
  <c r="X20" i="44" s="1"/>
  <c r="E21" i="44"/>
  <c r="V21" i="44"/>
  <c r="X21" i="44" s="1"/>
  <c r="E19" i="44"/>
  <c r="C90" i="44"/>
  <c r="H95" i="80"/>
  <c r="I95" i="80" s="1"/>
  <c r="H101" i="80"/>
  <c r="I101" i="80" s="1"/>
  <c r="H100" i="80"/>
  <c r="I100" i="80" s="1"/>
  <c r="H99" i="80"/>
  <c r="I99" i="80" s="1"/>
  <c r="H96" i="80"/>
  <c r="I96" i="80" s="1"/>
  <c r="H93" i="80"/>
  <c r="I93" i="80" s="1"/>
  <c r="H94" i="80"/>
  <c r="I94" i="80" s="1"/>
  <c r="H102" i="80" l="1"/>
  <c r="I102" i="80" s="1"/>
  <c r="H97" i="80"/>
  <c r="I97" i="80" s="1"/>
  <c r="H92" i="80"/>
  <c r="I92" i="80" s="1"/>
  <c r="H103" i="80" l="1"/>
  <c r="I103" i="80" s="1"/>
  <c r="H98" i="80"/>
  <c r="I98" i="80" s="1"/>
  <c r="N123" i="80" l="1"/>
  <c r="Z123" i="80" s="1"/>
  <c r="AL123" i="80" s="1"/>
  <c r="AX123" i="80" s="1"/>
  <c r="BJ123" i="80" s="1"/>
  <c r="BV123" i="80" s="1"/>
  <c r="N122" i="80"/>
  <c r="Z122" i="80" s="1"/>
  <c r="AL122" i="80" s="1"/>
  <c r="AX122" i="80" s="1"/>
  <c r="BJ122" i="80" s="1"/>
  <c r="BV122" i="80" s="1"/>
  <c r="M123" i="80"/>
  <c r="Y123" i="80" s="1"/>
  <c r="AK123" i="80" s="1"/>
  <c r="AW123" i="80" s="1"/>
  <c r="BI123" i="80" s="1"/>
  <c r="BU123" i="80" s="1"/>
  <c r="M122" i="80"/>
  <c r="Y122" i="80" s="1"/>
  <c r="AK122" i="80" s="1"/>
  <c r="AW122" i="80" s="1"/>
  <c r="BI122" i="80" s="1"/>
  <c r="BU122" i="80" s="1"/>
  <c r="L123" i="80"/>
  <c r="X123" i="80" s="1"/>
  <c r="AJ123" i="80" s="1"/>
  <c r="AV123" i="80" s="1"/>
  <c r="BH123" i="80" s="1"/>
  <c r="BT123" i="80" s="1"/>
  <c r="L122" i="80"/>
  <c r="X122" i="80" s="1"/>
  <c r="AJ122" i="80" s="1"/>
  <c r="K123" i="80"/>
  <c r="W123" i="80" s="1"/>
  <c r="AI123" i="80" s="1"/>
  <c r="K122" i="80"/>
  <c r="W122" i="80" s="1"/>
  <c r="AI122" i="80" s="1"/>
  <c r="AU122" i="80" s="1"/>
  <c r="BG122" i="80" s="1"/>
  <c r="BS122" i="80" s="1"/>
  <c r="J123" i="80"/>
  <c r="J122" i="80"/>
  <c r="V123" i="80" l="1"/>
  <c r="AH123" i="80" s="1"/>
  <c r="AT123" i="80" s="1"/>
  <c r="BF123" i="80" s="1"/>
  <c r="BR123" i="80" s="1"/>
  <c r="CD123" i="80" s="1"/>
  <c r="CD15" i="80" s="1"/>
  <c r="O128" i="80"/>
  <c r="V122" i="80"/>
  <c r="AH122" i="80" s="1"/>
  <c r="AT122" i="80" s="1"/>
  <c r="BF122" i="80" s="1"/>
  <c r="BR122" i="80" s="1"/>
  <c r="CD122" i="80" s="1"/>
  <c r="CD14" i="80" s="1"/>
  <c r="O127" i="80"/>
  <c r="N134" i="80"/>
  <c r="J134" i="80"/>
  <c r="K133" i="80"/>
  <c r="AV122" i="80"/>
  <c r="AU123" i="80"/>
  <c r="K134" i="80"/>
  <c r="L133" i="80"/>
  <c r="M134" i="80"/>
  <c r="N133" i="80"/>
  <c r="J133" i="80"/>
  <c r="L134" i="80"/>
  <c r="M133" i="80"/>
  <c r="N121" i="80"/>
  <c r="M121" i="80"/>
  <c r="L121" i="80"/>
  <c r="K121" i="80"/>
  <c r="J121" i="80"/>
  <c r="I128" i="80"/>
  <c r="I127" i="80"/>
  <c r="H128" i="80"/>
  <c r="H127" i="80"/>
  <c r="G128" i="80"/>
  <c r="G139" i="80" s="1"/>
  <c r="G127" i="80"/>
  <c r="G138" i="80" s="1"/>
  <c r="F128" i="80"/>
  <c r="F139" i="80" s="1"/>
  <c r="F127" i="80"/>
  <c r="F138" i="80" s="1"/>
  <c r="E128" i="80"/>
  <c r="E139" i="80" s="1"/>
  <c r="E127" i="80"/>
  <c r="E138" i="80" s="1"/>
  <c r="D128" i="80"/>
  <c r="D139" i="80" s="1"/>
  <c r="D127" i="80"/>
  <c r="D138" i="80" s="1"/>
  <c r="C127" i="80"/>
  <c r="C128" i="80"/>
  <c r="O126" i="80" l="1"/>
  <c r="O129" i="80" s="1"/>
  <c r="O138" i="80"/>
  <c r="P127" i="80"/>
  <c r="AA127" i="80"/>
  <c r="AM127" i="80" s="1"/>
  <c r="AY127" i="80" s="1"/>
  <c r="BK127" i="80" s="1"/>
  <c r="BW127" i="80" s="1"/>
  <c r="P128" i="80"/>
  <c r="O139" i="80"/>
  <c r="AA128" i="80"/>
  <c r="AM128" i="80" s="1"/>
  <c r="AY128" i="80" s="1"/>
  <c r="BK128" i="80" s="1"/>
  <c r="BW128" i="80" s="1"/>
  <c r="W121" i="80"/>
  <c r="K124" i="80"/>
  <c r="K132" i="80"/>
  <c r="K135" i="80" s="1"/>
  <c r="Z121" i="80"/>
  <c r="N132" i="80"/>
  <c r="N135" i="80" s="1"/>
  <c r="N124" i="80"/>
  <c r="BG123" i="80"/>
  <c r="X121" i="80"/>
  <c r="L124" i="80"/>
  <c r="L132" i="80"/>
  <c r="L135" i="80" s="1"/>
  <c r="BH122" i="80"/>
  <c r="V121" i="80"/>
  <c r="J132" i="80"/>
  <c r="J135" i="80" s="1"/>
  <c r="J124" i="80"/>
  <c r="Y121" i="80"/>
  <c r="M124" i="80"/>
  <c r="M132" i="80"/>
  <c r="M135" i="80" s="1"/>
  <c r="C138" i="80"/>
  <c r="C139" i="80"/>
  <c r="I126" i="80"/>
  <c r="H126" i="80"/>
  <c r="G126" i="80"/>
  <c r="G137" i="80" s="1"/>
  <c r="G140" i="80" s="1"/>
  <c r="F126" i="80"/>
  <c r="F137" i="80" s="1"/>
  <c r="F140" i="80" s="1"/>
  <c r="E126" i="80"/>
  <c r="E137" i="80" s="1"/>
  <c r="E140" i="80" s="1"/>
  <c r="C126" i="80"/>
  <c r="C129" i="80" s="1"/>
  <c r="D126" i="80"/>
  <c r="D137" i="80" s="1"/>
  <c r="D140" i="80" s="1"/>
  <c r="AA126" i="80" l="1"/>
  <c r="AM126" i="80" s="1"/>
  <c r="AY126" i="80" s="1"/>
  <c r="P126" i="80"/>
  <c r="P137" i="80" s="1"/>
  <c r="O137" i="80"/>
  <c r="O140" i="80" s="1"/>
  <c r="Q126" i="80"/>
  <c r="P139" i="80"/>
  <c r="Q128" i="80"/>
  <c r="AB128" i="80"/>
  <c r="AN128" i="80" s="1"/>
  <c r="AZ128" i="80" s="1"/>
  <c r="BL128" i="80" s="1"/>
  <c r="BX128" i="80" s="1"/>
  <c r="P138" i="80"/>
  <c r="Q127" i="80"/>
  <c r="AB127" i="80"/>
  <c r="AN127" i="80" s="1"/>
  <c r="AZ127" i="80" s="1"/>
  <c r="BL127" i="80" s="1"/>
  <c r="BX127" i="80" s="1"/>
  <c r="AK121" i="80"/>
  <c r="Y124" i="80"/>
  <c r="BT122" i="80"/>
  <c r="AH121" i="80"/>
  <c r="V124" i="80"/>
  <c r="X124" i="80"/>
  <c r="AJ121" i="80"/>
  <c r="BS123" i="80"/>
  <c r="AL121" i="80"/>
  <c r="Z124" i="80"/>
  <c r="W124" i="80"/>
  <c r="AI121" i="80"/>
  <c r="D129" i="80"/>
  <c r="C137" i="80"/>
  <c r="C140" i="80" s="1"/>
  <c r="G129" i="80"/>
  <c r="F129" i="80"/>
  <c r="E129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8" i="80"/>
  <c r="D18" i="80"/>
  <c r="E18" i="80"/>
  <c r="F18" i="80"/>
  <c r="G18" i="80"/>
  <c r="C19" i="80"/>
  <c r="D19" i="80"/>
  <c r="E19" i="80"/>
  <c r="F19" i="80"/>
  <c r="G19" i="80"/>
  <c r="C20" i="80"/>
  <c r="D20" i="80"/>
  <c r="E20" i="80"/>
  <c r="F20" i="80"/>
  <c r="G20" i="80"/>
  <c r="AM129" i="80" l="1"/>
  <c r="AB126" i="80"/>
  <c r="AN126" i="80" s="1"/>
  <c r="AN129" i="80" s="1"/>
  <c r="P129" i="80"/>
  <c r="Q139" i="80"/>
  <c r="R128" i="80"/>
  <c r="AC128" i="80"/>
  <c r="AO128" i="80" s="1"/>
  <c r="BA128" i="80" s="1"/>
  <c r="BM128" i="80" s="1"/>
  <c r="BY128" i="80" s="1"/>
  <c r="P140" i="80"/>
  <c r="Q138" i="80"/>
  <c r="R127" i="80"/>
  <c r="AC127" i="80"/>
  <c r="AO127" i="80" s="1"/>
  <c r="BA127" i="80" s="1"/>
  <c r="BM127" i="80" s="1"/>
  <c r="BY127" i="80" s="1"/>
  <c r="R126" i="80"/>
  <c r="Q137" i="80"/>
  <c r="AC126" i="80"/>
  <c r="AO126" i="80" s="1"/>
  <c r="Q129" i="80"/>
  <c r="AY129" i="80"/>
  <c r="BK126" i="80"/>
  <c r="D16" i="80"/>
  <c r="C16" i="80"/>
  <c r="G16" i="80"/>
  <c r="E16" i="80"/>
  <c r="AX121" i="80"/>
  <c r="AL124" i="80"/>
  <c r="AU121" i="80"/>
  <c r="AI124" i="80"/>
  <c r="AV121" i="80"/>
  <c r="AJ124" i="80"/>
  <c r="AH124" i="80"/>
  <c r="AT121" i="80"/>
  <c r="AK124" i="80"/>
  <c r="AW121" i="80"/>
  <c r="G21" i="80"/>
  <c r="C21" i="80"/>
  <c r="D21" i="80"/>
  <c r="E21" i="80"/>
  <c r="F21" i="80"/>
  <c r="F16" i="80"/>
  <c r="A8" i="80"/>
  <c r="A35" i="80"/>
  <c r="AZ126" i="80" l="1"/>
  <c r="Q140" i="80"/>
  <c r="BK129" i="80"/>
  <c r="BW126" i="80"/>
  <c r="BW129" i="80" s="1"/>
  <c r="S126" i="80"/>
  <c r="R137" i="80"/>
  <c r="AD126" i="80"/>
  <c r="AP126" i="80" s="1"/>
  <c r="R129" i="80"/>
  <c r="AZ129" i="80"/>
  <c r="BL126" i="80"/>
  <c r="BA126" i="80"/>
  <c r="AO129" i="80"/>
  <c r="S127" i="80"/>
  <c r="R138" i="80"/>
  <c r="AD127" i="80"/>
  <c r="AP127" i="80" s="1"/>
  <c r="BB127" i="80" s="1"/>
  <c r="BN127" i="80" s="1"/>
  <c r="BZ127" i="80" s="1"/>
  <c r="S128" i="80"/>
  <c r="R139" i="80"/>
  <c r="AD128" i="80"/>
  <c r="AP128" i="80" s="1"/>
  <c r="BB128" i="80" s="1"/>
  <c r="BN128" i="80" s="1"/>
  <c r="BZ128" i="80" s="1"/>
  <c r="C35" i="80"/>
  <c r="G35" i="80"/>
  <c r="D35" i="80"/>
  <c r="E35" i="80"/>
  <c r="F35" i="80"/>
  <c r="BF121" i="80"/>
  <c r="AT124" i="80"/>
  <c r="BJ121" i="80"/>
  <c r="AX124" i="80"/>
  <c r="BH121" i="80"/>
  <c r="AV124" i="80"/>
  <c r="AW124" i="80"/>
  <c r="BI121" i="80"/>
  <c r="BG121" i="80"/>
  <c r="AU124" i="80"/>
  <c r="CC35" i="80"/>
  <c r="CD35" i="80"/>
  <c r="CB35" i="80"/>
  <c r="BM126" i="80" l="1"/>
  <c r="BA129" i="80"/>
  <c r="BL129" i="80"/>
  <c r="BX126" i="80"/>
  <c r="BX129" i="80" s="1"/>
  <c r="R140" i="80"/>
  <c r="BB126" i="80"/>
  <c r="AP129" i="80"/>
  <c r="T127" i="80"/>
  <c r="S138" i="80"/>
  <c r="AE127" i="80"/>
  <c r="AQ127" i="80" s="1"/>
  <c r="BC127" i="80" s="1"/>
  <c r="BO127" i="80" s="1"/>
  <c r="CA127" i="80" s="1"/>
  <c r="T126" i="80"/>
  <c r="S137" i="80"/>
  <c r="AE126" i="80"/>
  <c r="AQ126" i="80" s="1"/>
  <c r="S129" i="80"/>
  <c r="T128" i="80"/>
  <c r="S139" i="80"/>
  <c r="AE128" i="80"/>
  <c r="AQ128" i="80" s="1"/>
  <c r="BC128" i="80" s="1"/>
  <c r="BO128" i="80" s="1"/>
  <c r="CA128" i="80" s="1"/>
  <c r="BV121" i="80"/>
  <c r="BV124" i="80" s="1"/>
  <c r="BJ124" i="80"/>
  <c r="BS121" i="80"/>
  <c r="BS124" i="80" s="1"/>
  <c r="BG124" i="80"/>
  <c r="BI124" i="80"/>
  <c r="BU121" i="80"/>
  <c r="BU124" i="80" s="1"/>
  <c r="BT121" i="80"/>
  <c r="BT124" i="80" s="1"/>
  <c r="BH124" i="80"/>
  <c r="BF124" i="80"/>
  <c r="BR121" i="80"/>
  <c r="N32" i="80"/>
  <c r="M32" i="80"/>
  <c r="L32" i="80"/>
  <c r="K32" i="80"/>
  <c r="J32" i="80"/>
  <c r="N26" i="80"/>
  <c r="M26" i="80"/>
  <c r="L26" i="80"/>
  <c r="K26" i="80"/>
  <c r="J26" i="80"/>
  <c r="S140" i="80" l="1"/>
  <c r="U127" i="80"/>
  <c r="T138" i="80"/>
  <c r="AF127" i="80"/>
  <c r="AR127" i="80" s="1"/>
  <c r="BD127" i="80" s="1"/>
  <c r="BP127" i="80" s="1"/>
  <c r="CB127" i="80" s="1"/>
  <c r="CB19" i="80" s="1"/>
  <c r="U128" i="80"/>
  <c r="T139" i="80"/>
  <c r="AF128" i="80"/>
  <c r="AR128" i="80" s="1"/>
  <c r="BD128" i="80" s="1"/>
  <c r="BP128" i="80" s="1"/>
  <c r="CB128" i="80" s="1"/>
  <c r="CB20" i="80" s="1"/>
  <c r="U126" i="80"/>
  <c r="T137" i="80"/>
  <c r="AF126" i="80"/>
  <c r="AR126" i="80" s="1"/>
  <c r="T129" i="80"/>
  <c r="BN126" i="80"/>
  <c r="BB129" i="80"/>
  <c r="AQ129" i="80"/>
  <c r="BC126" i="80"/>
  <c r="BM129" i="80"/>
  <c r="BY126" i="80"/>
  <c r="BY129" i="80" s="1"/>
  <c r="CD121" i="80"/>
  <c r="BR124" i="80"/>
  <c r="BO20" i="80"/>
  <c r="BN20" i="80"/>
  <c r="BM20" i="80"/>
  <c r="BL20" i="80"/>
  <c r="BK20" i="80"/>
  <c r="BC20" i="80"/>
  <c r="BB20" i="80"/>
  <c r="BA20" i="80"/>
  <c r="AZ20" i="80"/>
  <c r="AY20" i="80"/>
  <c r="AQ20" i="80"/>
  <c r="AP20" i="80"/>
  <c r="AO20" i="80"/>
  <c r="AN20" i="80"/>
  <c r="AM20" i="80"/>
  <c r="AE20" i="80"/>
  <c r="AD20" i="80"/>
  <c r="AC20" i="80"/>
  <c r="AB20" i="80"/>
  <c r="AA20" i="80"/>
  <c r="BO19" i="80"/>
  <c r="BN19" i="80"/>
  <c r="BM19" i="80"/>
  <c r="BL19" i="80"/>
  <c r="BK19" i="80"/>
  <c r="BC19" i="80"/>
  <c r="BB19" i="80"/>
  <c r="BA19" i="80"/>
  <c r="AZ19" i="80"/>
  <c r="AY19" i="80"/>
  <c r="AQ19" i="80"/>
  <c r="AP19" i="80"/>
  <c r="AO19" i="80"/>
  <c r="AN19" i="80"/>
  <c r="AM19" i="80"/>
  <c r="AE19" i="80"/>
  <c r="AD19" i="80"/>
  <c r="AC19" i="80"/>
  <c r="AB19" i="80"/>
  <c r="AA19" i="80"/>
  <c r="BN18" i="80"/>
  <c r="BM18" i="80"/>
  <c r="BL18" i="80"/>
  <c r="BK18" i="80"/>
  <c r="BC18" i="80"/>
  <c r="BB18" i="80"/>
  <c r="BA18" i="80"/>
  <c r="AZ18" i="80"/>
  <c r="AY18" i="80"/>
  <c r="AQ18" i="80"/>
  <c r="AP18" i="80"/>
  <c r="AO18" i="80"/>
  <c r="AN18" i="80"/>
  <c r="AM18" i="80"/>
  <c r="AE18" i="80"/>
  <c r="AD18" i="80"/>
  <c r="AC18" i="80"/>
  <c r="AB18" i="80"/>
  <c r="AA18" i="80"/>
  <c r="BU15" i="80"/>
  <c r="BT15" i="80"/>
  <c r="BS15" i="80"/>
  <c r="BR15" i="80"/>
  <c r="BQ15" i="80"/>
  <c r="BP15" i="80"/>
  <c r="BJ15" i="80"/>
  <c r="BI15" i="80"/>
  <c r="BH15" i="80"/>
  <c r="BG15" i="80"/>
  <c r="BF15" i="80"/>
  <c r="BE15" i="80"/>
  <c r="BD15" i="80"/>
  <c r="AX15" i="80"/>
  <c r="AW15" i="80"/>
  <c r="AV15" i="80"/>
  <c r="AU15" i="80"/>
  <c r="AT15" i="80"/>
  <c r="AS15" i="80"/>
  <c r="AR15" i="80"/>
  <c r="AL15" i="80"/>
  <c r="AK15" i="80"/>
  <c r="AJ15" i="80"/>
  <c r="AI15" i="80"/>
  <c r="AH15" i="80"/>
  <c r="AG15" i="80"/>
  <c r="AF15" i="80"/>
  <c r="Z15" i="80"/>
  <c r="Y15" i="80"/>
  <c r="X15" i="80"/>
  <c r="W15" i="80"/>
  <c r="V15" i="80"/>
  <c r="U15" i="80"/>
  <c r="T15" i="80"/>
  <c r="BU14" i="80"/>
  <c r="BT14" i="80"/>
  <c r="BS14" i="80"/>
  <c r="BR14" i="80"/>
  <c r="BQ14" i="80"/>
  <c r="BP14" i="80"/>
  <c r="BJ14" i="80"/>
  <c r="BI14" i="80"/>
  <c r="BH14" i="80"/>
  <c r="BG14" i="80"/>
  <c r="BF14" i="80"/>
  <c r="BE14" i="80"/>
  <c r="BD14" i="80"/>
  <c r="AX14" i="80"/>
  <c r="AW14" i="80"/>
  <c r="AV14" i="80"/>
  <c r="AU14" i="80"/>
  <c r="AT14" i="80"/>
  <c r="AS14" i="80"/>
  <c r="AR14" i="80"/>
  <c r="AL14" i="80"/>
  <c r="AK14" i="80"/>
  <c r="AJ14" i="80"/>
  <c r="AI14" i="80"/>
  <c r="AH14" i="80"/>
  <c r="AG14" i="80"/>
  <c r="AF14" i="80"/>
  <c r="Z14" i="80"/>
  <c r="Y14" i="80"/>
  <c r="X14" i="80"/>
  <c r="W14" i="80"/>
  <c r="V14" i="80"/>
  <c r="U14" i="80"/>
  <c r="T14" i="80"/>
  <c r="BU13" i="80"/>
  <c r="BT13" i="80"/>
  <c r="BS13" i="80"/>
  <c r="BR13" i="80"/>
  <c r="BQ13" i="80"/>
  <c r="BP13" i="80"/>
  <c r="BJ13" i="80"/>
  <c r="BI13" i="80"/>
  <c r="BH13" i="80"/>
  <c r="BG13" i="80"/>
  <c r="BF13" i="80"/>
  <c r="BE13" i="80"/>
  <c r="BD13" i="80"/>
  <c r="AX13" i="80"/>
  <c r="AW13" i="80"/>
  <c r="AV13" i="80"/>
  <c r="AU13" i="80"/>
  <c r="AT13" i="80"/>
  <c r="AS13" i="80"/>
  <c r="AR13" i="80"/>
  <c r="AL13" i="80"/>
  <c r="AK13" i="80"/>
  <c r="AJ13" i="80"/>
  <c r="AI13" i="80"/>
  <c r="AH13" i="80"/>
  <c r="AG13" i="80"/>
  <c r="AG16" i="80" s="1"/>
  <c r="AF13" i="80"/>
  <c r="Z13" i="80"/>
  <c r="Y13" i="80"/>
  <c r="X13" i="80"/>
  <c r="X16" i="80" s="1"/>
  <c r="W13" i="80"/>
  <c r="V13" i="80"/>
  <c r="U13" i="80"/>
  <c r="T13" i="80"/>
  <c r="T16" i="80" s="1"/>
  <c r="S20" i="80"/>
  <c r="R20" i="80"/>
  <c r="Q20" i="80"/>
  <c r="P20" i="80"/>
  <c r="O20" i="80"/>
  <c r="S19" i="80"/>
  <c r="R19" i="80"/>
  <c r="Q19" i="80"/>
  <c r="P19" i="80"/>
  <c r="O19" i="80"/>
  <c r="S18" i="80"/>
  <c r="R18" i="80"/>
  <c r="Q18" i="80"/>
  <c r="P18" i="80"/>
  <c r="O18" i="80"/>
  <c r="I15" i="80"/>
  <c r="H15" i="80"/>
  <c r="I14" i="80"/>
  <c r="H14" i="80"/>
  <c r="I13" i="80"/>
  <c r="H13" i="80"/>
  <c r="N15" i="80"/>
  <c r="M15" i="80"/>
  <c r="L15" i="80"/>
  <c r="K15" i="80"/>
  <c r="J15" i="80"/>
  <c r="N14" i="80"/>
  <c r="M14" i="80"/>
  <c r="L14" i="80"/>
  <c r="K14" i="80"/>
  <c r="J14" i="80"/>
  <c r="N13" i="80"/>
  <c r="M13" i="80"/>
  <c r="L13" i="80"/>
  <c r="K13" i="80"/>
  <c r="J13" i="80"/>
  <c r="AA21" i="80" l="1"/>
  <c r="AE21" i="80"/>
  <c r="AP21" i="80"/>
  <c r="AD21" i="80"/>
  <c r="AO21" i="80"/>
  <c r="AZ21" i="80"/>
  <c r="BK21" i="80"/>
  <c r="BA21" i="80"/>
  <c r="T140" i="80"/>
  <c r="BN129" i="80"/>
  <c r="BZ126" i="80"/>
  <c r="BZ129" i="80" s="1"/>
  <c r="U137" i="80"/>
  <c r="AG126" i="80"/>
  <c r="AS126" i="80" s="1"/>
  <c r="U129" i="80"/>
  <c r="BC129" i="80"/>
  <c r="BO126" i="80"/>
  <c r="AR129" i="80"/>
  <c r="BD126" i="80"/>
  <c r="U138" i="80"/>
  <c r="AG127" i="80"/>
  <c r="AS127" i="80" s="1"/>
  <c r="BE127" i="80" s="1"/>
  <c r="BQ127" i="80" s="1"/>
  <c r="CC127" i="80" s="1"/>
  <c r="CC19" i="80" s="1"/>
  <c r="U139" i="80"/>
  <c r="AG128" i="80"/>
  <c r="AS128" i="80" s="1"/>
  <c r="BE128" i="80" s="1"/>
  <c r="BQ128" i="80" s="1"/>
  <c r="CC128" i="80" s="1"/>
  <c r="CC20" i="80" s="1"/>
  <c r="BL21" i="80"/>
  <c r="K16" i="80"/>
  <c r="P21" i="80"/>
  <c r="M16" i="80"/>
  <c r="CD124" i="80"/>
  <c r="CD13" i="80"/>
  <c r="CD16" i="80" s="1"/>
  <c r="CD59" i="80" s="1"/>
  <c r="BT16" i="80"/>
  <c r="BG16" i="80"/>
  <c r="BP16" i="80"/>
  <c r="AX16" i="80"/>
  <c r="AT16" i="80"/>
  <c r="AK16" i="80"/>
  <c r="S21" i="80"/>
  <c r="O21" i="80"/>
  <c r="R21" i="80"/>
  <c r="Q21" i="80"/>
  <c r="Y16" i="80"/>
  <c r="AL16" i="80"/>
  <c r="BD16" i="80"/>
  <c r="BU16" i="80"/>
  <c r="J16" i="80"/>
  <c r="N16" i="80"/>
  <c r="L16" i="80"/>
  <c r="H16" i="80"/>
  <c r="V16" i="80"/>
  <c r="Z16" i="80"/>
  <c r="AI16" i="80"/>
  <c r="AR16" i="80"/>
  <c r="AV16" i="80"/>
  <c r="BE16" i="80"/>
  <c r="BI16" i="80"/>
  <c r="BR16" i="80"/>
  <c r="AB21" i="80"/>
  <c r="AM21" i="80"/>
  <c r="AQ21" i="80"/>
  <c r="BB21" i="80"/>
  <c r="BM21" i="80"/>
  <c r="U16" i="80"/>
  <c r="AH16" i="80"/>
  <c r="AU16" i="80"/>
  <c r="BH16" i="80"/>
  <c r="BQ16" i="80"/>
  <c r="I16" i="80"/>
  <c r="W16" i="80"/>
  <c r="AF16" i="80"/>
  <c r="AJ16" i="80"/>
  <c r="AS16" i="80"/>
  <c r="AW16" i="80"/>
  <c r="BF16" i="80"/>
  <c r="BJ16" i="80"/>
  <c r="BS16" i="80"/>
  <c r="AC21" i="80"/>
  <c r="AN21" i="80"/>
  <c r="AY21" i="80"/>
  <c r="BC21" i="80"/>
  <c r="BN21" i="80"/>
  <c r="P52" i="60"/>
  <c r="Q52" i="60" s="1"/>
  <c r="O52" i="60"/>
  <c r="N52" i="60"/>
  <c r="M52" i="60"/>
  <c r="L52" i="60"/>
  <c r="K52" i="60"/>
  <c r="J52" i="60"/>
  <c r="I52" i="60"/>
  <c r="H52" i="60"/>
  <c r="G52" i="60"/>
  <c r="F52" i="60"/>
  <c r="E52" i="60"/>
  <c r="D52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U140" i="80" l="1"/>
  <c r="AS129" i="80"/>
  <c r="BE126" i="80"/>
  <c r="BO129" i="80"/>
  <c r="CA126" i="80"/>
  <c r="CA129" i="80" s="1"/>
  <c r="BO18" i="80"/>
  <c r="BO21" i="80" s="1"/>
  <c r="BD129" i="80"/>
  <c r="BP126" i="80"/>
  <c r="F56" i="61"/>
  <c r="E51" i="61"/>
  <c r="E48" i="61"/>
  <c r="E41" i="61"/>
  <c r="E39" i="61"/>
  <c r="H38" i="61"/>
  <c r="E38" i="61"/>
  <c r="H27" i="61"/>
  <c r="H20" i="61"/>
  <c r="H12" i="61"/>
  <c r="BP129" i="80" l="1"/>
  <c r="CB126" i="80"/>
  <c r="BQ126" i="80"/>
  <c r="BE129" i="80"/>
  <c r="C81" i="115"/>
  <c r="C65" i="115"/>
  <c r="C51" i="115"/>
  <c r="C59" i="115" s="1"/>
  <c r="C50" i="115"/>
  <c r="C58" i="115" s="1"/>
  <c r="C49" i="115"/>
  <c r="C57" i="115" s="1"/>
  <c r="C25" i="115"/>
  <c r="C34" i="115" s="1"/>
  <c r="C43" i="115" s="1"/>
  <c r="C24" i="115"/>
  <c r="C33" i="115" s="1"/>
  <c r="C42" i="115" s="1"/>
  <c r="C23" i="115"/>
  <c r="C32" i="115" s="1"/>
  <c r="C41" i="115" s="1"/>
  <c r="C22" i="115"/>
  <c r="C31" i="115" s="1"/>
  <c r="C40" i="115" s="1"/>
  <c r="C16" i="115"/>
  <c r="C15" i="115"/>
  <c r="C14" i="115"/>
  <c r="C13" i="115"/>
  <c r="G12" i="91"/>
  <c r="CC126" i="80" l="1"/>
  <c r="BQ129" i="80"/>
  <c r="CB18" i="80"/>
  <c r="CB21" i="80" s="1"/>
  <c r="CB60" i="80" s="1"/>
  <c r="CB129" i="80"/>
  <c r="D26" i="60"/>
  <c r="E26" i="60"/>
  <c r="F26" i="60"/>
  <c r="G26" i="60"/>
  <c r="H26" i="60"/>
  <c r="I26" i="60"/>
  <c r="J26" i="60"/>
  <c r="K26" i="60"/>
  <c r="L26" i="60"/>
  <c r="M26" i="60"/>
  <c r="N26" i="60"/>
  <c r="O26" i="60"/>
  <c r="D15" i="60"/>
  <c r="E15" i="60"/>
  <c r="F15" i="60"/>
  <c r="G15" i="60"/>
  <c r="H15" i="60"/>
  <c r="J15" i="60"/>
  <c r="K15" i="60"/>
  <c r="L15" i="60"/>
  <c r="M15" i="60"/>
  <c r="N15" i="60"/>
  <c r="O15" i="60"/>
  <c r="CC18" i="80" l="1"/>
  <c r="CC21" i="80" s="1"/>
  <c r="CC60" i="80" s="1"/>
  <c r="CC129" i="80"/>
  <c r="O73" i="113"/>
  <c r="O19" i="113"/>
  <c r="B64" i="64" l="1"/>
  <c r="N43" i="20" l="1"/>
  <c r="M43" i="20"/>
  <c r="L43" i="20"/>
  <c r="K43" i="20"/>
  <c r="J43" i="20"/>
  <c r="I43" i="20"/>
  <c r="H43" i="20"/>
  <c r="G43" i="20"/>
  <c r="F43" i="20"/>
  <c r="E43" i="20"/>
  <c r="D43" i="20"/>
  <c r="C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G67" i="82"/>
  <c r="F67" i="82"/>
  <c r="E67" i="82"/>
  <c r="D67" i="82"/>
  <c r="C67" i="82"/>
  <c r="G66" i="82"/>
  <c r="F66" i="82"/>
  <c r="E66" i="82"/>
  <c r="D66" i="82"/>
  <c r="C66" i="82"/>
  <c r="G65" i="82"/>
  <c r="F65" i="82"/>
  <c r="E65" i="82"/>
  <c r="D65" i="82"/>
  <c r="C65" i="82"/>
  <c r="N41" i="20"/>
  <c r="M41" i="20"/>
  <c r="L41" i="20"/>
  <c r="K41" i="20"/>
  <c r="J41" i="20"/>
  <c r="I41" i="20"/>
  <c r="H41" i="20"/>
  <c r="G41" i="20"/>
  <c r="F41" i="20"/>
  <c r="E41" i="20"/>
  <c r="D41" i="20"/>
  <c r="C41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N20" i="20"/>
  <c r="O21" i="60" s="1"/>
  <c r="M20" i="20"/>
  <c r="N21" i="60" s="1"/>
  <c r="L20" i="20"/>
  <c r="M21" i="60" s="1"/>
  <c r="K20" i="20"/>
  <c r="L21" i="60" s="1"/>
  <c r="J20" i="20"/>
  <c r="K21" i="60" s="1"/>
  <c r="I20" i="20"/>
  <c r="J21" i="60" s="1"/>
  <c r="H20" i="20"/>
  <c r="I21" i="60" s="1"/>
  <c r="G20" i="20"/>
  <c r="H21" i="60" s="1"/>
  <c r="F20" i="20"/>
  <c r="G21" i="60" s="1"/>
  <c r="E20" i="20"/>
  <c r="F21" i="60" s="1"/>
  <c r="D20" i="20"/>
  <c r="E21" i="60" s="1"/>
  <c r="C20" i="20"/>
  <c r="D21" i="60" s="1"/>
  <c r="N13" i="20"/>
  <c r="O12" i="60" s="1"/>
  <c r="M13" i="20"/>
  <c r="N12" i="60" s="1"/>
  <c r="L13" i="20"/>
  <c r="M12" i="60" s="1"/>
  <c r="K13" i="20"/>
  <c r="L12" i="60" s="1"/>
  <c r="E11" i="78" s="1"/>
  <c r="J13" i="20"/>
  <c r="K12" i="60" s="1"/>
  <c r="D11" i="78" s="1"/>
  <c r="I13" i="20"/>
  <c r="J12" i="60" s="1"/>
  <c r="C11" i="78" s="1"/>
  <c r="H13" i="20"/>
  <c r="I12" i="60" s="1"/>
  <c r="G13" i="20"/>
  <c r="H12" i="60" s="1"/>
  <c r="F13" i="20"/>
  <c r="G12" i="60" s="1"/>
  <c r="E13" i="20"/>
  <c r="F12" i="60" s="1"/>
  <c r="D13" i="20"/>
  <c r="E12" i="60" s="1"/>
  <c r="C13" i="20"/>
  <c r="D12" i="60" s="1"/>
  <c r="E13" i="64" l="1"/>
  <c r="G13" i="64"/>
  <c r="I13" i="64"/>
  <c r="K13" i="64"/>
  <c r="M13" i="64"/>
  <c r="O13" i="64"/>
  <c r="E19" i="64"/>
  <c r="G19" i="64"/>
  <c r="I19" i="64"/>
  <c r="K19" i="64"/>
  <c r="M19" i="64"/>
  <c r="O19" i="64"/>
  <c r="E25" i="64"/>
  <c r="G25" i="64"/>
  <c r="I25" i="64"/>
  <c r="K25" i="64"/>
  <c r="M25" i="64"/>
  <c r="O25" i="64"/>
  <c r="E31" i="64"/>
  <c r="G31" i="64"/>
  <c r="I31" i="64"/>
  <c r="K31" i="64"/>
  <c r="M31" i="64"/>
  <c r="O31" i="64"/>
  <c r="E37" i="64"/>
  <c r="G37" i="64"/>
  <c r="I37" i="64"/>
  <c r="K37" i="64"/>
  <c r="M37" i="64"/>
  <c r="O37" i="64"/>
  <c r="E42" i="64"/>
  <c r="G42" i="64"/>
  <c r="I42" i="64"/>
  <c r="K42" i="64"/>
  <c r="M42" i="64"/>
  <c r="O42" i="64"/>
  <c r="E43" i="64"/>
  <c r="G43" i="64"/>
  <c r="I43" i="64"/>
  <c r="K43" i="64"/>
  <c r="M43" i="64"/>
  <c r="O43" i="64"/>
  <c r="F13" i="64"/>
  <c r="J13" i="64"/>
  <c r="N13" i="64"/>
  <c r="F19" i="64"/>
  <c r="J19" i="64"/>
  <c r="N19" i="64"/>
  <c r="F25" i="64"/>
  <c r="J25" i="64"/>
  <c r="N25" i="64"/>
  <c r="F31" i="64"/>
  <c r="J31" i="64"/>
  <c r="N31" i="64"/>
  <c r="F37" i="64"/>
  <c r="J37" i="64"/>
  <c r="N37" i="64"/>
  <c r="F42" i="64"/>
  <c r="J42" i="64"/>
  <c r="N42" i="64"/>
  <c r="F43" i="64"/>
  <c r="J43" i="64"/>
  <c r="N43" i="64"/>
  <c r="F50" i="64"/>
  <c r="H50" i="64"/>
  <c r="J50" i="64"/>
  <c r="L50" i="64"/>
  <c r="N50" i="64"/>
  <c r="D42" i="64"/>
  <c r="H13" i="64"/>
  <c r="L13" i="64"/>
  <c r="H19" i="64"/>
  <c r="L19" i="64"/>
  <c r="H25" i="64"/>
  <c r="L25" i="64"/>
  <c r="H31" i="64"/>
  <c r="L31" i="64"/>
  <c r="H37" i="64"/>
  <c r="L37" i="64"/>
  <c r="H42" i="64"/>
  <c r="L42" i="64"/>
  <c r="H43" i="64"/>
  <c r="L43" i="64"/>
  <c r="E50" i="64"/>
  <c r="G50" i="64"/>
  <c r="I50" i="64"/>
  <c r="K50" i="64"/>
  <c r="M50" i="64"/>
  <c r="O50" i="64"/>
  <c r="D50" i="64"/>
  <c r="D43" i="64"/>
  <c r="D37" i="64"/>
  <c r="D31" i="64"/>
  <c r="D25" i="64"/>
  <c r="D19" i="64"/>
  <c r="D13" i="64"/>
  <c r="O49" i="64" l="1"/>
  <c r="G49" i="64"/>
  <c r="N49" i="64"/>
  <c r="F49" i="64"/>
  <c r="N36" i="64"/>
  <c r="F30" i="64"/>
  <c r="N24" i="64"/>
  <c r="N12" i="64"/>
  <c r="O36" i="64"/>
  <c r="G36" i="64"/>
  <c r="K30" i="64"/>
  <c r="O24" i="64"/>
  <c r="G24" i="64"/>
  <c r="K12" i="64"/>
  <c r="K49" i="64"/>
  <c r="J49" i="64"/>
  <c r="F36" i="64"/>
  <c r="N30" i="64"/>
  <c r="F24" i="64"/>
  <c r="F12" i="64"/>
  <c r="K36" i="64"/>
  <c r="O30" i="64"/>
  <c r="G30" i="64"/>
  <c r="K24" i="64"/>
  <c r="O12" i="64"/>
  <c r="G12" i="64"/>
  <c r="H36" i="64"/>
  <c r="H30" i="64"/>
  <c r="H24" i="64"/>
  <c r="H18" i="64"/>
  <c r="H12" i="64"/>
  <c r="N18" i="64"/>
  <c r="F18" i="64"/>
  <c r="O18" i="64"/>
  <c r="K18" i="64"/>
  <c r="G18" i="64"/>
  <c r="M49" i="64"/>
  <c r="I49" i="64"/>
  <c r="L36" i="64"/>
  <c r="L30" i="64"/>
  <c r="L24" i="64"/>
  <c r="L18" i="64"/>
  <c r="L12" i="64"/>
  <c r="L49" i="64"/>
  <c r="H49" i="64"/>
  <c r="J36" i="64"/>
  <c r="J30" i="64"/>
  <c r="J24" i="64"/>
  <c r="J18" i="64"/>
  <c r="J12" i="64"/>
  <c r="E49" i="64"/>
  <c r="M36" i="64"/>
  <c r="I36" i="64"/>
  <c r="E36" i="64"/>
  <c r="M30" i="64"/>
  <c r="I30" i="64"/>
  <c r="E30" i="64"/>
  <c r="M24" i="64"/>
  <c r="I24" i="64"/>
  <c r="E24" i="64"/>
  <c r="M18" i="64"/>
  <c r="I18" i="64"/>
  <c r="E18" i="64"/>
  <c r="M12" i="64"/>
  <c r="I12" i="64"/>
  <c r="E12" i="64"/>
  <c r="D12" i="64"/>
  <c r="D30" i="64"/>
  <c r="D36" i="64" l="1"/>
  <c r="D49" i="64"/>
  <c r="D24" i="64"/>
  <c r="D18" i="64" l="1"/>
  <c r="AG7" i="78" l="1"/>
  <c r="AH7" i="78" s="1"/>
  <c r="AI7" i="78" s="1"/>
  <c r="AJ7" i="78" s="1"/>
  <c r="AK7" i="78" s="1"/>
  <c r="AL7" i="78" s="1"/>
  <c r="B12" i="82" l="1"/>
  <c r="O440" i="82" l="1"/>
  <c r="N440" i="82"/>
  <c r="M440" i="82"/>
  <c r="L440" i="82"/>
  <c r="K440" i="82"/>
  <c r="O439" i="82"/>
  <c r="N439" i="82"/>
  <c r="M439" i="82"/>
  <c r="L439" i="82"/>
  <c r="K439" i="82"/>
  <c r="O438" i="82"/>
  <c r="N438" i="82"/>
  <c r="M438" i="82"/>
  <c r="L438" i="82"/>
  <c r="K438" i="82"/>
  <c r="O437" i="82"/>
  <c r="N437" i="82"/>
  <c r="M437" i="82"/>
  <c r="L437" i="82"/>
  <c r="K437" i="82"/>
  <c r="O436" i="82"/>
  <c r="N436" i="82"/>
  <c r="M436" i="82"/>
  <c r="L436" i="82"/>
  <c r="K436" i="82"/>
  <c r="O435" i="82"/>
  <c r="N435" i="82"/>
  <c r="M435" i="82"/>
  <c r="L435" i="82"/>
  <c r="K435" i="82"/>
  <c r="O434" i="82"/>
  <c r="N434" i="82"/>
  <c r="M434" i="82"/>
  <c r="L434" i="82"/>
  <c r="K434" i="82"/>
  <c r="O433" i="82"/>
  <c r="N433" i="82"/>
  <c r="M433" i="82"/>
  <c r="L433" i="82"/>
  <c r="K433" i="82"/>
  <c r="O432" i="82"/>
  <c r="N432" i="82"/>
  <c r="M432" i="82"/>
  <c r="L432" i="82"/>
  <c r="K432" i="82"/>
  <c r="O431" i="82"/>
  <c r="N431" i="82"/>
  <c r="M431" i="82"/>
  <c r="L431" i="82"/>
  <c r="K431" i="82"/>
  <c r="O430" i="82"/>
  <c r="N430" i="82"/>
  <c r="M430" i="82"/>
  <c r="L430" i="82"/>
  <c r="K430" i="82"/>
  <c r="O429" i="82"/>
  <c r="N429" i="82"/>
  <c r="M429" i="82"/>
  <c r="L429" i="82"/>
  <c r="K429" i="82"/>
  <c r="O428" i="82"/>
  <c r="N428" i="82"/>
  <c r="M428" i="82"/>
  <c r="L428" i="82"/>
  <c r="K428" i="82"/>
  <c r="O427" i="82"/>
  <c r="N427" i="82"/>
  <c r="M427" i="82"/>
  <c r="L427" i="82"/>
  <c r="K427" i="82"/>
  <c r="O426" i="82"/>
  <c r="N426" i="82"/>
  <c r="M426" i="82"/>
  <c r="L426" i="82"/>
  <c r="K426" i="82"/>
  <c r="O425" i="82"/>
  <c r="N425" i="82"/>
  <c r="M425" i="82"/>
  <c r="L425" i="82"/>
  <c r="K425" i="82"/>
  <c r="O424" i="82"/>
  <c r="N424" i="82"/>
  <c r="M424" i="82"/>
  <c r="L424" i="82"/>
  <c r="K424" i="82"/>
  <c r="O423" i="82"/>
  <c r="N423" i="82"/>
  <c r="M423" i="82"/>
  <c r="L423" i="82"/>
  <c r="K423" i="82"/>
  <c r="O422" i="82"/>
  <c r="N422" i="82"/>
  <c r="M422" i="82"/>
  <c r="L422" i="82"/>
  <c r="K422" i="82"/>
  <c r="O421" i="82"/>
  <c r="N421" i="82"/>
  <c r="M421" i="82"/>
  <c r="L421" i="82"/>
  <c r="K421" i="82"/>
  <c r="O420" i="82"/>
  <c r="N420" i="82"/>
  <c r="M420" i="82"/>
  <c r="L420" i="82"/>
  <c r="K420" i="82"/>
  <c r="O419" i="82"/>
  <c r="N419" i="82"/>
  <c r="M419" i="82"/>
  <c r="L419" i="82"/>
  <c r="K419" i="82"/>
  <c r="O418" i="82"/>
  <c r="N418" i="82"/>
  <c r="M418" i="82"/>
  <c r="L418" i="82"/>
  <c r="K418" i="82"/>
  <c r="O417" i="82"/>
  <c r="N417" i="82"/>
  <c r="M417" i="82"/>
  <c r="L417" i="82"/>
  <c r="K417" i="82"/>
  <c r="O416" i="82"/>
  <c r="N416" i="82"/>
  <c r="M416" i="82"/>
  <c r="L416" i="82"/>
  <c r="K416" i="82"/>
  <c r="O415" i="82"/>
  <c r="N415" i="82"/>
  <c r="M415" i="82"/>
  <c r="L415" i="82"/>
  <c r="K415" i="82"/>
  <c r="O414" i="82"/>
  <c r="N414" i="82"/>
  <c r="M414" i="82"/>
  <c r="L414" i="82"/>
  <c r="K414" i="82"/>
  <c r="O413" i="82"/>
  <c r="N413" i="82"/>
  <c r="M413" i="82"/>
  <c r="L413" i="82"/>
  <c r="K413" i="82"/>
  <c r="O412" i="82"/>
  <c r="N412" i="82"/>
  <c r="M412" i="82"/>
  <c r="L412" i="82"/>
  <c r="K412" i="82"/>
  <c r="O411" i="82"/>
  <c r="N411" i="82"/>
  <c r="M411" i="82"/>
  <c r="L411" i="82"/>
  <c r="K411" i="82"/>
  <c r="O410" i="82"/>
  <c r="N410" i="82"/>
  <c r="M410" i="82"/>
  <c r="L410" i="82"/>
  <c r="K410" i="82"/>
  <c r="O409" i="82"/>
  <c r="N409" i="82"/>
  <c r="M409" i="82"/>
  <c r="L409" i="82"/>
  <c r="K409" i="82"/>
  <c r="O408" i="82"/>
  <c r="N408" i="82"/>
  <c r="M408" i="82"/>
  <c r="L408" i="82"/>
  <c r="K408" i="82"/>
  <c r="O407" i="82"/>
  <c r="N407" i="82"/>
  <c r="M407" i="82"/>
  <c r="L407" i="82"/>
  <c r="K407" i="82"/>
  <c r="O406" i="82"/>
  <c r="N406" i="82"/>
  <c r="M406" i="82"/>
  <c r="L406" i="82"/>
  <c r="K406" i="82"/>
  <c r="O405" i="82"/>
  <c r="N405" i="82"/>
  <c r="M405" i="82"/>
  <c r="L405" i="82"/>
  <c r="K405" i="82"/>
  <c r="O404" i="82"/>
  <c r="N404" i="82"/>
  <c r="M404" i="82"/>
  <c r="L404" i="82"/>
  <c r="K404" i="82"/>
  <c r="O403" i="82"/>
  <c r="N403" i="82"/>
  <c r="M403" i="82"/>
  <c r="L403" i="82"/>
  <c r="K403" i="82"/>
  <c r="O402" i="82"/>
  <c r="N402" i="82"/>
  <c r="M402" i="82"/>
  <c r="L402" i="82"/>
  <c r="K402" i="82"/>
  <c r="O401" i="82"/>
  <c r="N401" i="82"/>
  <c r="M401" i="82"/>
  <c r="L401" i="82"/>
  <c r="K401" i="82"/>
  <c r="O400" i="82"/>
  <c r="N400" i="82"/>
  <c r="M400" i="82"/>
  <c r="L400" i="82"/>
  <c r="K400" i="82"/>
  <c r="O399" i="82"/>
  <c r="N399" i="82"/>
  <c r="M399" i="82"/>
  <c r="L399" i="82"/>
  <c r="K399" i="82"/>
  <c r="O398" i="82"/>
  <c r="N398" i="82"/>
  <c r="M398" i="82"/>
  <c r="L398" i="82"/>
  <c r="K398" i="82"/>
  <c r="O397" i="82"/>
  <c r="N397" i="82"/>
  <c r="M397" i="82"/>
  <c r="L397" i="82"/>
  <c r="K397" i="82"/>
  <c r="O396" i="82"/>
  <c r="N396" i="82"/>
  <c r="M396" i="82"/>
  <c r="L396" i="82"/>
  <c r="K396" i="82"/>
  <c r="O395" i="82"/>
  <c r="N395" i="82"/>
  <c r="M395" i="82"/>
  <c r="L395" i="82"/>
  <c r="K395" i="82"/>
  <c r="O394" i="82"/>
  <c r="N394" i="82"/>
  <c r="M394" i="82"/>
  <c r="L394" i="82"/>
  <c r="K394" i="82"/>
  <c r="O393" i="82"/>
  <c r="N393" i="82"/>
  <c r="M393" i="82"/>
  <c r="L393" i="82"/>
  <c r="K393" i="82"/>
  <c r="O392" i="82"/>
  <c r="N392" i="82"/>
  <c r="M392" i="82"/>
  <c r="L392" i="82"/>
  <c r="K392" i="82"/>
  <c r="O391" i="82"/>
  <c r="N391" i="82"/>
  <c r="M391" i="82"/>
  <c r="L391" i="82"/>
  <c r="K391" i="82"/>
  <c r="O390" i="82"/>
  <c r="N390" i="82"/>
  <c r="M390" i="82"/>
  <c r="L390" i="82"/>
  <c r="K390" i="82"/>
  <c r="O389" i="82"/>
  <c r="N389" i="82"/>
  <c r="M389" i="82"/>
  <c r="L389" i="82"/>
  <c r="K389" i="82"/>
  <c r="O388" i="82"/>
  <c r="N388" i="82"/>
  <c r="M388" i="82"/>
  <c r="L388" i="82"/>
  <c r="K388" i="82"/>
  <c r="O387" i="82"/>
  <c r="N387" i="82"/>
  <c r="M387" i="82"/>
  <c r="L387" i="82"/>
  <c r="K387" i="82"/>
  <c r="O386" i="82"/>
  <c r="N386" i="82"/>
  <c r="M386" i="82"/>
  <c r="L386" i="82"/>
  <c r="K386" i="82"/>
  <c r="O385" i="82"/>
  <c r="N385" i="82"/>
  <c r="M385" i="82"/>
  <c r="L385" i="82"/>
  <c r="K385" i="82"/>
  <c r="O384" i="82"/>
  <c r="N384" i="82"/>
  <c r="M384" i="82"/>
  <c r="L384" i="82"/>
  <c r="K384" i="82"/>
  <c r="O383" i="82"/>
  <c r="N383" i="82"/>
  <c r="M383" i="82"/>
  <c r="L383" i="82"/>
  <c r="K383" i="82"/>
  <c r="O382" i="82"/>
  <c r="N382" i="82"/>
  <c r="M382" i="82"/>
  <c r="L382" i="82"/>
  <c r="K382" i="82"/>
  <c r="O381" i="82"/>
  <c r="N381" i="82"/>
  <c r="M381" i="82"/>
  <c r="L381" i="82"/>
  <c r="K381" i="82"/>
  <c r="O380" i="82"/>
  <c r="N380" i="82"/>
  <c r="M380" i="82"/>
  <c r="L380" i="82"/>
  <c r="K380" i="82"/>
  <c r="O379" i="82"/>
  <c r="N379" i="82"/>
  <c r="M379" i="82"/>
  <c r="L379" i="82"/>
  <c r="K379" i="82"/>
  <c r="O378" i="82"/>
  <c r="N378" i="82"/>
  <c r="M378" i="82"/>
  <c r="L378" i="82"/>
  <c r="K378" i="82"/>
  <c r="O377" i="82"/>
  <c r="N377" i="82"/>
  <c r="M377" i="82"/>
  <c r="L377" i="82"/>
  <c r="K377" i="82"/>
  <c r="O376" i="82"/>
  <c r="N376" i="82"/>
  <c r="M376" i="82"/>
  <c r="L376" i="82"/>
  <c r="K376" i="82"/>
  <c r="O375" i="82"/>
  <c r="N375" i="82"/>
  <c r="M375" i="82"/>
  <c r="L375" i="82"/>
  <c r="K375" i="82"/>
  <c r="O374" i="82"/>
  <c r="N374" i="82"/>
  <c r="M374" i="82"/>
  <c r="L374" i="82"/>
  <c r="K374" i="82"/>
  <c r="O373" i="82"/>
  <c r="N373" i="82"/>
  <c r="M373" i="82"/>
  <c r="L373" i="82"/>
  <c r="K373" i="82"/>
  <c r="O372" i="82"/>
  <c r="N372" i="82"/>
  <c r="M372" i="82"/>
  <c r="L372" i="82"/>
  <c r="K372" i="82"/>
  <c r="O371" i="82"/>
  <c r="N371" i="82"/>
  <c r="M371" i="82"/>
  <c r="L371" i="82"/>
  <c r="K371" i="82"/>
  <c r="O370" i="82"/>
  <c r="N370" i="82"/>
  <c r="M370" i="82"/>
  <c r="L370" i="82"/>
  <c r="K370" i="82"/>
  <c r="O369" i="82"/>
  <c r="N369" i="82"/>
  <c r="M369" i="82"/>
  <c r="L369" i="82"/>
  <c r="K369" i="82"/>
  <c r="O368" i="82"/>
  <c r="N368" i="82"/>
  <c r="M368" i="82"/>
  <c r="L368" i="82"/>
  <c r="K368" i="82"/>
  <c r="O367" i="82"/>
  <c r="N367" i="82"/>
  <c r="M367" i="82"/>
  <c r="L367" i="82"/>
  <c r="K367" i="82"/>
  <c r="O366" i="82"/>
  <c r="N366" i="82"/>
  <c r="M366" i="82"/>
  <c r="L366" i="82"/>
  <c r="K366" i="82"/>
  <c r="O365" i="82"/>
  <c r="N365" i="82"/>
  <c r="M365" i="82"/>
  <c r="L365" i="82"/>
  <c r="K365" i="82"/>
  <c r="O364" i="82"/>
  <c r="N364" i="82"/>
  <c r="M364" i="82"/>
  <c r="L364" i="82"/>
  <c r="K364" i="82"/>
  <c r="O363" i="82"/>
  <c r="N363" i="82"/>
  <c r="M363" i="82"/>
  <c r="L363" i="82"/>
  <c r="K363" i="82"/>
  <c r="O362" i="82"/>
  <c r="N362" i="82"/>
  <c r="M362" i="82"/>
  <c r="L362" i="82"/>
  <c r="K362" i="82"/>
  <c r="O361" i="82"/>
  <c r="N361" i="82"/>
  <c r="M361" i="82"/>
  <c r="L361" i="82"/>
  <c r="K361" i="82"/>
  <c r="O360" i="82"/>
  <c r="N360" i="82"/>
  <c r="M360" i="82"/>
  <c r="L360" i="82"/>
  <c r="K360" i="82"/>
  <c r="O359" i="82"/>
  <c r="N359" i="82"/>
  <c r="M359" i="82"/>
  <c r="L359" i="82"/>
  <c r="K359" i="82"/>
  <c r="O358" i="82"/>
  <c r="N358" i="82"/>
  <c r="M358" i="82"/>
  <c r="L358" i="82"/>
  <c r="K358" i="82"/>
  <c r="O357" i="82"/>
  <c r="N357" i="82"/>
  <c r="M357" i="82"/>
  <c r="L357" i="82"/>
  <c r="K357" i="82"/>
  <c r="O356" i="82"/>
  <c r="N356" i="82"/>
  <c r="M356" i="82"/>
  <c r="L356" i="82"/>
  <c r="K356" i="82"/>
  <c r="O355" i="82"/>
  <c r="N355" i="82"/>
  <c r="M355" i="82"/>
  <c r="L355" i="82"/>
  <c r="K355" i="82"/>
  <c r="O354" i="82"/>
  <c r="N354" i="82"/>
  <c r="M354" i="82"/>
  <c r="L354" i="82"/>
  <c r="K354" i="82"/>
  <c r="O353" i="82"/>
  <c r="N353" i="82"/>
  <c r="M353" i="82"/>
  <c r="L353" i="82"/>
  <c r="K353" i="82"/>
  <c r="O352" i="82"/>
  <c r="N352" i="82"/>
  <c r="M352" i="82"/>
  <c r="L352" i="82"/>
  <c r="K352" i="82"/>
  <c r="O351" i="82"/>
  <c r="N351" i="82"/>
  <c r="M351" i="82"/>
  <c r="L351" i="82"/>
  <c r="K351" i="82"/>
  <c r="O350" i="82"/>
  <c r="N350" i="82"/>
  <c r="M350" i="82"/>
  <c r="L350" i="82"/>
  <c r="K350" i="82"/>
  <c r="O349" i="82"/>
  <c r="N349" i="82"/>
  <c r="M349" i="82"/>
  <c r="L349" i="82"/>
  <c r="K349" i="82"/>
  <c r="O348" i="82"/>
  <c r="N348" i="82"/>
  <c r="M348" i="82"/>
  <c r="L348" i="82"/>
  <c r="K348" i="82"/>
  <c r="O347" i="82"/>
  <c r="N347" i="82"/>
  <c r="M347" i="82"/>
  <c r="L347" i="82"/>
  <c r="K347" i="82"/>
  <c r="O346" i="82"/>
  <c r="N346" i="82"/>
  <c r="M346" i="82"/>
  <c r="L346" i="82"/>
  <c r="K346" i="82"/>
  <c r="O345" i="82"/>
  <c r="N345" i="82"/>
  <c r="M345" i="82"/>
  <c r="L345" i="82"/>
  <c r="K345" i="82"/>
  <c r="O344" i="82"/>
  <c r="N344" i="82"/>
  <c r="M344" i="82"/>
  <c r="L344" i="82"/>
  <c r="K344" i="82"/>
  <c r="O343" i="82"/>
  <c r="N343" i="82"/>
  <c r="M343" i="82"/>
  <c r="L343" i="82"/>
  <c r="K343" i="82"/>
  <c r="O342" i="82"/>
  <c r="N342" i="82"/>
  <c r="M342" i="82"/>
  <c r="L342" i="82"/>
  <c r="K342" i="82"/>
  <c r="O341" i="82"/>
  <c r="N341" i="82"/>
  <c r="M341" i="82"/>
  <c r="L341" i="82"/>
  <c r="K341" i="82"/>
  <c r="O340" i="82"/>
  <c r="N340" i="82"/>
  <c r="M340" i="82"/>
  <c r="L340" i="82"/>
  <c r="K340" i="82"/>
  <c r="O339" i="82"/>
  <c r="N339" i="82"/>
  <c r="M339" i="82"/>
  <c r="L339" i="82"/>
  <c r="K339" i="82"/>
  <c r="O338" i="82"/>
  <c r="N338" i="82"/>
  <c r="M338" i="82"/>
  <c r="L338" i="82"/>
  <c r="K338" i="82"/>
  <c r="O337" i="82"/>
  <c r="N337" i="82"/>
  <c r="M337" i="82"/>
  <c r="L337" i="82"/>
  <c r="K337" i="82"/>
  <c r="O336" i="82"/>
  <c r="N336" i="82"/>
  <c r="M336" i="82"/>
  <c r="L336" i="82"/>
  <c r="K336" i="82"/>
  <c r="O335" i="82"/>
  <c r="N335" i="82"/>
  <c r="M335" i="82"/>
  <c r="L335" i="82"/>
  <c r="K335" i="82"/>
  <c r="O334" i="82"/>
  <c r="N334" i="82"/>
  <c r="M334" i="82"/>
  <c r="L334" i="82"/>
  <c r="K334" i="82"/>
  <c r="O333" i="82"/>
  <c r="N333" i="82"/>
  <c r="M333" i="82"/>
  <c r="L333" i="82"/>
  <c r="K333" i="82"/>
  <c r="O332" i="82"/>
  <c r="N332" i="82"/>
  <c r="M332" i="82"/>
  <c r="L332" i="82"/>
  <c r="K332" i="82"/>
  <c r="O331" i="82"/>
  <c r="N331" i="82"/>
  <c r="M331" i="82"/>
  <c r="L331" i="82"/>
  <c r="K331" i="82"/>
  <c r="O330" i="82"/>
  <c r="N330" i="82"/>
  <c r="M330" i="82"/>
  <c r="L330" i="82"/>
  <c r="K330" i="82"/>
  <c r="O329" i="82"/>
  <c r="N329" i="82"/>
  <c r="M329" i="82"/>
  <c r="L329" i="82"/>
  <c r="K329" i="82"/>
  <c r="O328" i="82"/>
  <c r="N328" i="82"/>
  <c r="M328" i="82"/>
  <c r="L328" i="82"/>
  <c r="K328" i="82"/>
  <c r="O327" i="82"/>
  <c r="N327" i="82"/>
  <c r="M327" i="82"/>
  <c r="L327" i="82"/>
  <c r="K327" i="82"/>
  <c r="O326" i="82"/>
  <c r="N326" i="82"/>
  <c r="M326" i="82"/>
  <c r="L326" i="82"/>
  <c r="K326" i="82"/>
  <c r="O325" i="82"/>
  <c r="N325" i="82"/>
  <c r="M325" i="82"/>
  <c r="L325" i="82"/>
  <c r="K325" i="82"/>
  <c r="O324" i="82"/>
  <c r="N324" i="82"/>
  <c r="M324" i="82"/>
  <c r="L324" i="82"/>
  <c r="K324" i="82"/>
  <c r="O323" i="82"/>
  <c r="N323" i="82"/>
  <c r="M323" i="82"/>
  <c r="L323" i="82"/>
  <c r="K323" i="82"/>
  <c r="O322" i="82"/>
  <c r="N322" i="82"/>
  <c r="M322" i="82"/>
  <c r="L322" i="82"/>
  <c r="K322" i="82"/>
  <c r="O321" i="82"/>
  <c r="N321" i="82"/>
  <c r="M321" i="82"/>
  <c r="L321" i="82"/>
  <c r="K321" i="82"/>
  <c r="O320" i="82"/>
  <c r="N320" i="82"/>
  <c r="M320" i="82"/>
  <c r="L320" i="82"/>
  <c r="K320" i="82"/>
  <c r="O319" i="82"/>
  <c r="N319" i="82"/>
  <c r="M319" i="82"/>
  <c r="L319" i="82"/>
  <c r="K319" i="82"/>
  <c r="O318" i="82"/>
  <c r="N318" i="82"/>
  <c r="M318" i="82"/>
  <c r="L318" i="82"/>
  <c r="K318" i="82"/>
  <c r="O317" i="82"/>
  <c r="N317" i="82"/>
  <c r="M317" i="82"/>
  <c r="L317" i="82"/>
  <c r="K317" i="82"/>
  <c r="O316" i="82"/>
  <c r="N316" i="82"/>
  <c r="M316" i="82"/>
  <c r="L316" i="82"/>
  <c r="K316" i="82"/>
  <c r="O315" i="82"/>
  <c r="N315" i="82"/>
  <c r="M315" i="82"/>
  <c r="L315" i="82"/>
  <c r="K315" i="82"/>
  <c r="O314" i="82"/>
  <c r="N314" i="82"/>
  <c r="M314" i="82"/>
  <c r="L314" i="82"/>
  <c r="K314" i="82"/>
  <c r="O313" i="82"/>
  <c r="N313" i="82"/>
  <c r="M313" i="82"/>
  <c r="L313" i="82"/>
  <c r="K313" i="82"/>
  <c r="O312" i="82"/>
  <c r="N312" i="82"/>
  <c r="M312" i="82"/>
  <c r="L312" i="82"/>
  <c r="K312" i="82"/>
  <c r="O311" i="82"/>
  <c r="N311" i="82"/>
  <c r="M311" i="82"/>
  <c r="L311" i="82"/>
  <c r="K311" i="82"/>
  <c r="O310" i="82"/>
  <c r="N310" i="82"/>
  <c r="M310" i="82"/>
  <c r="L310" i="82"/>
  <c r="K310" i="82"/>
  <c r="O309" i="82"/>
  <c r="N309" i="82"/>
  <c r="M309" i="82"/>
  <c r="L309" i="82"/>
  <c r="K309" i="82"/>
  <c r="O308" i="82"/>
  <c r="N308" i="82"/>
  <c r="M308" i="82"/>
  <c r="L308" i="82"/>
  <c r="K308" i="82"/>
  <c r="O307" i="82"/>
  <c r="N307" i="82"/>
  <c r="M307" i="82"/>
  <c r="L307" i="82"/>
  <c r="K307" i="82"/>
  <c r="O306" i="82"/>
  <c r="N306" i="82"/>
  <c r="M306" i="82"/>
  <c r="L306" i="82"/>
  <c r="K306" i="82"/>
  <c r="O305" i="82"/>
  <c r="N305" i="82"/>
  <c r="M305" i="82"/>
  <c r="L305" i="82"/>
  <c r="K305" i="82"/>
  <c r="O304" i="82"/>
  <c r="N304" i="82"/>
  <c r="M304" i="82"/>
  <c r="L304" i="82"/>
  <c r="K304" i="82"/>
  <c r="O303" i="82"/>
  <c r="N303" i="82"/>
  <c r="M303" i="82"/>
  <c r="L303" i="82"/>
  <c r="K303" i="82"/>
  <c r="O302" i="82"/>
  <c r="N302" i="82"/>
  <c r="M302" i="82"/>
  <c r="L302" i="82"/>
  <c r="K302" i="82"/>
  <c r="O301" i="82"/>
  <c r="N301" i="82"/>
  <c r="M301" i="82"/>
  <c r="L301" i="82"/>
  <c r="K301" i="82"/>
  <c r="O300" i="82"/>
  <c r="N300" i="82"/>
  <c r="M300" i="82"/>
  <c r="L300" i="82"/>
  <c r="K300" i="82"/>
  <c r="O299" i="82"/>
  <c r="N299" i="82"/>
  <c r="M299" i="82"/>
  <c r="L299" i="82"/>
  <c r="K299" i="82"/>
  <c r="O298" i="82"/>
  <c r="N298" i="82"/>
  <c r="M298" i="82"/>
  <c r="L298" i="82"/>
  <c r="K298" i="82"/>
  <c r="O297" i="82"/>
  <c r="N297" i="82"/>
  <c r="M297" i="82"/>
  <c r="L297" i="82"/>
  <c r="K297" i="82"/>
  <c r="O296" i="82"/>
  <c r="N296" i="82"/>
  <c r="M296" i="82"/>
  <c r="L296" i="82"/>
  <c r="K296" i="82"/>
  <c r="O295" i="82"/>
  <c r="N295" i="82"/>
  <c r="M295" i="82"/>
  <c r="L295" i="82"/>
  <c r="K295" i="82"/>
  <c r="O294" i="82"/>
  <c r="N294" i="82"/>
  <c r="M294" i="82"/>
  <c r="L294" i="82"/>
  <c r="K294" i="82"/>
  <c r="O293" i="82"/>
  <c r="N293" i="82"/>
  <c r="M293" i="82"/>
  <c r="L293" i="82"/>
  <c r="K293" i="82"/>
  <c r="O292" i="82"/>
  <c r="N292" i="82"/>
  <c r="M292" i="82"/>
  <c r="L292" i="82"/>
  <c r="K292" i="82"/>
  <c r="O291" i="82"/>
  <c r="N291" i="82"/>
  <c r="M291" i="82"/>
  <c r="L291" i="82"/>
  <c r="K291" i="82"/>
  <c r="O290" i="82"/>
  <c r="N290" i="82"/>
  <c r="M290" i="82"/>
  <c r="L290" i="82"/>
  <c r="K290" i="82"/>
  <c r="O289" i="82"/>
  <c r="N289" i="82"/>
  <c r="M289" i="82"/>
  <c r="L289" i="82"/>
  <c r="K289" i="82"/>
  <c r="O288" i="82"/>
  <c r="N288" i="82"/>
  <c r="M288" i="82"/>
  <c r="L288" i="82"/>
  <c r="K288" i="82"/>
  <c r="O287" i="82"/>
  <c r="N287" i="82"/>
  <c r="M287" i="82"/>
  <c r="L287" i="82"/>
  <c r="K287" i="82"/>
  <c r="O286" i="82"/>
  <c r="N286" i="82"/>
  <c r="M286" i="82"/>
  <c r="L286" i="82"/>
  <c r="K286" i="82"/>
  <c r="O285" i="82"/>
  <c r="N285" i="82"/>
  <c r="M285" i="82"/>
  <c r="L285" i="82"/>
  <c r="K285" i="82"/>
  <c r="O284" i="82"/>
  <c r="N284" i="82"/>
  <c r="M284" i="82"/>
  <c r="L284" i="82"/>
  <c r="K284" i="82"/>
  <c r="O283" i="82"/>
  <c r="N283" i="82"/>
  <c r="M283" i="82"/>
  <c r="L283" i="82"/>
  <c r="K283" i="82"/>
  <c r="O282" i="82"/>
  <c r="N282" i="82"/>
  <c r="M282" i="82"/>
  <c r="L282" i="82"/>
  <c r="K282" i="82"/>
  <c r="O281" i="82"/>
  <c r="N281" i="82"/>
  <c r="M281" i="82"/>
  <c r="L281" i="82"/>
  <c r="K281" i="82"/>
  <c r="O280" i="82"/>
  <c r="N280" i="82"/>
  <c r="M280" i="82"/>
  <c r="L280" i="82"/>
  <c r="K280" i="82"/>
  <c r="O279" i="82"/>
  <c r="N279" i="82"/>
  <c r="M279" i="82"/>
  <c r="L279" i="82"/>
  <c r="K279" i="82"/>
  <c r="O278" i="82"/>
  <c r="N278" i="82"/>
  <c r="M278" i="82"/>
  <c r="L278" i="82"/>
  <c r="K278" i="82"/>
  <c r="O277" i="82"/>
  <c r="N277" i="82"/>
  <c r="M277" i="82"/>
  <c r="L277" i="82"/>
  <c r="K277" i="82"/>
  <c r="O276" i="82"/>
  <c r="N276" i="82"/>
  <c r="M276" i="82"/>
  <c r="L276" i="82"/>
  <c r="K276" i="82"/>
  <c r="O275" i="82"/>
  <c r="N275" i="82"/>
  <c r="M275" i="82"/>
  <c r="L275" i="82"/>
  <c r="K275" i="82"/>
  <c r="O274" i="82"/>
  <c r="N274" i="82"/>
  <c r="M274" i="82"/>
  <c r="L274" i="82"/>
  <c r="K274" i="82"/>
  <c r="O273" i="82"/>
  <c r="N273" i="82"/>
  <c r="M273" i="82"/>
  <c r="L273" i="82"/>
  <c r="K273" i="82"/>
  <c r="O272" i="82"/>
  <c r="N272" i="82"/>
  <c r="M272" i="82"/>
  <c r="L272" i="82"/>
  <c r="K272" i="82"/>
  <c r="O271" i="82"/>
  <c r="N271" i="82"/>
  <c r="M271" i="82"/>
  <c r="L271" i="82"/>
  <c r="K271" i="82"/>
  <c r="O270" i="82"/>
  <c r="N270" i="82"/>
  <c r="M270" i="82"/>
  <c r="L270" i="82"/>
  <c r="K270" i="82"/>
  <c r="O269" i="82"/>
  <c r="N269" i="82"/>
  <c r="M269" i="82"/>
  <c r="L269" i="82"/>
  <c r="K269" i="82"/>
  <c r="O268" i="82"/>
  <c r="N268" i="82"/>
  <c r="M268" i="82"/>
  <c r="L268" i="82"/>
  <c r="K268" i="82"/>
  <c r="O267" i="82"/>
  <c r="N267" i="82"/>
  <c r="M267" i="82"/>
  <c r="L267" i="82"/>
  <c r="K267" i="82"/>
  <c r="O266" i="82"/>
  <c r="N266" i="82"/>
  <c r="M266" i="82"/>
  <c r="L266" i="82"/>
  <c r="K266" i="82"/>
  <c r="O265" i="82"/>
  <c r="N265" i="82"/>
  <c r="M265" i="82"/>
  <c r="L265" i="82"/>
  <c r="K265" i="82"/>
  <c r="O264" i="82"/>
  <c r="N264" i="82"/>
  <c r="M264" i="82"/>
  <c r="L264" i="82"/>
  <c r="K264" i="82"/>
  <c r="O263" i="82"/>
  <c r="N263" i="82"/>
  <c r="M263" i="82"/>
  <c r="L263" i="82"/>
  <c r="K263" i="82"/>
  <c r="O262" i="82"/>
  <c r="N262" i="82"/>
  <c r="M262" i="82"/>
  <c r="L262" i="82"/>
  <c r="K262" i="82"/>
  <c r="O261" i="82"/>
  <c r="N261" i="82"/>
  <c r="M261" i="82"/>
  <c r="L261" i="82"/>
  <c r="K261" i="82"/>
  <c r="O260" i="82"/>
  <c r="N260" i="82"/>
  <c r="M260" i="82"/>
  <c r="L260" i="82"/>
  <c r="K260" i="82"/>
  <c r="O259" i="82"/>
  <c r="N259" i="82"/>
  <c r="M259" i="82"/>
  <c r="L259" i="82"/>
  <c r="K259" i="82"/>
  <c r="O258" i="82"/>
  <c r="N258" i="82"/>
  <c r="M258" i="82"/>
  <c r="L258" i="82"/>
  <c r="K258" i="82"/>
  <c r="O257" i="82"/>
  <c r="N257" i="82"/>
  <c r="M257" i="82"/>
  <c r="L257" i="82"/>
  <c r="K257" i="82"/>
  <c r="O256" i="82"/>
  <c r="N256" i="82"/>
  <c r="M256" i="82"/>
  <c r="L256" i="82"/>
  <c r="K256" i="82"/>
  <c r="O255" i="82"/>
  <c r="N255" i="82"/>
  <c r="M255" i="82"/>
  <c r="L255" i="82"/>
  <c r="K255" i="82"/>
  <c r="O254" i="82"/>
  <c r="N254" i="82"/>
  <c r="M254" i="82"/>
  <c r="L254" i="82"/>
  <c r="K254" i="82"/>
  <c r="O253" i="82"/>
  <c r="N253" i="82"/>
  <c r="M253" i="82"/>
  <c r="L253" i="82"/>
  <c r="K253" i="82"/>
  <c r="O252" i="82"/>
  <c r="N252" i="82"/>
  <c r="M252" i="82"/>
  <c r="L252" i="82"/>
  <c r="K252" i="82"/>
  <c r="O251" i="82"/>
  <c r="N251" i="82"/>
  <c r="M251" i="82"/>
  <c r="L251" i="82"/>
  <c r="K251" i="82"/>
  <c r="O250" i="82"/>
  <c r="N250" i="82"/>
  <c r="M250" i="82"/>
  <c r="L250" i="82"/>
  <c r="K250" i="82"/>
  <c r="O249" i="82"/>
  <c r="N249" i="82"/>
  <c r="M249" i="82"/>
  <c r="L249" i="82"/>
  <c r="K249" i="82"/>
  <c r="O248" i="82"/>
  <c r="N248" i="82"/>
  <c r="M248" i="82"/>
  <c r="L248" i="82"/>
  <c r="K248" i="82"/>
  <c r="O247" i="82"/>
  <c r="N247" i="82"/>
  <c r="M247" i="82"/>
  <c r="L247" i="82"/>
  <c r="K247" i="82"/>
  <c r="O246" i="82"/>
  <c r="N246" i="82"/>
  <c r="M246" i="82"/>
  <c r="L246" i="82"/>
  <c r="K246" i="82"/>
  <c r="O245" i="82"/>
  <c r="N245" i="82"/>
  <c r="M245" i="82"/>
  <c r="L245" i="82"/>
  <c r="K245" i="82"/>
  <c r="O244" i="82"/>
  <c r="N244" i="82"/>
  <c r="M244" i="82"/>
  <c r="L244" i="82"/>
  <c r="K244" i="82"/>
  <c r="O243" i="82"/>
  <c r="N243" i="82"/>
  <c r="M243" i="82"/>
  <c r="L243" i="82"/>
  <c r="K243" i="82"/>
  <c r="O242" i="82"/>
  <c r="N242" i="82"/>
  <c r="M242" i="82"/>
  <c r="L242" i="82"/>
  <c r="K242" i="82"/>
  <c r="O241" i="82"/>
  <c r="N241" i="82"/>
  <c r="M241" i="82"/>
  <c r="L241" i="82"/>
  <c r="K241" i="82"/>
  <c r="O240" i="82"/>
  <c r="N240" i="82"/>
  <c r="M240" i="82"/>
  <c r="L240" i="82"/>
  <c r="K240" i="82"/>
  <c r="O239" i="82"/>
  <c r="N239" i="82"/>
  <c r="M239" i="82"/>
  <c r="L239" i="82"/>
  <c r="K239" i="82"/>
  <c r="O238" i="82"/>
  <c r="N238" i="82"/>
  <c r="M238" i="82"/>
  <c r="L238" i="82"/>
  <c r="K238" i="82"/>
  <c r="O237" i="82"/>
  <c r="N237" i="82"/>
  <c r="M237" i="82"/>
  <c r="L237" i="82"/>
  <c r="K237" i="82"/>
  <c r="O236" i="82"/>
  <c r="N236" i="82"/>
  <c r="M236" i="82"/>
  <c r="L236" i="82"/>
  <c r="K236" i="82"/>
  <c r="O235" i="82"/>
  <c r="N235" i="82"/>
  <c r="M235" i="82"/>
  <c r="L235" i="82"/>
  <c r="K235" i="82"/>
  <c r="O234" i="82"/>
  <c r="N234" i="82"/>
  <c r="M234" i="82"/>
  <c r="L234" i="82"/>
  <c r="K234" i="82"/>
  <c r="O233" i="82"/>
  <c r="N233" i="82"/>
  <c r="M233" i="82"/>
  <c r="L233" i="82"/>
  <c r="K233" i="82"/>
  <c r="O232" i="82"/>
  <c r="N232" i="82"/>
  <c r="M232" i="82"/>
  <c r="L232" i="82"/>
  <c r="K232" i="82"/>
  <c r="O231" i="82"/>
  <c r="N231" i="82"/>
  <c r="M231" i="82"/>
  <c r="L231" i="82"/>
  <c r="K231" i="82"/>
  <c r="O230" i="82"/>
  <c r="N230" i="82"/>
  <c r="M230" i="82"/>
  <c r="L230" i="82"/>
  <c r="K230" i="82"/>
  <c r="O229" i="82"/>
  <c r="N229" i="82"/>
  <c r="M229" i="82"/>
  <c r="L229" i="82"/>
  <c r="K229" i="82"/>
  <c r="O228" i="82"/>
  <c r="N228" i="82"/>
  <c r="M228" i="82"/>
  <c r="L228" i="82"/>
  <c r="K228" i="82"/>
  <c r="O227" i="82"/>
  <c r="N227" i="82"/>
  <c r="M227" i="82"/>
  <c r="L227" i="82"/>
  <c r="K227" i="82"/>
  <c r="O226" i="82"/>
  <c r="N226" i="82"/>
  <c r="M226" i="82"/>
  <c r="L226" i="82"/>
  <c r="K226" i="82"/>
  <c r="O225" i="82"/>
  <c r="N225" i="82"/>
  <c r="M225" i="82"/>
  <c r="L225" i="82"/>
  <c r="K225" i="82"/>
  <c r="O224" i="82"/>
  <c r="N224" i="82"/>
  <c r="M224" i="82"/>
  <c r="L224" i="82"/>
  <c r="K224" i="82"/>
  <c r="O223" i="82"/>
  <c r="N223" i="82"/>
  <c r="M223" i="82"/>
  <c r="L223" i="82"/>
  <c r="K223" i="82"/>
  <c r="O222" i="82"/>
  <c r="N222" i="82"/>
  <c r="M222" i="82"/>
  <c r="L222" i="82"/>
  <c r="K222" i="82"/>
  <c r="O221" i="82"/>
  <c r="N221" i="82"/>
  <c r="M221" i="82"/>
  <c r="L221" i="82"/>
  <c r="K221" i="82"/>
  <c r="O220" i="82"/>
  <c r="N220" i="82"/>
  <c r="M220" i="82"/>
  <c r="L220" i="82"/>
  <c r="K220" i="82"/>
  <c r="O219" i="82"/>
  <c r="N219" i="82"/>
  <c r="M219" i="82"/>
  <c r="L219" i="82"/>
  <c r="K219" i="82"/>
  <c r="O218" i="82"/>
  <c r="N218" i="82"/>
  <c r="M218" i="82"/>
  <c r="L218" i="82"/>
  <c r="K218" i="82"/>
  <c r="O217" i="82"/>
  <c r="N217" i="82"/>
  <c r="M217" i="82"/>
  <c r="L217" i="82"/>
  <c r="K217" i="82"/>
  <c r="O216" i="82"/>
  <c r="N216" i="82"/>
  <c r="M216" i="82"/>
  <c r="L216" i="82"/>
  <c r="K216" i="82"/>
  <c r="O215" i="82"/>
  <c r="N215" i="82"/>
  <c r="M215" i="82"/>
  <c r="L215" i="82"/>
  <c r="K215" i="82"/>
  <c r="O214" i="82"/>
  <c r="N214" i="82"/>
  <c r="M214" i="82"/>
  <c r="L214" i="82"/>
  <c r="K214" i="82"/>
  <c r="O213" i="82"/>
  <c r="N213" i="82"/>
  <c r="M213" i="82"/>
  <c r="L213" i="82"/>
  <c r="K213" i="82"/>
  <c r="O212" i="82"/>
  <c r="N212" i="82"/>
  <c r="M212" i="82"/>
  <c r="L212" i="82"/>
  <c r="K212" i="82"/>
  <c r="O211" i="82"/>
  <c r="N211" i="82"/>
  <c r="M211" i="82"/>
  <c r="L211" i="82"/>
  <c r="K211" i="82"/>
  <c r="O210" i="82"/>
  <c r="N210" i="82"/>
  <c r="M210" i="82"/>
  <c r="L210" i="82"/>
  <c r="K210" i="82"/>
  <c r="O209" i="82"/>
  <c r="N209" i="82"/>
  <c r="M209" i="82"/>
  <c r="L209" i="82"/>
  <c r="K209" i="82"/>
  <c r="O208" i="82"/>
  <c r="N208" i="82"/>
  <c r="M208" i="82"/>
  <c r="L208" i="82"/>
  <c r="K208" i="82"/>
  <c r="O207" i="82"/>
  <c r="N207" i="82"/>
  <c r="M207" i="82"/>
  <c r="L207" i="82"/>
  <c r="K207" i="82"/>
  <c r="O206" i="82"/>
  <c r="N206" i="82"/>
  <c r="M206" i="82"/>
  <c r="L206" i="82"/>
  <c r="K206" i="82"/>
  <c r="O205" i="82"/>
  <c r="N205" i="82"/>
  <c r="M205" i="82"/>
  <c r="L205" i="82"/>
  <c r="K205" i="82"/>
  <c r="O204" i="82"/>
  <c r="N204" i="82"/>
  <c r="M204" i="82"/>
  <c r="L204" i="82"/>
  <c r="K204" i="82"/>
  <c r="O203" i="82"/>
  <c r="N203" i="82"/>
  <c r="M203" i="82"/>
  <c r="L203" i="82"/>
  <c r="K203" i="82"/>
  <c r="O202" i="82"/>
  <c r="N202" i="82"/>
  <c r="M202" i="82"/>
  <c r="L202" i="82"/>
  <c r="K202" i="82"/>
  <c r="O201" i="82"/>
  <c r="N201" i="82"/>
  <c r="M201" i="82"/>
  <c r="L201" i="82"/>
  <c r="K201" i="82"/>
  <c r="O200" i="82"/>
  <c r="N200" i="82"/>
  <c r="M200" i="82"/>
  <c r="L200" i="82"/>
  <c r="K200" i="82"/>
  <c r="O199" i="82"/>
  <c r="N199" i="82"/>
  <c r="M199" i="82"/>
  <c r="L199" i="82"/>
  <c r="K199" i="82"/>
  <c r="O198" i="82"/>
  <c r="N198" i="82"/>
  <c r="M198" i="82"/>
  <c r="L198" i="82"/>
  <c r="K198" i="82"/>
  <c r="O197" i="82"/>
  <c r="N197" i="82"/>
  <c r="M197" i="82"/>
  <c r="L197" i="82"/>
  <c r="K197" i="82"/>
  <c r="O196" i="82"/>
  <c r="N196" i="82"/>
  <c r="M196" i="82"/>
  <c r="L196" i="82"/>
  <c r="K196" i="82"/>
  <c r="O195" i="82"/>
  <c r="N195" i="82"/>
  <c r="M195" i="82"/>
  <c r="L195" i="82"/>
  <c r="K195" i="82"/>
  <c r="O194" i="82"/>
  <c r="N194" i="82"/>
  <c r="M194" i="82"/>
  <c r="L194" i="82"/>
  <c r="K194" i="82"/>
  <c r="O193" i="82"/>
  <c r="N193" i="82"/>
  <c r="M193" i="82"/>
  <c r="L193" i="82"/>
  <c r="K193" i="82"/>
  <c r="O192" i="82"/>
  <c r="N192" i="82"/>
  <c r="M192" i="82"/>
  <c r="L192" i="82"/>
  <c r="K192" i="82"/>
  <c r="O191" i="82"/>
  <c r="N191" i="82"/>
  <c r="M191" i="82"/>
  <c r="L191" i="82"/>
  <c r="K191" i="82"/>
  <c r="O190" i="82"/>
  <c r="N190" i="82"/>
  <c r="M190" i="82"/>
  <c r="L190" i="82"/>
  <c r="K190" i="82"/>
  <c r="O189" i="82"/>
  <c r="N189" i="82"/>
  <c r="M189" i="82"/>
  <c r="L189" i="82"/>
  <c r="K189" i="82"/>
  <c r="O188" i="82"/>
  <c r="N188" i="82"/>
  <c r="M188" i="82"/>
  <c r="L188" i="82"/>
  <c r="K188" i="82"/>
  <c r="O187" i="82"/>
  <c r="N187" i="82"/>
  <c r="M187" i="82"/>
  <c r="L187" i="82"/>
  <c r="K187" i="82"/>
  <c r="O186" i="82"/>
  <c r="N186" i="82"/>
  <c r="M186" i="82"/>
  <c r="L186" i="82"/>
  <c r="K186" i="82"/>
  <c r="O185" i="82"/>
  <c r="N185" i="82"/>
  <c r="M185" i="82"/>
  <c r="L185" i="82"/>
  <c r="K185" i="82"/>
  <c r="O184" i="82"/>
  <c r="N184" i="82"/>
  <c r="M184" i="82"/>
  <c r="L184" i="82"/>
  <c r="K184" i="82"/>
  <c r="O183" i="82"/>
  <c r="N183" i="82"/>
  <c r="M183" i="82"/>
  <c r="L183" i="82"/>
  <c r="K183" i="82"/>
  <c r="O182" i="82"/>
  <c r="N182" i="82"/>
  <c r="M182" i="82"/>
  <c r="L182" i="82"/>
  <c r="K182" i="82"/>
  <c r="O181" i="82"/>
  <c r="N181" i="82"/>
  <c r="M181" i="82"/>
  <c r="L181" i="82"/>
  <c r="K181" i="82"/>
  <c r="O180" i="82"/>
  <c r="N180" i="82"/>
  <c r="M180" i="82"/>
  <c r="L180" i="82"/>
  <c r="K180" i="82"/>
  <c r="O179" i="82"/>
  <c r="N179" i="82"/>
  <c r="M179" i="82"/>
  <c r="L179" i="82"/>
  <c r="K179" i="82"/>
  <c r="O178" i="82"/>
  <c r="N178" i="82"/>
  <c r="M178" i="82"/>
  <c r="L178" i="82"/>
  <c r="K178" i="82"/>
  <c r="O177" i="82"/>
  <c r="N177" i="82"/>
  <c r="M177" i="82"/>
  <c r="L177" i="82"/>
  <c r="K177" i="82"/>
  <c r="O176" i="82"/>
  <c r="N176" i="82"/>
  <c r="M176" i="82"/>
  <c r="L176" i="82"/>
  <c r="K176" i="82"/>
  <c r="O175" i="82"/>
  <c r="N175" i="82"/>
  <c r="M175" i="82"/>
  <c r="L175" i="82"/>
  <c r="K175" i="82"/>
  <c r="O174" i="82"/>
  <c r="N174" i="82"/>
  <c r="M174" i="82"/>
  <c r="L174" i="82"/>
  <c r="K174" i="82"/>
  <c r="O173" i="82"/>
  <c r="N173" i="82"/>
  <c r="M173" i="82"/>
  <c r="L173" i="82"/>
  <c r="K173" i="82"/>
  <c r="O172" i="82"/>
  <c r="N172" i="82"/>
  <c r="M172" i="82"/>
  <c r="L172" i="82"/>
  <c r="K172" i="82"/>
  <c r="O171" i="82"/>
  <c r="N171" i="82"/>
  <c r="M171" i="82"/>
  <c r="L171" i="82"/>
  <c r="K171" i="82"/>
  <c r="O170" i="82"/>
  <c r="N170" i="82"/>
  <c r="M170" i="82"/>
  <c r="L170" i="82"/>
  <c r="K170" i="82"/>
  <c r="O169" i="82"/>
  <c r="N169" i="82"/>
  <c r="M169" i="82"/>
  <c r="L169" i="82"/>
  <c r="K169" i="82"/>
  <c r="O168" i="82"/>
  <c r="N168" i="82"/>
  <c r="M168" i="82"/>
  <c r="L168" i="82"/>
  <c r="K168" i="82"/>
  <c r="O167" i="82"/>
  <c r="N167" i="82"/>
  <c r="M167" i="82"/>
  <c r="L167" i="82"/>
  <c r="K167" i="82"/>
  <c r="O166" i="82"/>
  <c r="N166" i="82"/>
  <c r="M166" i="82"/>
  <c r="L166" i="82"/>
  <c r="K166" i="82"/>
  <c r="O165" i="82"/>
  <c r="N165" i="82"/>
  <c r="M165" i="82"/>
  <c r="L165" i="82"/>
  <c r="K165" i="82"/>
  <c r="O164" i="82"/>
  <c r="N164" i="82"/>
  <c r="M164" i="82"/>
  <c r="L164" i="82"/>
  <c r="K164" i="82"/>
  <c r="O163" i="82"/>
  <c r="N163" i="82"/>
  <c r="M163" i="82"/>
  <c r="L163" i="82"/>
  <c r="K163" i="82"/>
  <c r="O162" i="82"/>
  <c r="N162" i="82"/>
  <c r="M162" i="82"/>
  <c r="L162" i="82"/>
  <c r="K162" i="82"/>
  <c r="O161" i="82"/>
  <c r="N161" i="82"/>
  <c r="M161" i="82"/>
  <c r="L161" i="82"/>
  <c r="K161" i="82"/>
  <c r="O160" i="82"/>
  <c r="N160" i="82"/>
  <c r="M160" i="82"/>
  <c r="L160" i="82"/>
  <c r="K160" i="82"/>
  <c r="O159" i="82"/>
  <c r="N159" i="82"/>
  <c r="M159" i="82"/>
  <c r="L159" i="82"/>
  <c r="K159" i="82"/>
  <c r="O158" i="82"/>
  <c r="N158" i="82"/>
  <c r="M158" i="82"/>
  <c r="L158" i="82"/>
  <c r="K158" i="82"/>
  <c r="O157" i="82"/>
  <c r="N157" i="82"/>
  <c r="M157" i="82"/>
  <c r="L157" i="82"/>
  <c r="K157" i="82"/>
  <c r="O156" i="82"/>
  <c r="N156" i="82"/>
  <c r="M156" i="82"/>
  <c r="L156" i="82"/>
  <c r="K156" i="82"/>
  <c r="O155" i="82"/>
  <c r="N155" i="82"/>
  <c r="M155" i="82"/>
  <c r="L155" i="82"/>
  <c r="K155" i="82"/>
  <c r="O154" i="82"/>
  <c r="N154" i="82"/>
  <c r="M154" i="82"/>
  <c r="L154" i="82"/>
  <c r="K154" i="82"/>
  <c r="O153" i="82"/>
  <c r="N153" i="82"/>
  <c r="M153" i="82"/>
  <c r="L153" i="82"/>
  <c r="K153" i="82"/>
  <c r="O152" i="82"/>
  <c r="N152" i="82"/>
  <c r="M152" i="82"/>
  <c r="L152" i="82"/>
  <c r="K152" i="82"/>
  <c r="O151" i="82"/>
  <c r="N151" i="82"/>
  <c r="M151" i="82"/>
  <c r="L151" i="82"/>
  <c r="K151" i="82"/>
  <c r="O150" i="82"/>
  <c r="N150" i="82"/>
  <c r="M150" i="82"/>
  <c r="L150" i="82"/>
  <c r="K150" i="82"/>
  <c r="O149" i="82"/>
  <c r="N149" i="82"/>
  <c r="M149" i="82"/>
  <c r="L149" i="82"/>
  <c r="K149" i="82"/>
  <c r="O148" i="82"/>
  <c r="N148" i="82"/>
  <c r="M148" i="82"/>
  <c r="L148" i="82"/>
  <c r="K148" i="82"/>
  <c r="O147" i="82"/>
  <c r="N147" i="82"/>
  <c r="M147" i="82"/>
  <c r="L147" i="82"/>
  <c r="K147" i="82"/>
  <c r="O146" i="82"/>
  <c r="N146" i="82"/>
  <c r="M146" i="82"/>
  <c r="L146" i="82"/>
  <c r="K146" i="82"/>
  <c r="O145" i="82"/>
  <c r="N145" i="82"/>
  <c r="M145" i="82"/>
  <c r="L145" i="82"/>
  <c r="K145" i="82"/>
  <c r="O144" i="82"/>
  <c r="N144" i="82"/>
  <c r="M144" i="82"/>
  <c r="L144" i="82"/>
  <c r="K144" i="82"/>
  <c r="O143" i="82"/>
  <c r="N143" i="82"/>
  <c r="M143" i="82"/>
  <c r="L143" i="82"/>
  <c r="K143" i="82"/>
  <c r="O142" i="82"/>
  <c r="N142" i="82"/>
  <c r="M142" i="82"/>
  <c r="L142" i="82"/>
  <c r="K142" i="82"/>
  <c r="O141" i="82"/>
  <c r="N141" i="82"/>
  <c r="M141" i="82"/>
  <c r="L141" i="82"/>
  <c r="K141" i="82"/>
  <c r="O140" i="82"/>
  <c r="N140" i="82"/>
  <c r="M140" i="82"/>
  <c r="L140" i="82"/>
  <c r="K140" i="82"/>
  <c r="O139" i="82"/>
  <c r="N139" i="82"/>
  <c r="M139" i="82"/>
  <c r="L139" i="82"/>
  <c r="K139" i="82"/>
  <c r="O138" i="82"/>
  <c r="N138" i="82"/>
  <c r="M138" i="82"/>
  <c r="L138" i="82"/>
  <c r="K138" i="82"/>
  <c r="O137" i="82"/>
  <c r="N137" i="82"/>
  <c r="M137" i="82"/>
  <c r="L137" i="82"/>
  <c r="K137" i="82"/>
  <c r="O136" i="82"/>
  <c r="N136" i="82"/>
  <c r="M136" i="82"/>
  <c r="L136" i="82"/>
  <c r="K136" i="82"/>
  <c r="O135" i="82"/>
  <c r="N135" i="82"/>
  <c r="M135" i="82"/>
  <c r="L135" i="82"/>
  <c r="K135" i="82"/>
  <c r="O134" i="82"/>
  <c r="N134" i="82"/>
  <c r="M134" i="82"/>
  <c r="L134" i="82"/>
  <c r="K134" i="82"/>
  <c r="O133" i="82"/>
  <c r="N133" i="82"/>
  <c r="M133" i="82"/>
  <c r="L133" i="82"/>
  <c r="K133" i="82"/>
  <c r="O132" i="82"/>
  <c r="N132" i="82"/>
  <c r="M132" i="82"/>
  <c r="L132" i="82"/>
  <c r="K132" i="82"/>
  <c r="O131" i="82"/>
  <c r="N131" i="82"/>
  <c r="M131" i="82"/>
  <c r="L131" i="82"/>
  <c r="K131" i="82"/>
  <c r="O130" i="82"/>
  <c r="N130" i="82"/>
  <c r="M130" i="82"/>
  <c r="L130" i="82"/>
  <c r="K130" i="82"/>
  <c r="O129" i="82"/>
  <c r="N129" i="82"/>
  <c r="M129" i="82"/>
  <c r="L129" i="82"/>
  <c r="K129" i="82"/>
  <c r="O128" i="82"/>
  <c r="N128" i="82"/>
  <c r="M128" i="82"/>
  <c r="L128" i="82"/>
  <c r="K128" i="82"/>
  <c r="O127" i="82"/>
  <c r="N127" i="82"/>
  <c r="M127" i="82"/>
  <c r="L127" i="82"/>
  <c r="K127" i="82"/>
  <c r="O126" i="82"/>
  <c r="N126" i="82"/>
  <c r="M126" i="82"/>
  <c r="L126" i="82"/>
  <c r="K126" i="82"/>
  <c r="O125" i="82"/>
  <c r="N125" i="82"/>
  <c r="M125" i="82"/>
  <c r="L125" i="82"/>
  <c r="K125" i="82"/>
  <c r="O124" i="82"/>
  <c r="N124" i="82"/>
  <c r="M124" i="82"/>
  <c r="L124" i="82"/>
  <c r="K124" i="82"/>
  <c r="O123" i="82"/>
  <c r="N123" i="82"/>
  <c r="M123" i="82"/>
  <c r="L123" i="82"/>
  <c r="K123" i="82"/>
  <c r="O122" i="82"/>
  <c r="N122" i="82"/>
  <c r="M122" i="82"/>
  <c r="L122" i="82"/>
  <c r="K122" i="82"/>
  <c r="O121" i="82"/>
  <c r="N121" i="82"/>
  <c r="M121" i="82"/>
  <c r="L121" i="82"/>
  <c r="K121" i="82"/>
  <c r="O120" i="82"/>
  <c r="N120" i="82"/>
  <c r="M120" i="82"/>
  <c r="L120" i="82"/>
  <c r="K120" i="82"/>
  <c r="O119" i="82"/>
  <c r="N119" i="82"/>
  <c r="M119" i="82"/>
  <c r="L119" i="82"/>
  <c r="K119" i="82"/>
  <c r="O118" i="82"/>
  <c r="N118" i="82"/>
  <c r="M118" i="82"/>
  <c r="L118" i="82"/>
  <c r="K118" i="82"/>
  <c r="O117" i="82"/>
  <c r="N117" i="82"/>
  <c r="M117" i="82"/>
  <c r="L117" i="82"/>
  <c r="K117" i="82"/>
  <c r="O116" i="82"/>
  <c r="N116" i="82"/>
  <c r="M116" i="82"/>
  <c r="L116" i="82"/>
  <c r="K116" i="82"/>
  <c r="O115" i="82"/>
  <c r="N115" i="82"/>
  <c r="M115" i="82"/>
  <c r="L115" i="82"/>
  <c r="K115" i="82"/>
  <c r="O114" i="82"/>
  <c r="N114" i="82"/>
  <c r="M114" i="82"/>
  <c r="L114" i="82"/>
  <c r="K114" i="82"/>
  <c r="O113" i="82"/>
  <c r="N113" i="82"/>
  <c r="M113" i="82"/>
  <c r="L113" i="82"/>
  <c r="K113" i="82"/>
  <c r="O112" i="82"/>
  <c r="N112" i="82"/>
  <c r="M112" i="82"/>
  <c r="L112" i="82"/>
  <c r="K112" i="82"/>
  <c r="O111" i="82"/>
  <c r="N111" i="82"/>
  <c r="M111" i="82"/>
  <c r="L111" i="82"/>
  <c r="K111" i="82"/>
  <c r="O110" i="82"/>
  <c r="N110" i="82"/>
  <c r="M110" i="82"/>
  <c r="L110" i="82"/>
  <c r="K110" i="82"/>
  <c r="O109" i="82"/>
  <c r="N109" i="82"/>
  <c r="M109" i="82"/>
  <c r="L109" i="82"/>
  <c r="K109" i="82"/>
  <c r="O108" i="82"/>
  <c r="N108" i="82"/>
  <c r="M108" i="82"/>
  <c r="L108" i="82"/>
  <c r="K108" i="82"/>
  <c r="O107" i="82"/>
  <c r="N107" i="82"/>
  <c r="M107" i="82"/>
  <c r="L107" i="82"/>
  <c r="K107" i="82"/>
  <c r="O106" i="82"/>
  <c r="N106" i="82"/>
  <c r="M106" i="82"/>
  <c r="L106" i="82"/>
  <c r="K106" i="82"/>
  <c r="O105" i="82"/>
  <c r="N105" i="82"/>
  <c r="M105" i="82"/>
  <c r="L105" i="82"/>
  <c r="K105" i="82"/>
  <c r="O104" i="82"/>
  <c r="N104" i="82"/>
  <c r="M104" i="82"/>
  <c r="L104" i="82"/>
  <c r="K104" i="82"/>
  <c r="O103" i="82"/>
  <c r="N103" i="82"/>
  <c r="M103" i="82"/>
  <c r="L103" i="82"/>
  <c r="K103" i="82"/>
  <c r="O102" i="82"/>
  <c r="N102" i="82"/>
  <c r="M102" i="82"/>
  <c r="L102" i="82"/>
  <c r="K102" i="82"/>
  <c r="O101" i="82"/>
  <c r="N101" i="82"/>
  <c r="M101" i="82"/>
  <c r="L101" i="82"/>
  <c r="K101" i="82"/>
  <c r="O100" i="82"/>
  <c r="N100" i="82"/>
  <c r="M100" i="82"/>
  <c r="L100" i="82"/>
  <c r="K100" i="82"/>
  <c r="O99" i="82"/>
  <c r="N99" i="82"/>
  <c r="M99" i="82"/>
  <c r="L99" i="82"/>
  <c r="K99" i="82"/>
  <c r="O98" i="82"/>
  <c r="N98" i="82"/>
  <c r="M98" i="82"/>
  <c r="L98" i="82"/>
  <c r="K98" i="82"/>
  <c r="O97" i="82"/>
  <c r="N97" i="82"/>
  <c r="M97" i="82"/>
  <c r="L97" i="82"/>
  <c r="K97" i="82"/>
  <c r="O96" i="82"/>
  <c r="N96" i="82"/>
  <c r="M96" i="82"/>
  <c r="L96" i="82"/>
  <c r="K96" i="82"/>
  <c r="O95" i="82"/>
  <c r="N95" i="82"/>
  <c r="M95" i="82"/>
  <c r="L95" i="82"/>
  <c r="K95" i="82"/>
  <c r="O94" i="82"/>
  <c r="N94" i="82"/>
  <c r="M94" i="82"/>
  <c r="L94" i="82"/>
  <c r="K94" i="82"/>
  <c r="O93" i="82"/>
  <c r="N93" i="82"/>
  <c r="M93" i="82"/>
  <c r="L93" i="82"/>
  <c r="K93" i="82"/>
  <c r="O92" i="82"/>
  <c r="N92" i="82"/>
  <c r="M92" i="82"/>
  <c r="L92" i="82"/>
  <c r="K92" i="82"/>
  <c r="O91" i="82"/>
  <c r="N91" i="82"/>
  <c r="M91" i="82"/>
  <c r="L91" i="82"/>
  <c r="K91" i="82"/>
  <c r="O90" i="82"/>
  <c r="N90" i="82"/>
  <c r="M90" i="82"/>
  <c r="L90" i="82"/>
  <c r="K90" i="82"/>
  <c r="O89" i="82"/>
  <c r="N89" i="82"/>
  <c r="M89" i="82"/>
  <c r="L89" i="82"/>
  <c r="K89" i="82"/>
  <c r="O88" i="82"/>
  <c r="N88" i="82"/>
  <c r="M88" i="82"/>
  <c r="L88" i="82"/>
  <c r="K88" i="82"/>
  <c r="O87" i="82"/>
  <c r="N87" i="82"/>
  <c r="M87" i="82"/>
  <c r="L87" i="82"/>
  <c r="K87" i="82"/>
  <c r="O86" i="82"/>
  <c r="N86" i="82"/>
  <c r="M86" i="82"/>
  <c r="L86" i="82"/>
  <c r="K86" i="82"/>
  <c r="O85" i="82"/>
  <c r="N85" i="82"/>
  <c r="M85" i="82"/>
  <c r="L85" i="82"/>
  <c r="K85" i="82"/>
  <c r="O84" i="82"/>
  <c r="N84" i="82"/>
  <c r="M84" i="82"/>
  <c r="L84" i="82"/>
  <c r="K84" i="82"/>
  <c r="O83" i="82"/>
  <c r="N83" i="82"/>
  <c r="M83" i="82"/>
  <c r="L83" i="82"/>
  <c r="K83" i="82"/>
  <c r="O82" i="82"/>
  <c r="N82" i="82"/>
  <c r="M82" i="82"/>
  <c r="L82" i="82"/>
  <c r="K82" i="82"/>
  <c r="O81" i="82"/>
  <c r="N81" i="82"/>
  <c r="M81" i="82"/>
  <c r="L81" i="82"/>
  <c r="K81" i="82"/>
  <c r="O80" i="82"/>
  <c r="N80" i="82"/>
  <c r="M80" i="82"/>
  <c r="L80" i="82"/>
  <c r="K80" i="82"/>
  <c r="O79" i="82"/>
  <c r="N79" i="82"/>
  <c r="M79" i="82"/>
  <c r="L79" i="82"/>
  <c r="K79" i="82"/>
  <c r="O78" i="82"/>
  <c r="N78" i="82"/>
  <c r="M78" i="82"/>
  <c r="L78" i="82"/>
  <c r="K78" i="82"/>
  <c r="O77" i="82"/>
  <c r="N77" i="82"/>
  <c r="M77" i="82"/>
  <c r="L77" i="82"/>
  <c r="K77" i="82"/>
  <c r="O76" i="82"/>
  <c r="N76" i="82"/>
  <c r="M76" i="82"/>
  <c r="L76" i="82"/>
  <c r="K76" i="82"/>
  <c r="C77" i="82"/>
  <c r="D77" i="82"/>
  <c r="E77" i="82"/>
  <c r="F77" i="82"/>
  <c r="G77" i="82"/>
  <c r="C78" i="82"/>
  <c r="D78" i="82"/>
  <c r="E78" i="82"/>
  <c r="F78" i="82"/>
  <c r="G78" i="82"/>
  <c r="C79" i="82"/>
  <c r="D79" i="82"/>
  <c r="E79" i="82"/>
  <c r="F79" i="82"/>
  <c r="G79" i="82"/>
  <c r="C80" i="82"/>
  <c r="D80" i="82"/>
  <c r="E80" i="82"/>
  <c r="F80" i="82"/>
  <c r="G80" i="82"/>
  <c r="C81" i="82"/>
  <c r="D81" i="82"/>
  <c r="E81" i="82"/>
  <c r="F81" i="82"/>
  <c r="G81" i="82"/>
  <c r="C82" i="82"/>
  <c r="D82" i="82"/>
  <c r="E82" i="82"/>
  <c r="F82" i="82"/>
  <c r="G82" i="82"/>
  <c r="C83" i="82"/>
  <c r="D83" i="82"/>
  <c r="E83" i="82"/>
  <c r="F83" i="82"/>
  <c r="G83" i="82"/>
  <c r="C84" i="82"/>
  <c r="D84" i="82"/>
  <c r="E84" i="82"/>
  <c r="F84" i="82"/>
  <c r="G84" i="82"/>
  <c r="C85" i="82"/>
  <c r="D85" i="82"/>
  <c r="E85" i="82"/>
  <c r="F85" i="82"/>
  <c r="G85" i="82"/>
  <c r="C86" i="82"/>
  <c r="D86" i="82"/>
  <c r="E86" i="82"/>
  <c r="F86" i="82"/>
  <c r="G86" i="82"/>
  <c r="C87" i="82"/>
  <c r="D87" i="82"/>
  <c r="E87" i="82"/>
  <c r="F87" i="82"/>
  <c r="G87" i="82"/>
  <c r="C88" i="82"/>
  <c r="D88" i="82"/>
  <c r="E88" i="82"/>
  <c r="F88" i="82"/>
  <c r="G88" i="82"/>
  <c r="C89" i="82"/>
  <c r="D89" i="82"/>
  <c r="E89" i="82"/>
  <c r="F89" i="82"/>
  <c r="G89" i="82"/>
  <c r="C90" i="82"/>
  <c r="D90" i="82"/>
  <c r="E90" i="82"/>
  <c r="F90" i="82"/>
  <c r="G90" i="82"/>
  <c r="C91" i="82"/>
  <c r="D91" i="82"/>
  <c r="E91" i="82"/>
  <c r="F91" i="82"/>
  <c r="G91" i="82"/>
  <c r="C92" i="82"/>
  <c r="D92" i="82"/>
  <c r="E92" i="82"/>
  <c r="F92" i="82"/>
  <c r="G92" i="82"/>
  <c r="C93" i="82"/>
  <c r="D93" i="82"/>
  <c r="E93" i="82"/>
  <c r="F93" i="82"/>
  <c r="G93" i="82"/>
  <c r="C94" i="82"/>
  <c r="D94" i="82"/>
  <c r="E94" i="82"/>
  <c r="F94" i="82"/>
  <c r="G94" i="82"/>
  <c r="C95" i="82"/>
  <c r="D95" i="82"/>
  <c r="E95" i="82"/>
  <c r="F95" i="82"/>
  <c r="G95" i="82"/>
  <c r="C96" i="82"/>
  <c r="D96" i="82"/>
  <c r="E96" i="82"/>
  <c r="F96" i="82"/>
  <c r="G96" i="82"/>
  <c r="C97" i="82"/>
  <c r="D97" i="82"/>
  <c r="E97" i="82"/>
  <c r="F97" i="82"/>
  <c r="G97" i="82"/>
  <c r="C98" i="82"/>
  <c r="D98" i="82"/>
  <c r="E98" i="82"/>
  <c r="F98" i="82"/>
  <c r="G98" i="82"/>
  <c r="C99" i="82"/>
  <c r="D99" i="82"/>
  <c r="E99" i="82"/>
  <c r="F99" i="82"/>
  <c r="G99" i="82"/>
  <c r="C100" i="82"/>
  <c r="D100" i="82"/>
  <c r="E100" i="82"/>
  <c r="F100" i="82"/>
  <c r="G100" i="82"/>
  <c r="C101" i="82"/>
  <c r="D101" i="82"/>
  <c r="E101" i="82"/>
  <c r="F101" i="82"/>
  <c r="G101" i="82"/>
  <c r="C102" i="82"/>
  <c r="D102" i="82"/>
  <c r="E102" i="82"/>
  <c r="F102" i="82"/>
  <c r="G102" i="82"/>
  <c r="C103" i="82"/>
  <c r="D103" i="82"/>
  <c r="E103" i="82"/>
  <c r="F103" i="82"/>
  <c r="G103" i="82"/>
  <c r="C104" i="82"/>
  <c r="D104" i="82"/>
  <c r="E104" i="82"/>
  <c r="F104" i="82"/>
  <c r="G104" i="82"/>
  <c r="C105" i="82"/>
  <c r="D105" i="82"/>
  <c r="E105" i="82"/>
  <c r="F105" i="82"/>
  <c r="G105" i="82"/>
  <c r="C106" i="82"/>
  <c r="D106" i="82"/>
  <c r="E106" i="82"/>
  <c r="F106" i="82"/>
  <c r="G106" i="82"/>
  <c r="C107" i="82"/>
  <c r="D107" i="82"/>
  <c r="E107" i="82"/>
  <c r="F107" i="82"/>
  <c r="G107" i="82"/>
  <c r="C108" i="82"/>
  <c r="D108" i="82"/>
  <c r="E108" i="82"/>
  <c r="F108" i="82"/>
  <c r="G108" i="82"/>
  <c r="C109" i="82"/>
  <c r="D109" i="82"/>
  <c r="E109" i="82"/>
  <c r="F109" i="82"/>
  <c r="G109" i="82"/>
  <c r="C110" i="82"/>
  <c r="D110" i="82"/>
  <c r="E110" i="82"/>
  <c r="F110" i="82"/>
  <c r="G110" i="82"/>
  <c r="C111" i="82"/>
  <c r="D111" i="82"/>
  <c r="E111" i="82"/>
  <c r="F111" i="82"/>
  <c r="G111" i="82"/>
  <c r="C112" i="82"/>
  <c r="D112" i="82"/>
  <c r="E112" i="82"/>
  <c r="F112" i="82"/>
  <c r="G112" i="82"/>
  <c r="C113" i="82"/>
  <c r="D113" i="82"/>
  <c r="E113" i="82"/>
  <c r="F113" i="82"/>
  <c r="G113" i="82"/>
  <c r="C114" i="82"/>
  <c r="D114" i="82"/>
  <c r="E114" i="82"/>
  <c r="F114" i="82"/>
  <c r="G114" i="82"/>
  <c r="C115" i="82"/>
  <c r="D115" i="82"/>
  <c r="E115" i="82"/>
  <c r="F115" i="82"/>
  <c r="G115" i="82"/>
  <c r="C116" i="82"/>
  <c r="D116" i="82"/>
  <c r="E116" i="82"/>
  <c r="F116" i="82"/>
  <c r="G116" i="82"/>
  <c r="C117" i="82"/>
  <c r="D117" i="82"/>
  <c r="E117" i="82"/>
  <c r="F117" i="82"/>
  <c r="G117" i="82"/>
  <c r="C118" i="82"/>
  <c r="D118" i="82"/>
  <c r="E118" i="82"/>
  <c r="F118" i="82"/>
  <c r="G118" i="82"/>
  <c r="C119" i="82"/>
  <c r="D119" i="82"/>
  <c r="E119" i="82"/>
  <c r="F119" i="82"/>
  <c r="G119" i="82"/>
  <c r="C120" i="82"/>
  <c r="D120" i="82"/>
  <c r="E120" i="82"/>
  <c r="F120" i="82"/>
  <c r="G120" i="82"/>
  <c r="C121" i="82"/>
  <c r="D121" i="82"/>
  <c r="E121" i="82"/>
  <c r="F121" i="82"/>
  <c r="G121" i="82"/>
  <c r="C122" i="82"/>
  <c r="D122" i="82"/>
  <c r="E122" i="82"/>
  <c r="F122" i="82"/>
  <c r="G122" i="82"/>
  <c r="C123" i="82"/>
  <c r="D123" i="82"/>
  <c r="E123" i="82"/>
  <c r="F123" i="82"/>
  <c r="G123" i="82"/>
  <c r="C124" i="82"/>
  <c r="D124" i="82"/>
  <c r="E124" i="82"/>
  <c r="F124" i="82"/>
  <c r="G124" i="82"/>
  <c r="C125" i="82"/>
  <c r="D125" i="82"/>
  <c r="E125" i="82"/>
  <c r="F125" i="82"/>
  <c r="G125" i="82"/>
  <c r="C126" i="82"/>
  <c r="D126" i="82"/>
  <c r="E126" i="82"/>
  <c r="F126" i="82"/>
  <c r="G126" i="82"/>
  <c r="C127" i="82"/>
  <c r="D127" i="82"/>
  <c r="E127" i="82"/>
  <c r="F127" i="82"/>
  <c r="G127" i="82"/>
  <c r="C128" i="82"/>
  <c r="D128" i="82"/>
  <c r="E128" i="82"/>
  <c r="F128" i="82"/>
  <c r="G128" i="82"/>
  <c r="C129" i="82"/>
  <c r="D129" i="82"/>
  <c r="E129" i="82"/>
  <c r="F129" i="82"/>
  <c r="G129" i="82"/>
  <c r="C130" i="82"/>
  <c r="D130" i="82"/>
  <c r="E130" i="82"/>
  <c r="F130" i="82"/>
  <c r="G130" i="82"/>
  <c r="C131" i="82"/>
  <c r="D131" i="82"/>
  <c r="E131" i="82"/>
  <c r="F131" i="82"/>
  <c r="G131" i="82"/>
  <c r="C132" i="82"/>
  <c r="D132" i="82"/>
  <c r="E132" i="82"/>
  <c r="F132" i="82"/>
  <c r="G132" i="82"/>
  <c r="C133" i="82"/>
  <c r="D133" i="82"/>
  <c r="E133" i="82"/>
  <c r="F133" i="82"/>
  <c r="G133" i="82"/>
  <c r="C134" i="82"/>
  <c r="D134" i="82"/>
  <c r="E134" i="82"/>
  <c r="F134" i="82"/>
  <c r="G134" i="82"/>
  <c r="C135" i="82"/>
  <c r="D135" i="82"/>
  <c r="E135" i="82"/>
  <c r="F135" i="82"/>
  <c r="G135" i="82"/>
  <c r="C136" i="82"/>
  <c r="D136" i="82"/>
  <c r="E136" i="82"/>
  <c r="F136" i="82"/>
  <c r="G136" i="82"/>
  <c r="C137" i="82"/>
  <c r="D137" i="82"/>
  <c r="E137" i="82"/>
  <c r="F137" i="82"/>
  <c r="G137" i="82"/>
  <c r="C138" i="82"/>
  <c r="D138" i="82"/>
  <c r="E138" i="82"/>
  <c r="F138" i="82"/>
  <c r="G138" i="82"/>
  <c r="C139" i="82"/>
  <c r="D139" i="82"/>
  <c r="E139" i="82"/>
  <c r="F139" i="82"/>
  <c r="G139" i="82"/>
  <c r="C140" i="82"/>
  <c r="D140" i="82"/>
  <c r="E140" i="82"/>
  <c r="F140" i="82"/>
  <c r="G140" i="82"/>
  <c r="C141" i="82"/>
  <c r="D141" i="82"/>
  <c r="E141" i="82"/>
  <c r="F141" i="82"/>
  <c r="G141" i="82"/>
  <c r="C142" i="82"/>
  <c r="D142" i="82"/>
  <c r="E142" i="82"/>
  <c r="F142" i="82"/>
  <c r="G142" i="82"/>
  <c r="C143" i="82"/>
  <c r="D143" i="82"/>
  <c r="E143" i="82"/>
  <c r="F143" i="82"/>
  <c r="G143" i="82"/>
  <c r="C144" i="82"/>
  <c r="D144" i="82"/>
  <c r="E144" i="82"/>
  <c r="F144" i="82"/>
  <c r="G144" i="82"/>
  <c r="C145" i="82"/>
  <c r="D145" i="82"/>
  <c r="E145" i="82"/>
  <c r="F145" i="82"/>
  <c r="G145" i="82"/>
  <c r="C146" i="82"/>
  <c r="D146" i="82"/>
  <c r="E146" i="82"/>
  <c r="F146" i="82"/>
  <c r="G146" i="82"/>
  <c r="C147" i="82"/>
  <c r="D147" i="82"/>
  <c r="E147" i="82"/>
  <c r="F147" i="82"/>
  <c r="G147" i="82"/>
  <c r="C148" i="82"/>
  <c r="D148" i="82"/>
  <c r="E148" i="82"/>
  <c r="F148" i="82"/>
  <c r="G148" i="82"/>
  <c r="C149" i="82"/>
  <c r="D149" i="82"/>
  <c r="E149" i="82"/>
  <c r="F149" i="82"/>
  <c r="G149" i="82"/>
  <c r="C150" i="82"/>
  <c r="D150" i="82"/>
  <c r="E150" i="82"/>
  <c r="F150" i="82"/>
  <c r="G150" i="82"/>
  <c r="C151" i="82"/>
  <c r="D151" i="82"/>
  <c r="E151" i="82"/>
  <c r="F151" i="82"/>
  <c r="G151" i="82"/>
  <c r="C152" i="82"/>
  <c r="D152" i="82"/>
  <c r="E152" i="82"/>
  <c r="F152" i="82"/>
  <c r="G152" i="82"/>
  <c r="C153" i="82"/>
  <c r="D153" i="82"/>
  <c r="E153" i="82"/>
  <c r="F153" i="82"/>
  <c r="G153" i="82"/>
  <c r="C154" i="82"/>
  <c r="D154" i="82"/>
  <c r="E154" i="82"/>
  <c r="F154" i="82"/>
  <c r="G154" i="82"/>
  <c r="C155" i="82"/>
  <c r="D155" i="82"/>
  <c r="E155" i="82"/>
  <c r="F155" i="82"/>
  <c r="G155" i="82"/>
  <c r="C156" i="82"/>
  <c r="D156" i="82"/>
  <c r="E156" i="82"/>
  <c r="F156" i="82"/>
  <c r="G156" i="82"/>
  <c r="C157" i="82"/>
  <c r="D157" i="82"/>
  <c r="E157" i="82"/>
  <c r="F157" i="82"/>
  <c r="G157" i="82"/>
  <c r="C158" i="82"/>
  <c r="D158" i="82"/>
  <c r="E158" i="82"/>
  <c r="F158" i="82"/>
  <c r="G158" i="82"/>
  <c r="C159" i="82"/>
  <c r="D159" i="82"/>
  <c r="E159" i="82"/>
  <c r="F159" i="82"/>
  <c r="G159" i="82"/>
  <c r="C160" i="82"/>
  <c r="D160" i="82"/>
  <c r="E160" i="82"/>
  <c r="F160" i="82"/>
  <c r="G160" i="82"/>
  <c r="C161" i="82"/>
  <c r="D161" i="82"/>
  <c r="E161" i="82"/>
  <c r="F161" i="82"/>
  <c r="G161" i="82"/>
  <c r="C162" i="82"/>
  <c r="D162" i="82"/>
  <c r="E162" i="82"/>
  <c r="F162" i="82"/>
  <c r="G162" i="82"/>
  <c r="C163" i="82"/>
  <c r="D163" i="82"/>
  <c r="E163" i="82"/>
  <c r="F163" i="82"/>
  <c r="G163" i="82"/>
  <c r="C164" i="82"/>
  <c r="D164" i="82"/>
  <c r="E164" i="82"/>
  <c r="F164" i="82"/>
  <c r="G164" i="82"/>
  <c r="C165" i="82"/>
  <c r="D165" i="82"/>
  <c r="E165" i="82"/>
  <c r="F165" i="82"/>
  <c r="G165" i="82"/>
  <c r="C166" i="82"/>
  <c r="D166" i="82"/>
  <c r="E166" i="82"/>
  <c r="F166" i="82"/>
  <c r="G166" i="82"/>
  <c r="C167" i="82"/>
  <c r="D167" i="82"/>
  <c r="E167" i="82"/>
  <c r="F167" i="82"/>
  <c r="G167" i="82"/>
  <c r="C168" i="82"/>
  <c r="D168" i="82"/>
  <c r="E168" i="82"/>
  <c r="F168" i="82"/>
  <c r="G168" i="82"/>
  <c r="C169" i="82"/>
  <c r="D169" i="82"/>
  <c r="E169" i="82"/>
  <c r="F169" i="82"/>
  <c r="G169" i="82"/>
  <c r="C170" i="82"/>
  <c r="D170" i="82"/>
  <c r="E170" i="82"/>
  <c r="F170" i="82"/>
  <c r="G170" i="82"/>
  <c r="C171" i="82"/>
  <c r="D171" i="82"/>
  <c r="E171" i="82"/>
  <c r="F171" i="82"/>
  <c r="G171" i="82"/>
  <c r="C172" i="82"/>
  <c r="D172" i="82"/>
  <c r="E172" i="82"/>
  <c r="F172" i="82"/>
  <c r="G172" i="82"/>
  <c r="C173" i="82"/>
  <c r="D173" i="82"/>
  <c r="E173" i="82"/>
  <c r="F173" i="82"/>
  <c r="G173" i="82"/>
  <c r="C174" i="82"/>
  <c r="D174" i="82"/>
  <c r="E174" i="82"/>
  <c r="F174" i="82"/>
  <c r="G174" i="82"/>
  <c r="C175" i="82"/>
  <c r="D175" i="82"/>
  <c r="E175" i="82"/>
  <c r="F175" i="82"/>
  <c r="G175" i="82"/>
  <c r="C176" i="82"/>
  <c r="D176" i="82"/>
  <c r="E176" i="82"/>
  <c r="F176" i="82"/>
  <c r="G176" i="82"/>
  <c r="C177" i="82"/>
  <c r="D177" i="82"/>
  <c r="E177" i="82"/>
  <c r="F177" i="82"/>
  <c r="G177" i="82"/>
  <c r="C178" i="82"/>
  <c r="D178" i="82"/>
  <c r="E178" i="82"/>
  <c r="F178" i="82"/>
  <c r="G178" i="82"/>
  <c r="C179" i="82"/>
  <c r="D179" i="82"/>
  <c r="E179" i="82"/>
  <c r="F179" i="82"/>
  <c r="G179" i="82"/>
  <c r="C180" i="82"/>
  <c r="D180" i="82"/>
  <c r="E180" i="82"/>
  <c r="F180" i="82"/>
  <c r="G180" i="82"/>
  <c r="C181" i="82"/>
  <c r="D181" i="82"/>
  <c r="E181" i="82"/>
  <c r="F181" i="82"/>
  <c r="G181" i="82"/>
  <c r="C182" i="82"/>
  <c r="D182" i="82"/>
  <c r="E182" i="82"/>
  <c r="F182" i="82"/>
  <c r="G182" i="82"/>
  <c r="C183" i="82"/>
  <c r="D183" i="82"/>
  <c r="E183" i="82"/>
  <c r="F183" i="82"/>
  <c r="G183" i="82"/>
  <c r="C184" i="82"/>
  <c r="D184" i="82"/>
  <c r="E184" i="82"/>
  <c r="F184" i="82"/>
  <c r="G184" i="82"/>
  <c r="C185" i="82"/>
  <c r="D185" i="82"/>
  <c r="E185" i="82"/>
  <c r="F185" i="82"/>
  <c r="G185" i="82"/>
  <c r="C186" i="82"/>
  <c r="D186" i="82"/>
  <c r="E186" i="82"/>
  <c r="F186" i="82"/>
  <c r="G186" i="82"/>
  <c r="C187" i="82"/>
  <c r="D187" i="82"/>
  <c r="E187" i="82"/>
  <c r="F187" i="82"/>
  <c r="G187" i="82"/>
  <c r="C188" i="82"/>
  <c r="D188" i="82"/>
  <c r="E188" i="82"/>
  <c r="F188" i="82"/>
  <c r="G188" i="82"/>
  <c r="C189" i="82"/>
  <c r="D189" i="82"/>
  <c r="E189" i="82"/>
  <c r="F189" i="82"/>
  <c r="G189" i="82"/>
  <c r="C190" i="82"/>
  <c r="D190" i="82"/>
  <c r="E190" i="82"/>
  <c r="F190" i="82"/>
  <c r="G190" i="82"/>
  <c r="C191" i="82"/>
  <c r="D191" i="82"/>
  <c r="E191" i="82"/>
  <c r="F191" i="82"/>
  <c r="G191" i="82"/>
  <c r="C192" i="82"/>
  <c r="D192" i="82"/>
  <c r="E192" i="82"/>
  <c r="F192" i="82"/>
  <c r="G192" i="82"/>
  <c r="C193" i="82"/>
  <c r="D193" i="82"/>
  <c r="E193" i="82"/>
  <c r="F193" i="82"/>
  <c r="G193" i="82"/>
  <c r="C194" i="82"/>
  <c r="D194" i="82"/>
  <c r="E194" i="82"/>
  <c r="F194" i="82"/>
  <c r="G194" i="82"/>
  <c r="C195" i="82"/>
  <c r="D195" i="82"/>
  <c r="E195" i="82"/>
  <c r="F195" i="82"/>
  <c r="G195" i="82"/>
  <c r="C196" i="82"/>
  <c r="D196" i="82"/>
  <c r="E196" i="82"/>
  <c r="F196" i="82"/>
  <c r="G196" i="82"/>
  <c r="C197" i="82"/>
  <c r="D197" i="82"/>
  <c r="E197" i="82"/>
  <c r="F197" i="82"/>
  <c r="G197" i="82"/>
  <c r="C198" i="82"/>
  <c r="D198" i="82"/>
  <c r="E198" i="82"/>
  <c r="F198" i="82"/>
  <c r="G198" i="82"/>
  <c r="C199" i="82"/>
  <c r="D199" i="82"/>
  <c r="E199" i="82"/>
  <c r="F199" i="82"/>
  <c r="G199" i="82"/>
  <c r="C200" i="82"/>
  <c r="D200" i="82"/>
  <c r="E200" i="82"/>
  <c r="F200" i="82"/>
  <c r="G200" i="82"/>
  <c r="C201" i="82"/>
  <c r="D201" i="82"/>
  <c r="E201" i="82"/>
  <c r="F201" i="82"/>
  <c r="G201" i="82"/>
  <c r="C202" i="82"/>
  <c r="D202" i="82"/>
  <c r="E202" i="82"/>
  <c r="F202" i="82"/>
  <c r="G202" i="82"/>
  <c r="C203" i="82"/>
  <c r="D203" i="82"/>
  <c r="E203" i="82"/>
  <c r="F203" i="82"/>
  <c r="G203" i="82"/>
  <c r="C204" i="82"/>
  <c r="D204" i="82"/>
  <c r="E204" i="82"/>
  <c r="F204" i="82"/>
  <c r="G204" i="82"/>
  <c r="C205" i="82"/>
  <c r="D205" i="82"/>
  <c r="E205" i="82"/>
  <c r="F205" i="82"/>
  <c r="G205" i="82"/>
  <c r="C206" i="82"/>
  <c r="D206" i="82"/>
  <c r="E206" i="82"/>
  <c r="F206" i="82"/>
  <c r="G206" i="82"/>
  <c r="C207" i="82"/>
  <c r="D207" i="82"/>
  <c r="E207" i="82"/>
  <c r="F207" i="82"/>
  <c r="G207" i="82"/>
  <c r="C208" i="82"/>
  <c r="D208" i="82"/>
  <c r="E208" i="82"/>
  <c r="F208" i="82"/>
  <c r="G208" i="82"/>
  <c r="C209" i="82"/>
  <c r="D209" i="82"/>
  <c r="E209" i="82"/>
  <c r="F209" i="82"/>
  <c r="G209" i="82"/>
  <c r="C210" i="82"/>
  <c r="D210" i="82"/>
  <c r="E210" i="82"/>
  <c r="F210" i="82"/>
  <c r="G210" i="82"/>
  <c r="C211" i="82"/>
  <c r="D211" i="82"/>
  <c r="E211" i="82"/>
  <c r="F211" i="82"/>
  <c r="G211" i="82"/>
  <c r="C212" i="82"/>
  <c r="D212" i="82"/>
  <c r="E212" i="82"/>
  <c r="F212" i="82"/>
  <c r="G212" i="82"/>
  <c r="C213" i="82"/>
  <c r="D213" i="82"/>
  <c r="E213" i="82"/>
  <c r="F213" i="82"/>
  <c r="G213" i="82"/>
  <c r="C214" i="82"/>
  <c r="D214" i="82"/>
  <c r="E214" i="82"/>
  <c r="F214" i="82"/>
  <c r="G214" i="82"/>
  <c r="C215" i="82"/>
  <c r="D215" i="82"/>
  <c r="E215" i="82"/>
  <c r="F215" i="82"/>
  <c r="G215" i="82"/>
  <c r="C216" i="82"/>
  <c r="D216" i="82"/>
  <c r="E216" i="82"/>
  <c r="F216" i="82"/>
  <c r="G216" i="82"/>
  <c r="C217" i="82"/>
  <c r="D217" i="82"/>
  <c r="E217" i="82"/>
  <c r="F217" i="82"/>
  <c r="G217" i="82"/>
  <c r="C218" i="82"/>
  <c r="D218" i="82"/>
  <c r="E218" i="82"/>
  <c r="F218" i="82"/>
  <c r="G218" i="82"/>
  <c r="C219" i="82"/>
  <c r="D219" i="82"/>
  <c r="E219" i="82"/>
  <c r="F219" i="82"/>
  <c r="G219" i="82"/>
  <c r="C220" i="82"/>
  <c r="D220" i="82"/>
  <c r="E220" i="82"/>
  <c r="F220" i="82"/>
  <c r="G220" i="82"/>
  <c r="C221" i="82"/>
  <c r="D221" i="82"/>
  <c r="E221" i="82"/>
  <c r="F221" i="82"/>
  <c r="G221" i="82"/>
  <c r="C222" i="82"/>
  <c r="D222" i="82"/>
  <c r="E222" i="82"/>
  <c r="F222" i="82"/>
  <c r="G222" i="82"/>
  <c r="C223" i="82"/>
  <c r="D223" i="82"/>
  <c r="E223" i="82"/>
  <c r="F223" i="82"/>
  <c r="G223" i="82"/>
  <c r="C224" i="82"/>
  <c r="D224" i="82"/>
  <c r="E224" i="82"/>
  <c r="F224" i="82"/>
  <c r="G224" i="82"/>
  <c r="C225" i="82"/>
  <c r="D225" i="82"/>
  <c r="E225" i="82"/>
  <c r="F225" i="82"/>
  <c r="G225" i="82"/>
  <c r="C226" i="82"/>
  <c r="D226" i="82"/>
  <c r="E226" i="82"/>
  <c r="F226" i="82"/>
  <c r="G226" i="82"/>
  <c r="C227" i="82"/>
  <c r="D227" i="82"/>
  <c r="E227" i="82"/>
  <c r="F227" i="82"/>
  <c r="G227" i="82"/>
  <c r="C228" i="82"/>
  <c r="D228" i="82"/>
  <c r="E228" i="82"/>
  <c r="F228" i="82"/>
  <c r="G228" i="82"/>
  <c r="C229" i="82"/>
  <c r="D229" i="82"/>
  <c r="E229" i="82"/>
  <c r="F229" i="82"/>
  <c r="G229" i="82"/>
  <c r="C230" i="82"/>
  <c r="D230" i="82"/>
  <c r="E230" i="82"/>
  <c r="F230" i="82"/>
  <c r="G230" i="82"/>
  <c r="C231" i="82"/>
  <c r="D231" i="82"/>
  <c r="E231" i="82"/>
  <c r="F231" i="82"/>
  <c r="G231" i="82"/>
  <c r="C232" i="82"/>
  <c r="D232" i="82"/>
  <c r="E232" i="82"/>
  <c r="F232" i="82"/>
  <c r="G232" i="82"/>
  <c r="C233" i="82"/>
  <c r="D233" i="82"/>
  <c r="E233" i="82"/>
  <c r="F233" i="82"/>
  <c r="G233" i="82"/>
  <c r="C234" i="82"/>
  <c r="D234" i="82"/>
  <c r="E234" i="82"/>
  <c r="F234" i="82"/>
  <c r="G234" i="82"/>
  <c r="C235" i="82"/>
  <c r="D235" i="82"/>
  <c r="E235" i="82"/>
  <c r="F235" i="82"/>
  <c r="G235" i="82"/>
  <c r="C236" i="82"/>
  <c r="D236" i="82"/>
  <c r="E236" i="82"/>
  <c r="F236" i="82"/>
  <c r="G236" i="82"/>
  <c r="C237" i="82"/>
  <c r="D237" i="82"/>
  <c r="E237" i="82"/>
  <c r="F237" i="82"/>
  <c r="G237" i="82"/>
  <c r="C238" i="82"/>
  <c r="D238" i="82"/>
  <c r="E238" i="82"/>
  <c r="F238" i="82"/>
  <c r="G238" i="82"/>
  <c r="C239" i="82"/>
  <c r="D239" i="82"/>
  <c r="E239" i="82"/>
  <c r="F239" i="82"/>
  <c r="G239" i="82"/>
  <c r="C240" i="82"/>
  <c r="D240" i="82"/>
  <c r="E240" i="82"/>
  <c r="F240" i="82"/>
  <c r="G240" i="82"/>
  <c r="C241" i="82"/>
  <c r="D241" i="82"/>
  <c r="E241" i="82"/>
  <c r="F241" i="82"/>
  <c r="G241" i="82"/>
  <c r="C242" i="82"/>
  <c r="D242" i="82"/>
  <c r="E242" i="82"/>
  <c r="F242" i="82"/>
  <c r="G242" i="82"/>
  <c r="C243" i="82"/>
  <c r="D243" i="82"/>
  <c r="E243" i="82"/>
  <c r="F243" i="82"/>
  <c r="G243" i="82"/>
  <c r="C244" i="82"/>
  <c r="D244" i="82"/>
  <c r="E244" i="82"/>
  <c r="F244" i="82"/>
  <c r="G244" i="82"/>
  <c r="C245" i="82"/>
  <c r="D245" i="82"/>
  <c r="E245" i="82"/>
  <c r="F245" i="82"/>
  <c r="G245" i="82"/>
  <c r="C246" i="82"/>
  <c r="D246" i="82"/>
  <c r="E246" i="82"/>
  <c r="F246" i="82"/>
  <c r="G246" i="82"/>
  <c r="C247" i="82"/>
  <c r="D247" i="82"/>
  <c r="E247" i="82"/>
  <c r="F247" i="82"/>
  <c r="G247" i="82"/>
  <c r="C248" i="82"/>
  <c r="D248" i="82"/>
  <c r="E248" i="82"/>
  <c r="F248" i="82"/>
  <c r="G248" i="82"/>
  <c r="C249" i="82"/>
  <c r="D249" i="82"/>
  <c r="E249" i="82"/>
  <c r="F249" i="82"/>
  <c r="G249" i="82"/>
  <c r="C250" i="82"/>
  <c r="D250" i="82"/>
  <c r="E250" i="82"/>
  <c r="F250" i="82"/>
  <c r="G250" i="82"/>
  <c r="C251" i="82"/>
  <c r="D251" i="82"/>
  <c r="E251" i="82"/>
  <c r="F251" i="82"/>
  <c r="G251" i="82"/>
  <c r="C252" i="82"/>
  <c r="D252" i="82"/>
  <c r="E252" i="82"/>
  <c r="F252" i="82"/>
  <c r="G252" i="82"/>
  <c r="C253" i="82"/>
  <c r="D253" i="82"/>
  <c r="E253" i="82"/>
  <c r="F253" i="82"/>
  <c r="G253" i="82"/>
  <c r="C254" i="82"/>
  <c r="D254" i="82"/>
  <c r="E254" i="82"/>
  <c r="F254" i="82"/>
  <c r="G254" i="82"/>
  <c r="C255" i="82"/>
  <c r="D255" i="82"/>
  <c r="E255" i="82"/>
  <c r="F255" i="82"/>
  <c r="G255" i="82"/>
  <c r="C256" i="82"/>
  <c r="D256" i="82"/>
  <c r="E256" i="82"/>
  <c r="F256" i="82"/>
  <c r="G256" i="82"/>
  <c r="C257" i="82"/>
  <c r="D257" i="82"/>
  <c r="E257" i="82"/>
  <c r="F257" i="82"/>
  <c r="G257" i="82"/>
  <c r="C258" i="82"/>
  <c r="D258" i="82"/>
  <c r="E258" i="82"/>
  <c r="F258" i="82"/>
  <c r="G258" i="82"/>
  <c r="C259" i="82"/>
  <c r="D259" i="82"/>
  <c r="E259" i="82"/>
  <c r="F259" i="82"/>
  <c r="G259" i="82"/>
  <c r="C260" i="82"/>
  <c r="D260" i="82"/>
  <c r="E260" i="82"/>
  <c r="F260" i="82"/>
  <c r="G260" i="82"/>
  <c r="C261" i="82"/>
  <c r="D261" i="82"/>
  <c r="E261" i="82"/>
  <c r="F261" i="82"/>
  <c r="G261" i="82"/>
  <c r="C262" i="82"/>
  <c r="D262" i="82"/>
  <c r="E262" i="82"/>
  <c r="F262" i="82"/>
  <c r="G262" i="82"/>
  <c r="C263" i="82"/>
  <c r="D263" i="82"/>
  <c r="E263" i="82"/>
  <c r="F263" i="82"/>
  <c r="G263" i="82"/>
  <c r="C264" i="82"/>
  <c r="D264" i="82"/>
  <c r="E264" i="82"/>
  <c r="F264" i="82"/>
  <c r="G264" i="82"/>
  <c r="C265" i="82"/>
  <c r="D265" i="82"/>
  <c r="E265" i="82"/>
  <c r="F265" i="82"/>
  <c r="G265" i="82"/>
  <c r="C266" i="82"/>
  <c r="D266" i="82"/>
  <c r="E266" i="82"/>
  <c r="F266" i="82"/>
  <c r="G266" i="82"/>
  <c r="C267" i="82"/>
  <c r="D267" i="82"/>
  <c r="E267" i="82"/>
  <c r="F267" i="82"/>
  <c r="G267" i="82"/>
  <c r="C268" i="82"/>
  <c r="D268" i="82"/>
  <c r="E268" i="82"/>
  <c r="F268" i="82"/>
  <c r="G268" i="82"/>
  <c r="C269" i="82"/>
  <c r="D269" i="82"/>
  <c r="E269" i="82"/>
  <c r="F269" i="82"/>
  <c r="G269" i="82"/>
  <c r="C270" i="82"/>
  <c r="D270" i="82"/>
  <c r="E270" i="82"/>
  <c r="F270" i="82"/>
  <c r="G270" i="82"/>
  <c r="C271" i="82"/>
  <c r="D271" i="82"/>
  <c r="E271" i="82"/>
  <c r="F271" i="82"/>
  <c r="G271" i="82"/>
  <c r="C272" i="82"/>
  <c r="D272" i="82"/>
  <c r="E272" i="82"/>
  <c r="F272" i="82"/>
  <c r="G272" i="82"/>
  <c r="C273" i="82"/>
  <c r="D273" i="82"/>
  <c r="E273" i="82"/>
  <c r="F273" i="82"/>
  <c r="G273" i="82"/>
  <c r="C274" i="82"/>
  <c r="D274" i="82"/>
  <c r="E274" i="82"/>
  <c r="F274" i="82"/>
  <c r="G274" i="82"/>
  <c r="C275" i="82"/>
  <c r="D275" i="82"/>
  <c r="E275" i="82"/>
  <c r="F275" i="82"/>
  <c r="G275" i="82"/>
  <c r="C276" i="82"/>
  <c r="D276" i="82"/>
  <c r="E276" i="82"/>
  <c r="F276" i="82"/>
  <c r="G276" i="82"/>
  <c r="C277" i="82"/>
  <c r="D277" i="82"/>
  <c r="E277" i="82"/>
  <c r="F277" i="82"/>
  <c r="G277" i="82"/>
  <c r="C278" i="82"/>
  <c r="D278" i="82"/>
  <c r="E278" i="82"/>
  <c r="F278" i="82"/>
  <c r="G278" i="82"/>
  <c r="C279" i="82"/>
  <c r="D279" i="82"/>
  <c r="E279" i="82"/>
  <c r="F279" i="82"/>
  <c r="G279" i="82"/>
  <c r="C280" i="82"/>
  <c r="D280" i="82"/>
  <c r="E280" i="82"/>
  <c r="F280" i="82"/>
  <c r="G280" i="82"/>
  <c r="C281" i="82"/>
  <c r="D281" i="82"/>
  <c r="E281" i="82"/>
  <c r="F281" i="82"/>
  <c r="G281" i="82"/>
  <c r="C282" i="82"/>
  <c r="D282" i="82"/>
  <c r="E282" i="82"/>
  <c r="F282" i="82"/>
  <c r="G282" i="82"/>
  <c r="C283" i="82"/>
  <c r="D283" i="82"/>
  <c r="E283" i="82"/>
  <c r="F283" i="82"/>
  <c r="G283" i="82"/>
  <c r="C284" i="82"/>
  <c r="D284" i="82"/>
  <c r="E284" i="82"/>
  <c r="F284" i="82"/>
  <c r="G284" i="82"/>
  <c r="C285" i="82"/>
  <c r="D285" i="82"/>
  <c r="E285" i="82"/>
  <c r="F285" i="82"/>
  <c r="G285" i="82"/>
  <c r="C286" i="82"/>
  <c r="D286" i="82"/>
  <c r="E286" i="82"/>
  <c r="F286" i="82"/>
  <c r="G286" i="82"/>
  <c r="C287" i="82"/>
  <c r="D287" i="82"/>
  <c r="E287" i="82"/>
  <c r="F287" i="82"/>
  <c r="G287" i="82"/>
  <c r="C288" i="82"/>
  <c r="D288" i="82"/>
  <c r="E288" i="82"/>
  <c r="F288" i="82"/>
  <c r="G288" i="82"/>
  <c r="C289" i="82"/>
  <c r="D289" i="82"/>
  <c r="E289" i="82"/>
  <c r="F289" i="82"/>
  <c r="G289" i="82"/>
  <c r="C290" i="82"/>
  <c r="D290" i="82"/>
  <c r="E290" i="82"/>
  <c r="F290" i="82"/>
  <c r="G290" i="82"/>
  <c r="C291" i="82"/>
  <c r="D291" i="82"/>
  <c r="E291" i="82"/>
  <c r="F291" i="82"/>
  <c r="G291" i="82"/>
  <c r="C292" i="82"/>
  <c r="D292" i="82"/>
  <c r="E292" i="82"/>
  <c r="F292" i="82"/>
  <c r="G292" i="82"/>
  <c r="C293" i="82"/>
  <c r="D293" i="82"/>
  <c r="E293" i="82"/>
  <c r="F293" i="82"/>
  <c r="G293" i="82"/>
  <c r="C294" i="82"/>
  <c r="D294" i="82"/>
  <c r="E294" i="82"/>
  <c r="F294" i="82"/>
  <c r="G294" i="82"/>
  <c r="C295" i="82"/>
  <c r="D295" i="82"/>
  <c r="E295" i="82"/>
  <c r="F295" i="82"/>
  <c r="G295" i="82"/>
  <c r="C296" i="82"/>
  <c r="D296" i="82"/>
  <c r="E296" i="82"/>
  <c r="F296" i="82"/>
  <c r="G296" i="82"/>
  <c r="C297" i="82"/>
  <c r="D297" i="82"/>
  <c r="E297" i="82"/>
  <c r="F297" i="82"/>
  <c r="G297" i="82"/>
  <c r="C298" i="82"/>
  <c r="D298" i="82"/>
  <c r="E298" i="82"/>
  <c r="F298" i="82"/>
  <c r="G298" i="82"/>
  <c r="C299" i="82"/>
  <c r="D299" i="82"/>
  <c r="E299" i="82"/>
  <c r="F299" i="82"/>
  <c r="G299" i="82"/>
  <c r="C300" i="82"/>
  <c r="D300" i="82"/>
  <c r="E300" i="82"/>
  <c r="F300" i="82"/>
  <c r="G300" i="82"/>
  <c r="C301" i="82"/>
  <c r="D301" i="82"/>
  <c r="E301" i="82"/>
  <c r="F301" i="82"/>
  <c r="G301" i="82"/>
  <c r="C302" i="82"/>
  <c r="D302" i="82"/>
  <c r="E302" i="82"/>
  <c r="F302" i="82"/>
  <c r="G302" i="82"/>
  <c r="C303" i="82"/>
  <c r="D303" i="82"/>
  <c r="E303" i="82"/>
  <c r="F303" i="82"/>
  <c r="G303" i="82"/>
  <c r="C304" i="82"/>
  <c r="D304" i="82"/>
  <c r="E304" i="82"/>
  <c r="F304" i="82"/>
  <c r="G304" i="82"/>
  <c r="C305" i="82"/>
  <c r="D305" i="82"/>
  <c r="E305" i="82"/>
  <c r="F305" i="82"/>
  <c r="G305" i="82"/>
  <c r="C306" i="82"/>
  <c r="D306" i="82"/>
  <c r="E306" i="82"/>
  <c r="F306" i="82"/>
  <c r="G306" i="82"/>
  <c r="C307" i="82"/>
  <c r="D307" i="82"/>
  <c r="E307" i="82"/>
  <c r="F307" i="82"/>
  <c r="G307" i="82"/>
  <c r="C308" i="82"/>
  <c r="D308" i="82"/>
  <c r="E308" i="82"/>
  <c r="F308" i="82"/>
  <c r="G308" i="82"/>
  <c r="C309" i="82"/>
  <c r="D309" i="82"/>
  <c r="E309" i="82"/>
  <c r="F309" i="82"/>
  <c r="G309" i="82"/>
  <c r="C310" i="82"/>
  <c r="D310" i="82"/>
  <c r="E310" i="82"/>
  <c r="F310" i="82"/>
  <c r="G310" i="82"/>
  <c r="C311" i="82"/>
  <c r="D311" i="82"/>
  <c r="E311" i="82"/>
  <c r="F311" i="82"/>
  <c r="G311" i="82"/>
  <c r="C312" i="82"/>
  <c r="D312" i="82"/>
  <c r="E312" i="82"/>
  <c r="F312" i="82"/>
  <c r="G312" i="82"/>
  <c r="C313" i="82"/>
  <c r="D313" i="82"/>
  <c r="E313" i="82"/>
  <c r="F313" i="82"/>
  <c r="G313" i="82"/>
  <c r="C314" i="82"/>
  <c r="D314" i="82"/>
  <c r="E314" i="82"/>
  <c r="F314" i="82"/>
  <c r="G314" i="82"/>
  <c r="C315" i="82"/>
  <c r="D315" i="82"/>
  <c r="E315" i="82"/>
  <c r="F315" i="82"/>
  <c r="G315" i="82"/>
  <c r="C316" i="82"/>
  <c r="D316" i="82"/>
  <c r="E316" i="82"/>
  <c r="F316" i="82"/>
  <c r="G316" i="82"/>
  <c r="C317" i="82"/>
  <c r="D317" i="82"/>
  <c r="E317" i="82"/>
  <c r="F317" i="82"/>
  <c r="G317" i="82"/>
  <c r="C318" i="82"/>
  <c r="D318" i="82"/>
  <c r="E318" i="82"/>
  <c r="F318" i="82"/>
  <c r="G318" i="82"/>
  <c r="C319" i="82"/>
  <c r="D319" i="82"/>
  <c r="E319" i="82"/>
  <c r="F319" i="82"/>
  <c r="G319" i="82"/>
  <c r="C320" i="82"/>
  <c r="D320" i="82"/>
  <c r="E320" i="82"/>
  <c r="F320" i="82"/>
  <c r="G320" i="82"/>
  <c r="C321" i="82"/>
  <c r="D321" i="82"/>
  <c r="E321" i="82"/>
  <c r="F321" i="82"/>
  <c r="G321" i="82"/>
  <c r="C322" i="82"/>
  <c r="D322" i="82"/>
  <c r="E322" i="82"/>
  <c r="F322" i="82"/>
  <c r="G322" i="82"/>
  <c r="C323" i="82"/>
  <c r="D323" i="82"/>
  <c r="E323" i="82"/>
  <c r="F323" i="82"/>
  <c r="G323" i="82"/>
  <c r="C324" i="82"/>
  <c r="D324" i="82"/>
  <c r="E324" i="82"/>
  <c r="F324" i="82"/>
  <c r="G324" i="82"/>
  <c r="C325" i="82"/>
  <c r="D325" i="82"/>
  <c r="E325" i="82"/>
  <c r="F325" i="82"/>
  <c r="G325" i="82"/>
  <c r="C326" i="82"/>
  <c r="D326" i="82"/>
  <c r="E326" i="82"/>
  <c r="F326" i="82"/>
  <c r="G326" i="82"/>
  <c r="C327" i="82"/>
  <c r="D327" i="82"/>
  <c r="E327" i="82"/>
  <c r="F327" i="82"/>
  <c r="G327" i="82"/>
  <c r="C328" i="82"/>
  <c r="D328" i="82"/>
  <c r="E328" i="82"/>
  <c r="F328" i="82"/>
  <c r="G328" i="82"/>
  <c r="C329" i="82"/>
  <c r="D329" i="82"/>
  <c r="E329" i="82"/>
  <c r="F329" i="82"/>
  <c r="G329" i="82"/>
  <c r="C330" i="82"/>
  <c r="D330" i="82"/>
  <c r="E330" i="82"/>
  <c r="F330" i="82"/>
  <c r="G330" i="82"/>
  <c r="C331" i="82"/>
  <c r="D331" i="82"/>
  <c r="E331" i="82"/>
  <c r="F331" i="82"/>
  <c r="G331" i="82"/>
  <c r="C332" i="82"/>
  <c r="D332" i="82"/>
  <c r="E332" i="82"/>
  <c r="F332" i="82"/>
  <c r="G332" i="82"/>
  <c r="C333" i="82"/>
  <c r="D333" i="82"/>
  <c r="E333" i="82"/>
  <c r="F333" i="82"/>
  <c r="G333" i="82"/>
  <c r="C334" i="82"/>
  <c r="D334" i="82"/>
  <c r="E334" i="82"/>
  <c r="F334" i="82"/>
  <c r="G334" i="82"/>
  <c r="C335" i="82"/>
  <c r="D335" i="82"/>
  <c r="E335" i="82"/>
  <c r="F335" i="82"/>
  <c r="G335" i="82"/>
  <c r="C336" i="82"/>
  <c r="D336" i="82"/>
  <c r="E336" i="82"/>
  <c r="F336" i="82"/>
  <c r="G336" i="82"/>
  <c r="C337" i="82"/>
  <c r="D337" i="82"/>
  <c r="E337" i="82"/>
  <c r="F337" i="82"/>
  <c r="G337" i="82"/>
  <c r="C338" i="82"/>
  <c r="D338" i="82"/>
  <c r="E338" i="82"/>
  <c r="F338" i="82"/>
  <c r="G338" i="82"/>
  <c r="C339" i="82"/>
  <c r="D339" i="82"/>
  <c r="E339" i="82"/>
  <c r="F339" i="82"/>
  <c r="G339" i="82"/>
  <c r="C340" i="82"/>
  <c r="D340" i="82"/>
  <c r="E340" i="82"/>
  <c r="F340" i="82"/>
  <c r="G340" i="82"/>
  <c r="C341" i="82"/>
  <c r="D341" i="82"/>
  <c r="E341" i="82"/>
  <c r="F341" i="82"/>
  <c r="G341" i="82"/>
  <c r="C342" i="82"/>
  <c r="D342" i="82"/>
  <c r="E342" i="82"/>
  <c r="F342" i="82"/>
  <c r="G342" i="82"/>
  <c r="C343" i="82"/>
  <c r="D343" i="82"/>
  <c r="E343" i="82"/>
  <c r="F343" i="82"/>
  <c r="G343" i="82"/>
  <c r="C344" i="82"/>
  <c r="D344" i="82"/>
  <c r="E344" i="82"/>
  <c r="F344" i="82"/>
  <c r="G344" i="82"/>
  <c r="C345" i="82"/>
  <c r="D345" i="82"/>
  <c r="E345" i="82"/>
  <c r="F345" i="82"/>
  <c r="G345" i="82"/>
  <c r="C346" i="82"/>
  <c r="D346" i="82"/>
  <c r="E346" i="82"/>
  <c r="F346" i="82"/>
  <c r="G346" i="82"/>
  <c r="C347" i="82"/>
  <c r="D347" i="82"/>
  <c r="E347" i="82"/>
  <c r="F347" i="82"/>
  <c r="G347" i="82"/>
  <c r="C348" i="82"/>
  <c r="D348" i="82"/>
  <c r="E348" i="82"/>
  <c r="F348" i="82"/>
  <c r="G348" i="82"/>
  <c r="C349" i="82"/>
  <c r="D349" i="82"/>
  <c r="E349" i="82"/>
  <c r="F349" i="82"/>
  <c r="G349" i="82"/>
  <c r="C350" i="82"/>
  <c r="D350" i="82"/>
  <c r="E350" i="82"/>
  <c r="F350" i="82"/>
  <c r="G350" i="82"/>
  <c r="C351" i="82"/>
  <c r="D351" i="82"/>
  <c r="E351" i="82"/>
  <c r="F351" i="82"/>
  <c r="G351" i="82"/>
  <c r="C352" i="82"/>
  <c r="D352" i="82"/>
  <c r="E352" i="82"/>
  <c r="F352" i="82"/>
  <c r="G352" i="82"/>
  <c r="C353" i="82"/>
  <c r="D353" i="82"/>
  <c r="E353" i="82"/>
  <c r="F353" i="82"/>
  <c r="G353" i="82"/>
  <c r="C354" i="82"/>
  <c r="D354" i="82"/>
  <c r="E354" i="82"/>
  <c r="F354" i="82"/>
  <c r="G354" i="82"/>
  <c r="C355" i="82"/>
  <c r="D355" i="82"/>
  <c r="E355" i="82"/>
  <c r="F355" i="82"/>
  <c r="G355" i="82"/>
  <c r="C356" i="82"/>
  <c r="D356" i="82"/>
  <c r="E356" i="82"/>
  <c r="F356" i="82"/>
  <c r="G356" i="82"/>
  <c r="C357" i="82"/>
  <c r="D357" i="82"/>
  <c r="E357" i="82"/>
  <c r="F357" i="82"/>
  <c r="G357" i="82"/>
  <c r="C358" i="82"/>
  <c r="D358" i="82"/>
  <c r="E358" i="82"/>
  <c r="F358" i="82"/>
  <c r="G358" i="82"/>
  <c r="C359" i="82"/>
  <c r="D359" i="82"/>
  <c r="E359" i="82"/>
  <c r="F359" i="82"/>
  <c r="G359" i="82"/>
  <c r="C360" i="82"/>
  <c r="D360" i="82"/>
  <c r="E360" i="82"/>
  <c r="F360" i="82"/>
  <c r="G360" i="82"/>
  <c r="C361" i="82"/>
  <c r="D361" i="82"/>
  <c r="E361" i="82"/>
  <c r="F361" i="82"/>
  <c r="G361" i="82"/>
  <c r="C362" i="82"/>
  <c r="D362" i="82"/>
  <c r="E362" i="82"/>
  <c r="F362" i="82"/>
  <c r="G362" i="82"/>
  <c r="C363" i="82"/>
  <c r="D363" i="82"/>
  <c r="E363" i="82"/>
  <c r="F363" i="82"/>
  <c r="G363" i="82"/>
  <c r="C364" i="82"/>
  <c r="D364" i="82"/>
  <c r="E364" i="82"/>
  <c r="F364" i="82"/>
  <c r="G364" i="82"/>
  <c r="C365" i="82"/>
  <c r="D365" i="82"/>
  <c r="E365" i="82"/>
  <c r="F365" i="82"/>
  <c r="G365" i="82"/>
  <c r="C366" i="82"/>
  <c r="D366" i="82"/>
  <c r="E366" i="82"/>
  <c r="F366" i="82"/>
  <c r="G366" i="82"/>
  <c r="C367" i="82"/>
  <c r="D367" i="82"/>
  <c r="E367" i="82"/>
  <c r="F367" i="82"/>
  <c r="G367" i="82"/>
  <c r="C368" i="82"/>
  <c r="D368" i="82"/>
  <c r="E368" i="82"/>
  <c r="F368" i="82"/>
  <c r="G368" i="82"/>
  <c r="C369" i="82"/>
  <c r="D369" i="82"/>
  <c r="E369" i="82"/>
  <c r="F369" i="82"/>
  <c r="G369" i="82"/>
  <c r="C370" i="82"/>
  <c r="D370" i="82"/>
  <c r="E370" i="82"/>
  <c r="F370" i="82"/>
  <c r="G370" i="82"/>
  <c r="C371" i="82"/>
  <c r="D371" i="82"/>
  <c r="E371" i="82"/>
  <c r="F371" i="82"/>
  <c r="G371" i="82"/>
  <c r="C372" i="82"/>
  <c r="D372" i="82"/>
  <c r="E372" i="82"/>
  <c r="F372" i="82"/>
  <c r="G372" i="82"/>
  <c r="C373" i="82"/>
  <c r="D373" i="82"/>
  <c r="E373" i="82"/>
  <c r="F373" i="82"/>
  <c r="G373" i="82"/>
  <c r="C374" i="82"/>
  <c r="D374" i="82"/>
  <c r="E374" i="82"/>
  <c r="F374" i="82"/>
  <c r="G374" i="82"/>
  <c r="C375" i="82"/>
  <c r="D375" i="82"/>
  <c r="E375" i="82"/>
  <c r="F375" i="82"/>
  <c r="G375" i="82"/>
  <c r="C376" i="82"/>
  <c r="D376" i="82"/>
  <c r="E376" i="82"/>
  <c r="F376" i="82"/>
  <c r="G376" i="82"/>
  <c r="C377" i="82"/>
  <c r="D377" i="82"/>
  <c r="E377" i="82"/>
  <c r="F377" i="82"/>
  <c r="G377" i="82"/>
  <c r="C378" i="82"/>
  <c r="D378" i="82"/>
  <c r="E378" i="82"/>
  <c r="F378" i="82"/>
  <c r="G378" i="82"/>
  <c r="C379" i="82"/>
  <c r="D379" i="82"/>
  <c r="E379" i="82"/>
  <c r="F379" i="82"/>
  <c r="G379" i="82"/>
  <c r="C380" i="82"/>
  <c r="D380" i="82"/>
  <c r="E380" i="82"/>
  <c r="F380" i="82"/>
  <c r="G380" i="82"/>
  <c r="C381" i="82"/>
  <c r="D381" i="82"/>
  <c r="E381" i="82"/>
  <c r="F381" i="82"/>
  <c r="G381" i="82"/>
  <c r="C382" i="82"/>
  <c r="D382" i="82"/>
  <c r="E382" i="82"/>
  <c r="F382" i="82"/>
  <c r="G382" i="82"/>
  <c r="C383" i="82"/>
  <c r="D383" i="82"/>
  <c r="E383" i="82"/>
  <c r="F383" i="82"/>
  <c r="G383" i="82"/>
  <c r="C384" i="82"/>
  <c r="D384" i="82"/>
  <c r="E384" i="82"/>
  <c r="F384" i="82"/>
  <c r="G384" i="82"/>
  <c r="C385" i="82"/>
  <c r="D385" i="82"/>
  <c r="E385" i="82"/>
  <c r="F385" i="82"/>
  <c r="G385" i="82"/>
  <c r="C386" i="82"/>
  <c r="D386" i="82"/>
  <c r="E386" i="82"/>
  <c r="F386" i="82"/>
  <c r="G386" i="82"/>
  <c r="C387" i="82"/>
  <c r="D387" i="82"/>
  <c r="E387" i="82"/>
  <c r="F387" i="82"/>
  <c r="G387" i="82"/>
  <c r="C388" i="82"/>
  <c r="D388" i="82"/>
  <c r="E388" i="82"/>
  <c r="F388" i="82"/>
  <c r="G388" i="82"/>
  <c r="C389" i="82"/>
  <c r="D389" i="82"/>
  <c r="E389" i="82"/>
  <c r="F389" i="82"/>
  <c r="G389" i="82"/>
  <c r="C390" i="82"/>
  <c r="D390" i="82"/>
  <c r="E390" i="82"/>
  <c r="F390" i="82"/>
  <c r="G390" i="82"/>
  <c r="C391" i="82"/>
  <c r="D391" i="82"/>
  <c r="E391" i="82"/>
  <c r="F391" i="82"/>
  <c r="G391" i="82"/>
  <c r="C392" i="82"/>
  <c r="D392" i="82"/>
  <c r="E392" i="82"/>
  <c r="F392" i="82"/>
  <c r="G392" i="82"/>
  <c r="C393" i="82"/>
  <c r="D393" i="82"/>
  <c r="E393" i="82"/>
  <c r="F393" i="82"/>
  <c r="G393" i="82"/>
  <c r="C394" i="82"/>
  <c r="D394" i="82"/>
  <c r="E394" i="82"/>
  <c r="F394" i="82"/>
  <c r="G394" i="82"/>
  <c r="C395" i="82"/>
  <c r="D395" i="82"/>
  <c r="E395" i="82"/>
  <c r="F395" i="82"/>
  <c r="G395" i="82"/>
  <c r="C396" i="82"/>
  <c r="D396" i="82"/>
  <c r="E396" i="82"/>
  <c r="F396" i="82"/>
  <c r="G396" i="82"/>
  <c r="C397" i="82"/>
  <c r="D397" i="82"/>
  <c r="E397" i="82"/>
  <c r="F397" i="82"/>
  <c r="G397" i="82"/>
  <c r="C398" i="82"/>
  <c r="D398" i="82"/>
  <c r="E398" i="82"/>
  <c r="F398" i="82"/>
  <c r="G398" i="82"/>
  <c r="C399" i="82"/>
  <c r="D399" i="82"/>
  <c r="E399" i="82"/>
  <c r="F399" i="82"/>
  <c r="G399" i="82"/>
  <c r="C400" i="82"/>
  <c r="D400" i="82"/>
  <c r="E400" i="82"/>
  <c r="F400" i="82"/>
  <c r="G400" i="82"/>
  <c r="C401" i="82"/>
  <c r="D401" i="82"/>
  <c r="E401" i="82"/>
  <c r="F401" i="82"/>
  <c r="G401" i="82"/>
  <c r="C402" i="82"/>
  <c r="D402" i="82"/>
  <c r="E402" i="82"/>
  <c r="F402" i="82"/>
  <c r="G402" i="82"/>
  <c r="C403" i="82"/>
  <c r="D403" i="82"/>
  <c r="E403" i="82"/>
  <c r="F403" i="82"/>
  <c r="G403" i="82"/>
  <c r="C404" i="82"/>
  <c r="D404" i="82"/>
  <c r="E404" i="82"/>
  <c r="F404" i="82"/>
  <c r="G404" i="82"/>
  <c r="C405" i="82"/>
  <c r="D405" i="82"/>
  <c r="E405" i="82"/>
  <c r="F405" i="82"/>
  <c r="G405" i="82"/>
  <c r="C406" i="82"/>
  <c r="D406" i="82"/>
  <c r="E406" i="82"/>
  <c r="F406" i="82"/>
  <c r="G406" i="82"/>
  <c r="C407" i="82"/>
  <c r="D407" i="82"/>
  <c r="E407" i="82"/>
  <c r="F407" i="82"/>
  <c r="G407" i="82"/>
  <c r="C408" i="82"/>
  <c r="D408" i="82"/>
  <c r="E408" i="82"/>
  <c r="F408" i="82"/>
  <c r="G408" i="82"/>
  <c r="C409" i="82"/>
  <c r="D409" i="82"/>
  <c r="E409" i="82"/>
  <c r="F409" i="82"/>
  <c r="G409" i="82"/>
  <c r="C410" i="82"/>
  <c r="D410" i="82"/>
  <c r="E410" i="82"/>
  <c r="F410" i="82"/>
  <c r="G410" i="82"/>
  <c r="C411" i="82"/>
  <c r="D411" i="82"/>
  <c r="E411" i="82"/>
  <c r="F411" i="82"/>
  <c r="G411" i="82"/>
  <c r="C412" i="82"/>
  <c r="D412" i="82"/>
  <c r="E412" i="82"/>
  <c r="F412" i="82"/>
  <c r="G412" i="82"/>
  <c r="C413" i="82"/>
  <c r="D413" i="82"/>
  <c r="E413" i="82"/>
  <c r="F413" i="82"/>
  <c r="G413" i="82"/>
  <c r="C414" i="82"/>
  <c r="D414" i="82"/>
  <c r="E414" i="82"/>
  <c r="F414" i="82"/>
  <c r="G414" i="82"/>
  <c r="C415" i="82"/>
  <c r="D415" i="82"/>
  <c r="E415" i="82"/>
  <c r="F415" i="82"/>
  <c r="G415" i="82"/>
  <c r="C416" i="82"/>
  <c r="D416" i="82"/>
  <c r="E416" i="82"/>
  <c r="F416" i="82"/>
  <c r="G416" i="82"/>
  <c r="C417" i="82"/>
  <c r="D417" i="82"/>
  <c r="E417" i="82"/>
  <c r="F417" i="82"/>
  <c r="G417" i="82"/>
  <c r="C418" i="82"/>
  <c r="D418" i="82"/>
  <c r="E418" i="82"/>
  <c r="F418" i="82"/>
  <c r="G418" i="82"/>
  <c r="C419" i="82"/>
  <c r="D419" i="82"/>
  <c r="E419" i="82"/>
  <c r="F419" i="82"/>
  <c r="G419" i="82"/>
  <c r="C420" i="82"/>
  <c r="D420" i="82"/>
  <c r="E420" i="82"/>
  <c r="F420" i="82"/>
  <c r="G420" i="82"/>
  <c r="C421" i="82"/>
  <c r="D421" i="82"/>
  <c r="E421" i="82"/>
  <c r="F421" i="82"/>
  <c r="G421" i="82"/>
  <c r="C422" i="82"/>
  <c r="D422" i="82"/>
  <c r="E422" i="82"/>
  <c r="F422" i="82"/>
  <c r="G422" i="82"/>
  <c r="C423" i="82"/>
  <c r="D423" i="82"/>
  <c r="E423" i="82"/>
  <c r="F423" i="82"/>
  <c r="G423" i="82"/>
  <c r="C424" i="82"/>
  <c r="D424" i="82"/>
  <c r="E424" i="82"/>
  <c r="F424" i="82"/>
  <c r="G424" i="82"/>
  <c r="C425" i="82"/>
  <c r="D425" i="82"/>
  <c r="E425" i="82"/>
  <c r="F425" i="82"/>
  <c r="G425" i="82"/>
  <c r="C426" i="82"/>
  <c r="D426" i="82"/>
  <c r="E426" i="82"/>
  <c r="F426" i="82"/>
  <c r="G426" i="82"/>
  <c r="C427" i="82"/>
  <c r="D427" i="82"/>
  <c r="E427" i="82"/>
  <c r="F427" i="82"/>
  <c r="G427" i="82"/>
  <c r="C428" i="82"/>
  <c r="D428" i="82"/>
  <c r="E428" i="82"/>
  <c r="F428" i="82"/>
  <c r="G428" i="82"/>
  <c r="C429" i="82"/>
  <c r="D429" i="82"/>
  <c r="E429" i="82"/>
  <c r="F429" i="82"/>
  <c r="G429" i="82"/>
  <c r="C430" i="82"/>
  <c r="D430" i="82"/>
  <c r="E430" i="82"/>
  <c r="F430" i="82"/>
  <c r="G430" i="82"/>
  <c r="C431" i="82"/>
  <c r="D431" i="82"/>
  <c r="E431" i="82"/>
  <c r="F431" i="82"/>
  <c r="G431" i="82"/>
  <c r="C432" i="82"/>
  <c r="D432" i="82"/>
  <c r="E432" i="82"/>
  <c r="F432" i="82"/>
  <c r="G432" i="82"/>
  <c r="C433" i="82"/>
  <c r="D433" i="82"/>
  <c r="E433" i="82"/>
  <c r="F433" i="82"/>
  <c r="G433" i="82"/>
  <c r="C434" i="82"/>
  <c r="D434" i="82"/>
  <c r="E434" i="82"/>
  <c r="F434" i="82"/>
  <c r="G434" i="82"/>
  <c r="C435" i="82"/>
  <c r="D435" i="82"/>
  <c r="E435" i="82"/>
  <c r="F435" i="82"/>
  <c r="G435" i="82"/>
  <c r="C436" i="82"/>
  <c r="D436" i="82"/>
  <c r="E436" i="82"/>
  <c r="F436" i="82"/>
  <c r="G436" i="82"/>
  <c r="C437" i="82"/>
  <c r="D437" i="82"/>
  <c r="E437" i="82"/>
  <c r="F437" i="82"/>
  <c r="G437" i="82"/>
  <c r="C438" i="82"/>
  <c r="D438" i="82"/>
  <c r="E438" i="82"/>
  <c r="F438" i="82"/>
  <c r="G438" i="82"/>
  <c r="C439" i="82"/>
  <c r="D439" i="82"/>
  <c r="E439" i="82"/>
  <c r="F439" i="82"/>
  <c r="G439" i="82"/>
  <c r="C440" i="82"/>
  <c r="D440" i="82"/>
  <c r="E440" i="82"/>
  <c r="F440" i="82"/>
  <c r="G440" i="82"/>
  <c r="C441" i="82"/>
  <c r="D441" i="82"/>
  <c r="E441" i="82"/>
  <c r="F441" i="82"/>
  <c r="G441" i="82"/>
  <c r="C442" i="82"/>
  <c r="D442" i="82"/>
  <c r="E442" i="82"/>
  <c r="F442" i="82"/>
  <c r="G442" i="82"/>
  <c r="C443" i="82"/>
  <c r="D443" i="82"/>
  <c r="E443" i="82"/>
  <c r="F443" i="82"/>
  <c r="G443" i="82"/>
  <c r="C444" i="82"/>
  <c r="D444" i="82"/>
  <c r="E444" i="82"/>
  <c r="F444" i="82"/>
  <c r="G444" i="82"/>
  <c r="C445" i="82"/>
  <c r="D445" i="82"/>
  <c r="E445" i="82"/>
  <c r="F445" i="82"/>
  <c r="G445" i="82"/>
  <c r="C446" i="82"/>
  <c r="D446" i="82"/>
  <c r="E446" i="82"/>
  <c r="F446" i="82"/>
  <c r="G446" i="82"/>
  <c r="C447" i="82"/>
  <c r="D447" i="82"/>
  <c r="E447" i="82"/>
  <c r="F447" i="82"/>
  <c r="G447" i="82"/>
  <c r="C448" i="82"/>
  <c r="D448" i="82"/>
  <c r="E448" i="82"/>
  <c r="F448" i="82"/>
  <c r="G448" i="82"/>
  <c r="C449" i="82"/>
  <c r="D449" i="82"/>
  <c r="E449" i="82"/>
  <c r="F449" i="82"/>
  <c r="G449" i="82"/>
  <c r="C450" i="82"/>
  <c r="D450" i="82"/>
  <c r="E450" i="82"/>
  <c r="F450" i="82"/>
  <c r="G450" i="82"/>
  <c r="C451" i="82"/>
  <c r="D451" i="82"/>
  <c r="E451" i="82"/>
  <c r="F451" i="82"/>
  <c r="G451" i="82"/>
  <c r="C452" i="82"/>
  <c r="D452" i="82"/>
  <c r="E452" i="82"/>
  <c r="F452" i="82"/>
  <c r="G452" i="82"/>
  <c r="C453" i="82"/>
  <c r="D453" i="82"/>
  <c r="E453" i="82"/>
  <c r="F453" i="82"/>
  <c r="G453" i="82"/>
  <c r="C454" i="82"/>
  <c r="D454" i="82"/>
  <c r="E454" i="82"/>
  <c r="F454" i="82"/>
  <c r="G454" i="82"/>
  <c r="C455" i="82"/>
  <c r="D455" i="82"/>
  <c r="E455" i="82"/>
  <c r="F455" i="82"/>
  <c r="G455" i="82"/>
  <c r="C456" i="82"/>
  <c r="D456" i="82"/>
  <c r="E456" i="82"/>
  <c r="F456" i="82"/>
  <c r="G456" i="82"/>
  <c r="G76" i="82"/>
  <c r="F76" i="82"/>
  <c r="E76" i="82"/>
  <c r="D76" i="82"/>
  <c r="C76" i="82"/>
  <c r="A3" i="108" l="1"/>
  <c r="F9" i="91"/>
  <c r="G6" i="91" l="1"/>
  <c r="J5" i="60"/>
  <c r="J6" i="115"/>
  <c r="U7" i="72"/>
  <c r="U7" i="78" s="1"/>
  <c r="D9" i="115"/>
  <c r="D9" i="65"/>
  <c r="I6" i="55"/>
  <c r="T7" i="78"/>
  <c r="R7" i="72"/>
  <c r="J6" i="65"/>
  <c r="I6" i="56" l="1"/>
  <c r="I6" i="20" s="1"/>
  <c r="J5" i="64" s="1"/>
  <c r="D4" i="82" s="1"/>
  <c r="A6" i="113"/>
  <c r="E9" i="65"/>
  <c r="V7" i="72"/>
  <c r="E9" i="115"/>
  <c r="R7" i="78"/>
  <c r="Q7" i="72"/>
  <c r="H4" i="44"/>
  <c r="AA15" i="60"/>
  <c r="Z15" i="60"/>
  <c r="Y15" i="60"/>
  <c r="D16" i="115" s="1"/>
  <c r="X15" i="60"/>
  <c r="AJ15" i="60" s="1"/>
  <c r="W15" i="60"/>
  <c r="AI15" i="60" s="1"/>
  <c r="V15" i="60"/>
  <c r="AH15" i="60" s="1"/>
  <c r="T15" i="60"/>
  <c r="AF15" i="60" s="1"/>
  <c r="S15" i="60"/>
  <c r="AE15" i="60" s="1"/>
  <c r="R15" i="60"/>
  <c r="AD15" i="60" s="1"/>
  <c r="Q15" i="60"/>
  <c r="AC15" i="60" s="1"/>
  <c r="P15" i="60"/>
  <c r="AB15" i="60" s="1"/>
  <c r="W7" i="72" l="1"/>
  <c r="F9" i="115"/>
  <c r="V7" i="78"/>
  <c r="F9" i="65"/>
  <c r="I16" i="115"/>
  <c r="I16" i="65"/>
  <c r="N16" i="115"/>
  <c r="N16" i="65"/>
  <c r="F16" i="115"/>
  <c r="F16" i="65"/>
  <c r="J16" i="115"/>
  <c r="J16" i="65"/>
  <c r="O16" i="115"/>
  <c r="O16" i="65"/>
  <c r="G16" i="115"/>
  <c r="G16" i="65"/>
  <c r="K16" i="115"/>
  <c r="K16" i="65"/>
  <c r="H16" i="115"/>
  <c r="H16" i="65"/>
  <c r="M16" i="115"/>
  <c r="M16" i="65"/>
  <c r="E16" i="115"/>
  <c r="E16" i="65"/>
  <c r="AN15" i="60"/>
  <c r="AZ15" i="60" s="1"/>
  <c r="BL15" i="60" s="1"/>
  <c r="BX15" i="60" s="1"/>
  <c r="AR15" i="60"/>
  <c r="BD15" i="60" s="1"/>
  <c r="BP15" i="60" s="1"/>
  <c r="CB15" i="60" s="1"/>
  <c r="AK15" i="60"/>
  <c r="AW15" i="60" s="1"/>
  <c r="BI15" i="60" s="1"/>
  <c r="BU15" i="60" s="1"/>
  <c r="CG15" i="60" s="1"/>
  <c r="D16" i="65"/>
  <c r="AQ15" i="60"/>
  <c r="BC15" i="60" s="1"/>
  <c r="BO15" i="60" s="1"/>
  <c r="CA15" i="60" s="1"/>
  <c r="AO15" i="60"/>
  <c r="BA15" i="60" s="1"/>
  <c r="BM15" i="60" s="1"/>
  <c r="BY15" i="60" s="1"/>
  <c r="AT15" i="60"/>
  <c r="BF15" i="60" s="1"/>
  <c r="BR15" i="60" s="1"/>
  <c r="CD15" i="60" s="1"/>
  <c r="AL15" i="60"/>
  <c r="AX15" i="60" s="1"/>
  <c r="BJ15" i="60" s="1"/>
  <c r="BV15" i="60" s="1"/>
  <c r="CH15" i="60" s="1"/>
  <c r="AP15" i="60"/>
  <c r="BB15" i="60" s="1"/>
  <c r="BN15" i="60" s="1"/>
  <c r="BZ15" i="60" s="1"/>
  <c r="AM15" i="60"/>
  <c r="AY15" i="60" s="1"/>
  <c r="BK15" i="60" s="1"/>
  <c r="BW15" i="60" s="1"/>
  <c r="CI15" i="60" s="1"/>
  <c r="P7" i="72"/>
  <c r="Q7" i="78"/>
  <c r="AV15" i="60"/>
  <c r="BH15" i="60" s="1"/>
  <c r="BT15" i="60" s="1"/>
  <c r="CF15" i="60" s="1"/>
  <c r="AU15" i="60"/>
  <c r="BG15" i="60" s="1"/>
  <c r="BS15" i="60" s="1"/>
  <c r="CE15" i="60" s="1"/>
  <c r="P73" i="113"/>
  <c r="Q73" i="113" s="1"/>
  <c r="R73" i="113" s="1"/>
  <c r="S73" i="113" s="1"/>
  <c r="T73" i="113" s="1"/>
  <c r="P47" i="113"/>
  <c r="Q47" i="113" s="1"/>
  <c r="R47" i="113" s="1"/>
  <c r="S47" i="113" s="1"/>
  <c r="T47" i="113" s="1"/>
  <c r="U47" i="113" s="1"/>
  <c r="V47" i="113" s="1"/>
  <c r="W47" i="113" s="1"/>
  <c r="X47" i="113" s="1"/>
  <c r="Y47" i="113" s="1"/>
  <c r="Z47" i="113" s="1"/>
  <c r="AA47" i="113" s="1"/>
  <c r="AB47" i="113" s="1"/>
  <c r="AC47" i="113" s="1"/>
  <c r="AD47" i="113" s="1"/>
  <c r="AE47" i="113" s="1"/>
  <c r="AF47" i="113" s="1"/>
  <c r="AG47" i="113" s="1"/>
  <c r="AH47" i="113" s="1"/>
  <c r="AI47" i="113" s="1"/>
  <c r="AJ47" i="113" s="1"/>
  <c r="AK47" i="113" s="1"/>
  <c r="AL47" i="113" s="1"/>
  <c r="AM47" i="113" s="1"/>
  <c r="AN47" i="113" s="1"/>
  <c r="AO47" i="113" s="1"/>
  <c r="AP47" i="113" s="1"/>
  <c r="AQ47" i="113" s="1"/>
  <c r="AR47" i="113" s="1"/>
  <c r="AS47" i="113" s="1"/>
  <c r="AT47" i="113" s="1"/>
  <c r="AU47" i="113" s="1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P46" i="113"/>
  <c r="Q46" i="113" s="1"/>
  <c r="X7" i="72" l="1"/>
  <c r="G9" i="115"/>
  <c r="W7" i="78"/>
  <c r="G9" i="65"/>
  <c r="N7" i="72"/>
  <c r="P7" i="78"/>
  <c r="U73" i="113"/>
  <c r="V73" i="113" s="1"/>
  <c r="W73" i="113" s="1"/>
  <c r="X73" i="113" s="1"/>
  <c r="Y73" i="113" s="1"/>
  <c r="Z73" i="113" s="1"/>
  <c r="AA73" i="113" s="1"/>
  <c r="AB73" i="113" s="1"/>
  <c r="AC73" i="113" s="1"/>
  <c r="AD73" i="113" s="1"/>
  <c r="AE73" i="113" s="1"/>
  <c r="AF73" i="113" s="1"/>
  <c r="AG73" i="113" s="1"/>
  <c r="AH73" i="113" s="1"/>
  <c r="AI73" i="113" s="1"/>
  <c r="AJ73" i="113" s="1"/>
  <c r="AK73" i="113" s="1"/>
  <c r="AL73" i="113" s="1"/>
  <c r="AM73" i="113" s="1"/>
  <c r="AN73" i="113" s="1"/>
  <c r="AO73" i="113" s="1"/>
  <c r="AP73" i="113" s="1"/>
  <c r="AQ73" i="113" s="1"/>
  <c r="AR73" i="113" s="1"/>
  <c r="AS73" i="113" s="1"/>
  <c r="AT73" i="113" s="1"/>
  <c r="AU73" i="113" s="1"/>
  <c r="AV73" i="113" s="1"/>
  <c r="AW73" i="113" s="1"/>
  <c r="AX73" i="113" s="1"/>
  <c r="AY73" i="113" s="1"/>
  <c r="AZ73" i="113" s="1"/>
  <c r="BA73" i="113" s="1"/>
  <c r="BB73" i="113" s="1"/>
  <c r="BC73" i="113" s="1"/>
  <c r="BD73" i="113" s="1"/>
  <c r="BE73" i="113" s="1"/>
  <c r="BF73" i="113" s="1"/>
  <c r="BG73" i="113" s="1"/>
  <c r="BH73" i="113" s="1"/>
  <c r="BI73" i="113" s="1"/>
  <c r="BJ73" i="113" s="1"/>
  <c r="BK73" i="113" s="1"/>
  <c r="BL73" i="113" s="1"/>
  <c r="BM73" i="113" s="1"/>
  <c r="BN73" i="113" s="1"/>
  <c r="BO73" i="113" s="1"/>
  <c r="BP73" i="113" s="1"/>
  <c r="BQ73" i="113" s="1"/>
  <c r="BR73" i="113" s="1"/>
  <c r="BS73" i="113" s="1"/>
  <c r="BT73" i="113" s="1"/>
  <c r="BU73" i="113" s="1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R46" i="113"/>
  <c r="Y7" i="72" l="1"/>
  <c r="H9" i="115"/>
  <c r="X7" i="78"/>
  <c r="H9" i="65"/>
  <c r="M7" i="72"/>
  <c r="N7" i="78"/>
  <c r="S46" i="113"/>
  <c r="Z7" i="72" l="1"/>
  <c r="I9" i="115"/>
  <c r="I9" i="65"/>
  <c r="Y7" i="78"/>
  <c r="L7" i="72"/>
  <c r="M7" i="78"/>
  <c r="T46" i="113"/>
  <c r="D10" i="113"/>
  <c r="D9" i="20" l="1"/>
  <c r="E10" i="113"/>
  <c r="D9" i="56"/>
  <c r="D9" i="55"/>
  <c r="AA7" i="72"/>
  <c r="J9" i="115"/>
  <c r="Z7" i="78"/>
  <c r="J9" i="65"/>
  <c r="C9" i="20"/>
  <c r="C9" i="56"/>
  <c r="D8" i="60"/>
  <c r="C9" i="55"/>
  <c r="K7" i="72"/>
  <c r="L7" i="78"/>
  <c r="U46" i="113"/>
  <c r="F10" i="113" l="1"/>
  <c r="E9" i="55"/>
  <c r="E9" i="20"/>
  <c r="E9" i="56"/>
  <c r="AB7" i="72"/>
  <c r="K9" i="115"/>
  <c r="K9" i="65"/>
  <c r="AA7" i="78"/>
  <c r="J7" i="72"/>
  <c r="K7" i="78"/>
  <c r="E8" i="60"/>
  <c r="V46" i="113"/>
  <c r="F9" i="56" l="1"/>
  <c r="G10" i="113"/>
  <c r="F9" i="20"/>
  <c r="F9" i="55"/>
  <c r="AC7" i="72"/>
  <c r="L9" i="115"/>
  <c r="AB7" i="78"/>
  <c r="L9" i="65"/>
  <c r="F8" i="60"/>
  <c r="I7" i="72"/>
  <c r="J7" i="78"/>
  <c r="W46" i="113"/>
  <c r="G9" i="55" l="1"/>
  <c r="G9" i="56"/>
  <c r="H10" i="113"/>
  <c r="G9" i="20"/>
  <c r="AD7" i="72"/>
  <c r="M9" i="115"/>
  <c r="M9" i="65"/>
  <c r="AC7" i="78"/>
  <c r="H7" i="72"/>
  <c r="I7" i="78"/>
  <c r="G8" i="60"/>
  <c r="X46" i="113"/>
  <c r="H9" i="20" l="1"/>
  <c r="H9" i="56"/>
  <c r="I10" i="113"/>
  <c r="H9" i="55"/>
  <c r="AE7" i="72"/>
  <c r="N9" i="115"/>
  <c r="N9" i="65"/>
  <c r="AD7" i="78"/>
  <c r="H8" i="60"/>
  <c r="G7" i="72"/>
  <c r="H7" i="78"/>
  <c r="Y46" i="113"/>
  <c r="J10" i="113" l="1"/>
  <c r="I9" i="55"/>
  <c r="I9" i="20"/>
  <c r="I9" i="56"/>
  <c r="O9" i="65"/>
  <c r="O9" i="115"/>
  <c r="AE7" i="78"/>
  <c r="F7" i="72"/>
  <c r="G7" i="78"/>
  <c r="I8" i="60"/>
  <c r="Z46" i="113"/>
  <c r="K10" i="113" l="1"/>
  <c r="J9" i="20"/>
  <c r="J9" i="55"/>
  <c r="J9" i="56"/>
  <c r="F7" i="78"/>
  <c r="E7" i="72"/>
  <c r="J8" i="60"/>
  <c r="AA46" i="113"/>
  <c r="O456" i="82"/>
  <c r="N456" i="82"/>
  <c r="M456" i="82"/>
  <c r="L456" i="82"/>
  <c r="K456" i="82"/>
  <c r="O455" i="82"/>
  <c r="N455" i="82"/>
  <c r="M455" i="82"/>
  <c r="L455" i="82"/>
  <c r="K455" i="82"/>
  <c r="O454" i="82"/>
  <c r="N454" i="82"/>
  <c r="M454" i="82"/>
  <c r="L454" i="82"/>
  <c r="K454" i="82"/>
  <c r="O453" i="82"/>
  <c r="N453" i="82"/>
  <c r="M453" i="82"/>
  <c r="L453" i="82"/>
  <c r="K453" i="82"/>
  <c r="O452" i="82"/>
  <c r="N452" i="82"/>
  <c r="M452" i="82"/>
  <c r="L452" i="82"/>
  <c r="K452" i="82"/>
  <c r="O451" i="82"/>
  <c r="N451" i="82"/>
  <c r="M451" i="82"/>
  <c r="L451" i="82"/>
  <c r="K451" i="82"/>
  <c r="O450" i="82"/>
  <c r="N450" i="82"/>
  <c r="M450" i="82"/>
  <c r="L450" i="82"/>
  <c r="K450" i="82"/>
  <c r="O449" i="82"/>
  <c r="N449" i="82"/>
  <c r="M449" i="82"/>
  <c r="L449" i="82"/>
  <c r="K449" i="82"/>
  <c r="O448" i="82"/>
  <c r="N448" i="82"/>
  <c r="M448" i="82"/>
  <c r="L448" i="82"/>
  <c r="K448" i="82"/>
  <c r="O447" i="82"/>
  <c r="N447" i="82"/>
  <c r="M447" i="82"/>
  <c r="L447" i="82"/>
  <c r="K447" i="82"/>
  <c r="O446" i="82"/>
  <c r="N446" i="82"/>
  <c r="M446" i="82"/>
  <c r="L446" i="82"/>
  <c r="K446" i="82"/>
  <c r="O445" i="82"/>
  <c r="N445" i="82"/>
  <c r="M445" i="82"/>
  <c r="L445" i="82"/>
  <c r="K445" i="82"/>
  <c r="O444" i="82"/>
  <c r="N444" i="82"/>
  <c r="M444" i="82"/>
  <c r="L444" i="82"/>
  <c r="K444" i="82"/>
  <c r="O443" i="82"/>
  <c r="N443" i="82"/>
  <c r="M443" i="82"/>
  <c r="L443" i="82"/>
  <c r="K443" i="82"/>
  <c r="O442" i="82"/>
  <c r="N442" i="82"/>
  <c r="M442" i="82"/>
  <c r="L442" i="82"/>
  <c r="K442" i="82"/>
  <c r="O441" i="82"/>
  <c r="N441" i="82"/>
  <c r="M441" i="82"/>
  <c r="L441" i="82"/>
  <c r="K441" i="82"/>
  <c r="D7" i="72" l="1"/>
  <c r="E7" i="78"/>
  <c r="K9" i="55"/>
  <c r="L10" i="113"/>
  <c r="K9" i="20"/>
  <c r="K9" i="56"/>
  <c r="K8" i="60"/>
  <c r="C4" i="80" s="1"/>
  <c r="AB46" i="113"/>
  <c r="L9" i="20" l="1"/>
  <c r="L9" i="56"/>
  <c r="M10" i="113"/>
  <c r="L9" i="55"/>
  <c r="C7" i="72"/>
  <c r="C7" i="78" s="1"/>
  <c r="D7" i="78"/>
  <c r="L8" i="60"/>
  <c r="D4" i="80" s="1"/>
  <c r="AC46" i="113"/>
  <c r="D8" i="64"/>
  <c r="P19" i="113"/>
  <c r="Q19" i="113" s="1"/>
  <c r="R19" i="113" s="1"/>
  <c r="S19" i="113" s="1"/>
  <c r="T19" i="113" s="1"/>
  <c r="U19" i="113" s="1"/>
  <c r="V19" i="113" s="1"/>
  <c r="W19" i="113" s="1"/>
  <c r="X19" i="113" s="1"/>
  <c r="Y19" i="113" s="1"/>
  <c r="Z19" i="113" s="1"/>
  <c r="AA19" i="113" s="1"/>
  <c r="AB19" i="113" s="1"/>
  <c r="AC19" i="113" s="1"/>
  <c r="AD19" i="113" s="1"/>
  <c r="AE19" i="113" s="1"/>
  <c r="AF19" i="113" s="1"/>
  <c r="AG19" i="113" s="1"/>
  <c r="AH19" i="113" s="1"/>
  <c r="AI19" i="113" s="1"/>
  <c r="AJ19" i="113" s="1"/>
  <c r="AK19" i="113" s="1"/>
  <c r="AL19" i="113" s="1"/>
  <c r="AM19" i="113" s="1"/>
  <c r="AN19" i="113" s="1"/>
  <c r="AO19" i="113" s="1"/>
  <c r="AP19" i="113" s="1"/>
  <c r="AQ19" i="113" s="1"/>
  <c r="AR19" i="113" s="1"/>
  <c r="AS19" i="113" s="1"/>
  <c r="AT19" i="113" s="1"/>
  <c r="AU19" i="113" s="1"/>
  <c r="AV19" i="113" s="1"/>
  <c r="AW19" i="113" s="1"/>
  <c r="AX19" i="113" s="1"/>
  <c r="AY19" i="113" s="1"/>
  <c r="AZ19" i="113" s="1"/>
  <c r="BA19" i="113" s="1"/>
  <c r="BB19" i="113" s="1"/>
  <c r="BC19" i="113" s="1"/>
  <c r="BD19" i="113" s="1"/>
  <c r="BE19" i="113" s="1"/>
  <c r="BF19" i="113" s="1"/>
  <c r="BG19" i="113" s="1"/>
  <c r="BH19" i="113" s="1"/>
  <c r="BI19" i="113" s="1"/>
  <c r="BJ19" i="113" s="1"/>
  <c r="BK19" i="113" s="1"/>
  <c r="BL19" i="113" s="1"/>
  <c r="BM19" i="113" s="1"/>
  <c r="BN19" i="113" s="1"/>
  <c r="BO19" i="113" s="1"/>
  <c r="BP19" i="113" s="1"/>
  <c r="BQ19" i="113" s="1"/>
  <c r="BR19" i="113" s="1"/>
  <c r="BS19" i="113" s="1"/>
  <c r="BT19" i="113" s="1"/>
  <c r="BU19" i="113" s="1"/>
  <c r="BV19" i="113" s="1"/>
  <c r="BW19" i="113" s="1"/>
  <c r="BX19" i="113" s="1"/>
  <c r="BY19" i="113" s="1"/>
  <c r="BZ19" i="113" s="1"/>
  <c r="CA19" i="113" s="1"/>
  <c r="CB19" i="113" s="1"/>
  <c r="CC19" i="113" s="1"/>
  <c r="CD19" i="113" s="1"/>
  <c r="CE19" i="113" s="1"/>
  <c r="CF19" i="113" s="1"/>
  <c r="CG19" i="113" s="1"/>
  <c r="CH19" i="113" s="1"/>
  <c r="K459" i="82"/>
  <c r="L459" i="82"/>
  <c r="M459" i="82"/>
  <c r="N459" i="82"/>
  <c r="O459" i="82"/>
  <c r="E48" i="82"/>
  <c r="M9" i="56" l="1"/>
  <c r="N10" i="113"/>
  <c r="M9" i="55"/>
  <c r="M9" i="20"/>
  <c r="M8" i="60"/>
  <c r="E4" i="80" s="1"/>
  <c r="K48" i="82"/>
  <c r="M48" i="82"/>
  <c r="B76" i="82"/>
  <c r="D48" i="82"/>
  <c r="AD46" i="113"/>
  <c r="N9" i="56" l="1"/>
  <c r="N9" i="20"/>
  <c r="N9" i="55"/>
  <c r="N8" i="60"/>
  <c r="F4" i="80" s="1"/>
  <c r="F48" i="82"/>
  <c r="C49" i="82"/>
  <c r="B13" i="82" s="1"/>
  <c r="L48" i="82"/>
  <c r="J76" i="82"/>
  <c r="B77" i="82"/>
  <c r="AE46" i="113"/>
  <c r="C85" i="60"/>
  <c r="C86" i="65" s="1"/>
  <c r="C84" i="60"/>
  <c r="C85" i="65" s="1"/>
  <c r="E52" i="61" s="1"/>
  <c r="C70" i="60"/>
  <c r="C69" i="60"/>
  <c r="C80" i="60"/>
  <c r="C81" i="65" s="1"/>
  <c r="C64" i="60"/>
  <c r="C65" i="65" s="1"/>
  <c r="C70" i="65" l="1"/>
  <c r="E50" i="61" s="1"/>
  <c r="C71" i="65"/>
  <c r="Q77" i="65" s="1"/>
  <c r="Q76" i="65"/>
  <c r="C89" i="60"/>
  <c r="C90" i="65" s="1"/>
  <c r="C90" i="115"/>
  <c r="O10" i="113"/>
  <c r="O8" i="60"/>
  <c r="G4" i="80" s="1"/>
  <c r="C68" i="60"/>
  <c r="K49" i="82"/>
  <c r="D49" i="82"/>
  <c r="B78" i="82"/>
  <c r="J77" i="82"/>
  <c r="N48" i="82"/>
  <c r="E49" i="82"/>
  <c r="M49" i="82" s="1"/>
  <c r="AF46" i="113"/>
  <c r="C69" i="65" l="1"/>
  <c r="E49" i="61" s="1"/>
  <c r="P10" i="113"/>
  <c r="P8" i="60"/>
  <c r="H4" i="80" s="1"/>
  <c r="B79" i="82"/>
  <c r="J78" i="82"/>
  <c r="C50" i="82"/>
  <c r="B14" i="82" s="1"/>
  <c r="F49" i="82"/>
  <c r="N49" i="82" s="1"/>
  <c r="L49" i="82"/>
  <c r="AG46" i="113"/>
  <c r="AH7" i="72"/>
  <c r="Q75" i="65" l="1"/>
  <c r="O74" i="65"/>
  <c r="K74" i="65"/>
  <c r="G74" i="65"/>
  <c r="N74" i="65"/>
  <c r="J74" i="65"/>
  <c r="F74" i="65"/>
  <c r="M74" i="65"/>
  <c r="I74" i="65"/>
  <c r="E74" i="65"/>
  <c r="L74" i="65"/>
  <c r="H74" i="65"/>
  <c r="D74" i="65"/>
  <c r="CG73" i="60"/>
  <c r="CC73" i="60"/>
  <c r="BY73" i="60"/>
  <c r="BU73" i="60"/>
  <c r="BQ73" i="60"/>
  <c r="BM73" i="60"/>
  <c r="BI73" i="60"/>
  <c r="BE73" i="60"/>
  <c r="BA73" i="60"/>
  <c r="AW73" i="60"/>
  <c r="AS73" i="60"/>
  <c r="AO73" i="60"/>
  <c r="AK73" i="60"/>
  <c r="AG73" i="60"/>
  <c r="AC73" i="60"/>
  <c r="Y73" i="60"/>
  <c r="U73" i="60"/>
  <c r="Q73" i="60"/>
  <c r="M73" i="60"/>
  <c r="I73" i="60"/>
  <c r="E73" i="60"/>
  <c r="CD73" i="60"/>
  <c r="BR73" i="60"/>
  <c r="BB73" i="60"/>
  <c r="AT73" i="60"/>
  <c r="AH73" i="60"/>
  <c r="V73" i="60"/>
  <c r="J73" i="60"/>
  <c r="CF73" i="60"/>
  <c r="CB73" i="60"/>
  <c r="BX73" i="60"/>
  <c r="BT73" i="60"/>
  <c r="BP73" i="60"/>
  <c r="BL73" i="60"/>
  <c r="BH73" i="60"/>
  <c r="BD73" i="60"/>
  <c r="AZ73" i="60"/>
  <c r="AV73" i="60"/>
  <c r="AR73" i="60"/>
  <c r="AN73" i="60"/>
  <c r="AJ73" i="60"/>
  <c r="AF73" i="60"/>
  <c r="AB73" i="60"/>
  <c r="X73" i="60"/>
  <c r="T73" i="60"/>
  <c r="P73" i="60"/>
  <c r="L73" i="60"/>
  <c r="H73" i="60"/>
  <c r="D73" i="60"/>
  <c r="CH73" i="60"/>
  <c r="BV73" i="60"/>
  <c r="BJ73" i="60"/>
  <c r="AX73" i="60"/>
  <c r="AL73" i="60"/>
  <c r="Z73" i="60"/>
  <c r="CI73" i="60"/>
  <c r="CE73" i="60"/>
  <c r="CA73" i="60"/>
  <c r="BW73" i="60"/>
  <c r="BS73" i="60"/>
  <c r="BO73" i="60"/>
  <c r="BK73" i="60"/>
  <c r="BG73" i="60"/>
  <c r="BC73" i="60"/>
  <c r="AY73" i="60"/>
  <c r="AU73" i="60"/>
  <c r="AQ73" i="60"/>
  <c r="AM73" i="60"/>
  <c r="AI73" i="60"/>
  <c r="AE73" i="60"/>
  <c r="AA73" i="60"/>
  <c r="W73" i="60"/>
  <c r="S73" i="60"/>
  <c r="O73" i="60"/>
  <c r="K73" i="60"/>
  <c r="G73" i="60"/>
  <c r="BZ73" i="60"/>
  <c r="BN73" i="60"/>
  <c r="BF73" i="60"/>
  <c r="AP73" i="60"/>
  <c r="AD73" i="60"/>
  <c r="N73" i="60"/>
  <c r="R73" i="60"/>
  <c r="F73" i="60"/>
  <c r="Q10" i="113"/>
  <c r="Q8" i="60"/>
  <c r="I4" i="80" s="1"/>
  <c r="D50" i="82"/>
  <c r="K50" i="82"/>
  <c r="B80" i="82"/>
  <c r="J79" i="82"/>
  <c r="AH46" i="113"/>
  <c r="Q78" i="65" l="1"/>
  <c r="P74" i="65"/>
  <c r="R10" i="113"/>
  <c r="R8" i="60"/>
  <c r="J4" i="80" s="1"/>
  <c r="B81" i="82"/>
  <c r="J80" i="82"/>
  <c r="C51" i="82"/>
  <c r="B15" i="82" s="1"/>
  <c r="F50" i="82"/>
  <c r="N50" i="82" s="1"/>
  <c r="L50" i="82"/>
  <c r="AI46" i="113"/>
  <c r="S10" i="113" l="1"/>
  <c r="S8" i="60"/>
  <c r="K4" i="80" s="1"/>
  <c r="D51" i="82"/>
  <c r="K51" i="82"/>
  <c r="B82" i="82"/>
  <c r="J81" i="82"/>
  <c r="AJ46" i="113"/>
  <c r="T10" i="113" l="1"/>
  <c r="T8" i="60"/>
  <c r="L4" i="80" s="1"/>
  <c r="B83" i="82"/>
  <c r="J82" i="82"/>
  <c r="C52" i="82"/>
  <c r="B16" i="82" s="1"/>
  <c r="F51" i="82"/>
  <c r="N51" i="82" s="1"/>
  <c r="L51" i="82"/>
  <c r="AK46" i="113"/>
  <c r="U10" i="113" l="1"/>
  <c r="U8" i="60"/>
  <c r="M4" i="80" s="1"/>
  <c r="D52" i="82"/>
  <c r="K52" i="82"/>
  <c r="B84" i="82"/>
  <c r="J83" i="82"/>
  <c r="AL46" i="113"/>
  <c r="V10" i="113" l="1"/>
  <c r="V8" i="60"/>
  <c r="N4" i="80" s="1"/>
  <c r="B85" i="82"/>
  <c r="J84" i="82"/>
  <c r="C53" i="82"/>
  <c r="B17" i="82" s="1"/>
  <c r="L52" i="82"/>
  <c r="F52" i="82"/>
  <c r="N52" i="82" s="1"/>
  <c r="AM46" i="113"/>
  <c r="W10" i="113" l="1"/>
  <c r="W8" i="60"/>
  <c r="O4" i="80" s="1"/>
  <c r="D53" i="82"/>
  <c r="K53" i="82"/>
  <c r="B86" i="82"/>
  <c r="J85" i="82"/>
  <c r="AN46" i="113"/>
  <c r="G17" i="44"/>
  <c r="X10" i="113" l="1"/>
  <c r="X8" i="60"/>
  <c r="P4" i="80" s="1"/>
  <c r="B87" i="82"/>
  <c r="J86" i="82"/>
  <c r="C54" i="82"/>
  <c r="B18" i="82" s="1"/>
  <c r="F53" i="82"/>
  <c r="N53" i="82" s="1"/>
  <c r="L53" i="82"/>
  <c r="AO46" i="113"/>
  <c r="G23" i="44"/>
  <c r="C69" i="115" s="1"/>
  <c r="C75" i="115" s="1"/>
  <c r="Q75" i="115" l="1"/>
  <c r="Y10" i="113"/>
  <c r="Y8" i="60"/>
  <c r="Q4" i="80" s="1"/>
  <c r="D54" i="82"/>
  <c r="K54" i="82"/>
  <c r="B88" i="82"/>
  <c r="J87" i="82"/>
  <c r="AP46" i="113"/>
  <c r="Q75" i="44"/>
  <c r="C3" i="81" l="1"/>
  <c r="Z10" i="113"/>
  <c r="Z8" i="60"/>
  <c r="R4" i="80" s="1"/>
  <c r="B89" i="82"/>
  <c r="J88" i="82"/>
  <c r="C55" i="82"/>
  <c r="B19" i="82" s="1"/>
  <c r="L54" i="82"/>
  <c r="F54" i="82"/>
  <c r="N54" i="82" s="1"/>
  <c r="AQ46" i="113"/>
  <c r="D3" i="81" l="1"/>
  <c r="AA10" i="113"/>
  <c r="AA8" i="60"/>
  <c r="S4" i="80" s="1"/>
  <c r="D55" i="82"/>
  <c r="K55" i="82"/>
  <c r="B90" i="82"/>
  <c r="J89" i="82"/>
  <c r="AR46" i="113"/>
  <c r="G31" i="44"/>
  <c r="C86" i="115" s="1"/>
  <c r="G30" i="44"/>
  <c r="C85" i="115" s="1"/>
  <c r="G25" i="44"/>
  <c r="C71" i="115" s="1"/>
  <c r="C77" i="115" s="1"/>
  <c r="Q77" i="115" s="1"/>
  <c r="G24" i="44"/>
  <c r="C70" i="115" s="1"/>
  <c r="C76" i="115" s="1"/>
  <c r="Q76" i="115" l="1"/>
  <c r="Q78" i="115" s="1"/>
  <c r="E74" i="115"/>
  <c r="K74" i="115"/>
  <c r="H74" i="115"/>
  <c r="G74" i="115"/>
  <c r="J74" i="115"/>
  <c r="D74" i="115"/>
  <c r="L74" i="115"/>
  <c r="F74" i="115"/>
  <c r="I74" i="115"/>
  <c r="N74" i="115"/>
  <c r="O74" i="115"/>
  <c r="M74" i="115"/>
  <c r="E3" i="81"/>
  <c r="AB10" i="113"/>
  <c r="AB8" i="60"/>
  <c r="T4" i="80" s="1"/>
  <c r="B91" i="82"/>
  <c r="J90" i="82"/>
  <c r="C56" i="82"/>
  <c r="B20" i="82" s="1"/>
  <c r="L55" i="82"/>
  <c r="F55" i="82"/>
  <c r="N55" i="82" s="1"/>
  <c r="AS46" i="113"/>
  <c r="P74" i="115" l="1"/>
  <c r="F3" i="81"/>
  <c r="AC10" i="113"/>
  <c r="AC8" i="60"/>
  <c r="U4" i="80" s="1"/>
  <c r="D56" i="82"/>
  <c r="K56" i="82"/>
  <c r="B92" i="82"/>
  <c r="J91" i="82"/>
  <c r="AT46" i="113"/>
  <c r="G3" i="81" l="1"/>
  <c r="AD10" i="113"/>
  <c r="AD8" i="60"/>
  <c r="V4" i="80" s="1"/>
  <c r="B93" i="82"/>
  <c r="J92" i="82"/>
  <c r="C57" i="82"/>
  <c r="B21" i="82" s="1"/>
  <c r="F56" i="82"/>
  <c r="N56" i="82" s="1"/>
  <c r="L56" i="82"/>
  <c r="AU46" i="113"/>
  <c r="H3" i="81" l="1"/>
  <c r="AE10" i="113"/>
  <c r="AE8" i="60"/>
  <c r="W4" i="80" s="1"/>
  <c r="D57" i="82"/>
  <c r="K57" i="82"/>
  <c r="B94" i="82"/>
  <c r="J93" i="82"/>
  <c r="AV46" i="113"/>
  <c r="I3" i="81" l="1"/>
  <c r="AF10" i="113"/>
  <c r="AF8" i="60"/>
  <c r="X4" i="80" s="1"/>
  <c r="B95" i="82"/>
  <c r="J94" i="82"/>
  <c r="C58" i="82"/>
  <c r="B22" i="82" s="1"/>
  <c r="F57" i="82"/>
  <c r="N57" i="82" s="1"/>
  <c r="L57" i="82"/>
  <c r="AW46" i="113"/>
  <c r="J3" i="81" l="1"/>
  <c r="AG10" i="113"/>
  <c r="AG8" i="60"/>
  <c r="Y4" i="80" s="1"/>
  <c r="D58" i="82"/>
  <c r="K58" i="82"/>
  <c r="B96" i="82"/>
  <c r="J95" i="82"/>
  <c r="AX46" i="113"/>
  <c r="A58" i="61"/>
  <c r="A59" i="61" s="1"/>
  <c r="A60" i="61" s="1"/>
  <c r="A61" i="61" s="1"/>
  <c r="K3" i="81" l="1"/>
  <c r="AH10" i="113"/>
  <c r="AH8" i="60"/>
  <c r="Z4" i="80" s="1"/>
  <c r="B97" i="82"/>
  <c r="J96" i="82"/>
  <c r="C59" i="82"/>
  <c r="B23" i="82" s="1"/>
  <c r="L58" i="82"/>
  <c r="F58" i="82"/>
  <c r="N58" i="82" s="1"/>
  <c r="AY46" i="113"/>
  <c r="A108" i="80"/>
  <c r="H118" i="80"/>
  <c r="M108" i="80" l="1"/>
  <c r="J108" i="80"/>
  <c r="N108" i="80"/>
  <c r="K108" i="80"/>
  <c r="L108" i="80"/>
  <c r="L3" i="81"/>
  <c r="AI10" i="113"/>
  <c r="AI8" i="60"/>
  <c r="AA4" i="80" s="1"/>
  <c r="D59" i="82"/>
  <c r="K59" i="82"/>
  <c r="B98" i="82"/>
  <c r="J97" i="82"/>
  <c r="AZ46" i="113"/>
  <c r="I38" i="80"/>
  <c r="J38" i="80" s="1"/>
  <c r="K38" i="80" s="1"/>
  <c r="L38" i="80" s="1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AG38" i="80" s="1"/>
  <c r="AH38" i="80" s="1"/>
  <c r="AI38" i="80" s="1"/>
  <c r="AJ38" i="80" s="1"/>
  <c r="AK38" i="80" s="1"/>
  <c r="AL38" i="80" s="1"/>
  <c r="AM38" i="80" s="1"/>
  <c r="AN38" i="80" s="1"/>
  <c r="AO38" i="80" s="1"/>
  <c r="AP38" i="80" s="1"/>
  <c r="AQ38" i="80" s="1"/>
  <c r="AR38" i="80" s="1"/>
  <c r="AS38" i="80" s="1"/>
  <c r="AT38" i="80" s="1"/>
  <c r="AU38" i="80" s="1"/>
  <c r="AV38" i="80" s="1"/>
  <c r="AW38" i="80" s="1"/>
  <c r="AX38" i="80" s="1"/>
  <c r="AY38" i="80" s="1"/>
  <c r="AZ38" i="80" s="1"/>
  <c r="BA38" i="80" s="1"/>
  <c r="BB38" i="80" s="1"/>
  <c r="BC38" i="80" s="1"/>
  <c r="BD38" i="80" s="1"/>
  <c r="BE38" i="80" s="1"/>
  <c r="BF38" i="80" s="1"/>
  <c r="BG38" i="80" s="1"/>
  <c r="BH38" i="80" s="1"/>
  <c r="BI38" i="80" s="1"/>
  <c r="BJ38" i="80" s="1"/>
  <c r="BK38" i="80" s="1"/>
  <c r="BL38" i="80" s="1"/>
  <c r="BM38" i="80" s="1"/>
  <c r="BN38" i="80" s="1"/>
  <c r="BO38" i="80" s="1"/>
  <c r="BP38" i="80" s="1"/>
  <c r="BQ38" i="80" s="1"/>
  <c r="BR38" i="80" s="1"/>
  <c r="BS38" i="80" s="1"/>
  <c r="BT38" i="80" s="1"/>
  <c r="BU38" i="80" s="1"/>
  <c r="BV38" i="80" s="1"/>
  <c r="BW38" i="80" s="1"/>
  <c r="BX38" i="80" s="1"/>
  <c r="BY38" i="80" s="1"/>
  <c r="BZ38" i="80" s="1"/>
  <c r="CA38" i="80" s="1"/>
  <c r="CB38" i="80" s="1"/>
  <c r="I37" i="80"/>
  <c r="J37" i="80" s="1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I36" i="80"/>
  <c r="J36" i="80" s="1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U20" i="80"/>
  <c r="U57" i="80"/>
  <c r="U68" i="80" s="1"/>
  <c r="U58" i="80"/>
  <c r="U59" i="80"/>
  <c r="CC38" i="80" l="1"/>
  <c r="K36" i="80"/>
  <c r="J110" i="80"/>
  <c r="J112" i="80" s="1"/>
  <c r="J114" i="80" s="1"/>
  <c r="AG18" i="80"/>
  <c r="U18" i="80"/>
  <c r="AH18" i="80"/>
  <c r="V18" i="80"/>
  <c r="X20" i="80"/>
  <c r="Y19" i="80"/>
  <c r="Y20" i="80"/>
  <c r="AI19" i="80"/>
  <c r="W19" i="80"/>
  <c r="AK18" i="80"/>
  <c r="Y18" i="80"/>
  <c r="W20" i="80"/>
  <c r="T19" i="80"/>
  <c r="T20" i="80"/>
  <c r="U19" i="80"/>
  <c r="W18" i="80"/>
  <c r="V19" i="80"/>
  <c r="T18" i="80"/>
  <c r="AJ18" i="80"/>
  <c r="X18" i="80"/>
  <c r="AL18" i="80"/>
  <c r="Z18" i="80"/>
  <c r="V20" i="80"/>
  <c r="Z20" i="80"/>
  <c r="AC13" i="80"/>
  <c r="AA15" i="80"/>
  <c r="AE15" i="80"/>
  <c r="AB14" i="80"/>
  <c r="AD13" i="80"/>
  <c r="AC14" i="80"/>
  <c r="AB15" i="80"/>
  <c r="AA13" i="80"/>
  <c r="AE13" i="80"/>
  <c r="AD14" i="80"/>
  <c r="AC15" i="80"/>
  <c r="AB13" i="80"/>
  <c r="AA14" i="80"/>
  <c r="AE14" i="80"/>
  <c r="AD15" i="80"/>
  <c r="M3" i="81"/>
  <c r="AJ10" i="113"/>
  <c r="AJ8" i="60"/>
  <c r="AB4" i="80" s="1"/>
  <c r="B99" i="82"/>
  <c r="J98" i="82"/>
  <c r="L59" i="82"/>
  <c r="F59" i="82"/>
  <c r="N59" i="82" s="1"/>
  <c r="BA46" i="113"/>
  <c r="AT18" i="80"/>
  <c r="AU19" i="80"/>
  <c r="I129" i="80"/>
  <c r="H129" i="80"/>
  <c r="W21" i="80" l="1"/>
  <c r="CD38" i="80"/>
  <c r="V21" i="80"/>
  <c r="T21" i="80"/>
  <c r="BE18" i="80"/>
  <c r="L36" i="80"/>
  <c r="K110" i="80"/>
  <c r="K112" i="80" s="1"/>
  <c r="K114" i="80" s="1"/>
  <c r="AV18" i="80"/>
  <c r="AF129" i="80"/>
  <c r="AI18" i="80"/>
  <c r="AI20" i="80"/>
  <c r="Y21" i="80"/>
  <c r="U21" i="80"/>
  <c r="AL20" i="80"/>
  <c r="AF18" i="80"/>
  <c r="AF20" i="80"/>
  <c r="AK19" i="80"/>
  <c r="AX18" i="80"/>
  <c r="X19" i="80"/>
  <c r="X21" i="80" s="1"/>
  <c r="AG20" i="80"/>
  <c r="Z19" i="80"/>
  <c r="Z21" i="80" s="1"/>
  <c r="AH20" i="80"/>
  <c r="AH19" i="80"/>
  <c r="AG19" i="80"/>
  <c r="AF19" i="80"/>
  <c r="AK20" i="80"/>
  <c r="AJ20" i="80"/>
  <c r="AQ14" i="80"/>
  <c r="AN13" i="80"/>
  <c r="AP14" i="80"/>
  <c r="AM13" i="80"/>
  <c r="AO14" i="80"/>
  <c r="AN14" i="80"/>
  <c r="AM15" i="80"/>
  <c r="AA16" i="80"/>
  <c r="AE16" i="80"/>
  <c r="AD16" i="80"/>
  <c r="AC16" i="80"/>
  <c r="AB16" i="80"/>
  <c r="AP15" i="80"/>
  <c r="AM14" i="80"/>
  <c r="AO15" i="80"/>
  <c r="AQ13" i="80"/>
  <c r="AN15" i="80"/>
  <c r="AP13" i="80"/>
  <c r="AQ15" i="80"/>
  <c r="AO13" i="80"/>
  <c r="N3" i="81"/>
  <c r="AK10" i="113"/>
  <c r="AK8" i="60"/>
  <c r="AC4" i="80" s="1"/>
  <c r="B100" i="82"/>
  <c r="J99" i="82"/>
  <c r="BB46" i="113"/>
  <c r="BG19" i="80"/>
  <c r="BF18" i="80"/>
  <c r="AG129" i="80"/>
  <c r="O15" i="91"/>
  <c r="O16" i="91"/>
  <c r="O17" i="91"/>
  <c r="O18" i="91"/>
  <c r="O19" i="91"/>
  <c r="O20" i="91"/>
  <c r="O21" i="91"/>
  <c r="O22" i="91"/>
  <c r="O25" i="91"/>
  <c r="O26" i="91"/>
  <c r="O27" i="91"/>
  <c r="O28" i="91"/>
  <c r="O29" i="91"/>
  <c r="O33" i="91"/>
  <c r="O35" i="91" s="1"/>
  <c r="P35" i="91" s="1"/>
  <c r="O15" i="76"/>
  <c r="AK21" i="80" l="1"/>
  <c r="BH18" i="80"/>
  <c r="AW18" i="80"/>
  <c r="AS18" i="80"/>
  <c r="AO16" i="80"/>
  <c r="AP16" i="80"/>
  <c r="AQ16" i="80"/>
  <c r="BI18" i="80"/>
  <c r="BU18" i="80"/>
  <c r="BJ18" i="80"/>
  <c r="BQ18" i="80"/>
  <c r="M36" i="80"/>
  <c r="L110" i="80"/>
  <c r="L112" i="80" s="1"/>
  <c r="L114" i="80" s="1"/>
  <c r="AH21" i="80"/>
  <c r="AG21" i="80"/>
  <c r="AF21" i="80"/>
  <c r="AS19" i="80"/>
  <c r="AU18" i="80"/>
  <c r="AT20" i="80"/>
  <c r="AS20" i="80"/>
  <c r="AW19" i="80"/>
  <c r="AR19" i="80"/>
  <c r="AT19" i="80"/>
  <c r="AU20" i="80"/>
  <c r="AV20" i="80"/>
  <c r="AR18" i="80"/>
  <c r="AM16" i="80"/>
  <c r="AN16" i="80"/>
  <c r="AW20" i="80"/>
  <c r="AL19" i="80"/>
  <c r="AL21" i="80" s="1"/>
  <c r="AJ19" i="80"/>
  <c r="AJ21" i="80" s="1"/>
  <c r="AR20" i="80"/>
  <c r="AX20" i="80"/>
  <c r="AI21" i="80"/>
  <c r="BC15" i="80"/>
  <c r="AZ15" i="80"/>
  <c r="AZ14" i="80"/>
  <c r="AY13" i="80"/>
  <c r="AZ13" i="80"/>
  <c r="BB15" i="80"/>
  <c r="BC13" i="80"/>
  <c r="BA15" i="80"/>
  <c r="BA13" i="80"/>
  <c r="BB13" i="80"/>
  <c r="AY14" i="80"/>
  <c r="AY15" i="80"/>
  <c r="BA14" i="80"/>
  <c r="BB14" i="80"/>
  <c r="BC14" i="80"/>
  <c r="AL10" i="113"/>
  <c r="AL8" i="60"/>
  <c r="AD4" i="80" s="1"/>
  <c r="B101" i="82"/>
  <c r="J100" i="82"/>
  <c r="BC46" i="113"/>
  <c r="BV18" i="80"/>
  <c r="BT18" i="80"/>
  <c r="BS19" i="80"/>
  <c r="BR18" i="80"/>
  <c r="AI7" i="72"/>
  <c r="AJ7" i="72" s="1"/>
  <c r="AK7" i="72" s="1"/>
  <c r="AL7" i="72" s="1"/>
  <c r="AS21" i="80" l="1"/>
  <c r="AW21" i="80"/>
  <c r="AU21" i="80"/>
  <c r="N36" i="80"/>
  <c r="M110" i="80"/>
  <c r="M112" i="80" s="1"/>
  <c r="M114" i="80" s="1"/>
  <c r="BI19" i="80"/>
  <c r="BV20" i="80"/>
  <c r="BJ20" i="80"/>
  <c r="BR20" i="80"/>
  <c r="BF20" i="80"/>
  <c r="BS20" i="80"/>
  <c r="BG20" i="80"/>
  <c r="BE19" i="80"/>
  <c r="AX19" i="80"/>
  <c r="AX21" i="80" s="1"/>
  <c r="BR19" i="80"/>
  <c r="BF19" i="80"/>
  <c r="AY16" i="80"/>
  <c r="BT20" i="80"/>
  <c r="BH20" i="80"/>
  <c r="BS18" i="80"/>
  <c r="BG18" i="80"/>
  <c r="AV19" i="80"/>
  <c r="AV21" i="80" s="1"/>
  <c r="BU20" i="80"/>
  <c r="BI20" i="80"/>
  <c r="BD18" i="80"/>
  <c r="BP19" i="80"/>
  <c r="BD19" i="80"/>
  <c r="BP20" i="80"/>
  <c r="BD20" i="80"/>
  <c r="AR21" i="80"/>
  <c r="AT21" i="80"/>
  <c r="BQ20" i="80"/>
  <c r="BE20" i="80"/>
  <c r="BZ14" i="80"/>
  <c r="BN14" i="80"/>
  <c r="BW15" i="80"/>
  <c r="BK15" i="80"/>
  <c r="BZ13" i="80"/>
  <c r="BN13" i="80"/>
  <c r="BY15" i="80"/>
  <c r="BM15" i="80"/>
  <c r="BZ15" i="80"/>
  <c r="BN15" i="80"/>
  <c r="BW13" i="80"/>
  <c r="BK13" i="80"/>
  <c r="BX15" i="80"/>
  <c r="BL15" i="80"/>
  <c r="BA16" i="80"/>
  <c r="BC16" i="80"/>
  <c r="AZ16" i="80"/>
  <c r="BB16" i="80"/>
  <c r="CA14" i="80"/>
  <c r="BO14" i="80"/>
  <c r="BY14" i="80"/>
  <c r="BM14" i="80"/>
  <c r="BW14" i="80"/>
  <c r="BK14" i="80"/>
  <c r="BY13" i="80"/>
  <c r="BM13" i="80"/>
  <c r="CA13" i="80"/>
  <c r="BO13" i="80"/>
  <c r="BX13" i="80"/>
  <c r="BL13" i="80"/>
  <c r="BX14" i="80"/>
  <c r="BL14" i="80"/>
  <c r="CA15" i="80"/>
  <c r="BO15" i="80"/>
  <c r="AM10" i="113"/>
  <c r="AM8" i="60"/>
  <c r="AE4" i="80" s="1"/>
  <c r="B102" i="82"/>
  <c r="J101" i="82"/>
  <c r="BD46" i="113"/>
  <c r="BR21" i="80" l="1"/>
  <c r="BS21" i="80"/>
  <c r="BE21" i="80"/>
  <c r="O36" i="80"/>
  <c r="O47" i="80" s="1"/>
  <c r="N110" i="80"/>
  <c r="N112" i="80" s="1"/>
  <c r="N114" i="80" s="1"/>
  <c r="BD21" i="80"/>
  <c r="CA16" i="80"/>
  <c r="BG21" i="80"/>
  <c r="BI21" i="80"/>
  <c r="BF21" i="80"/>
  <c r="BQ19" i="80"/>
  <c r="BQ21" i="80" s="1"/>
  <c r="BP18" i="80"/>
  <c r="BP21" i="80" s="1"/>
  <c r="BJ19" i="80"/>
  <c r="BJ21" i="80" s="1"/>
  <c r="BO16" i="80"/>
  <c r="BH19" i="80"/>
  <c r="BH21" i="80" s="1"/>
  <c r="BU19" i="80"/>
  <c r="BU21" i="80" s="1"/>
  <c r="BW16" i="80"/>
  <c r="BL16" i="80"/>
  <c r="BM16" i="80"/>
  <c r="BN16" i="80"/>
  <c r="BK16" i="80"/>
  <c r="BX16" i="80"/>
  <c r="BY16" i="80"/>
  <c r="BZ16" i="80"/>
  <c r="AN10" i="113"/>
  <c r="AN8" i="60"/>
  <c r="AF4" i="80" s="1"/>
  <c r="B103" i="82"/>
  <c r="J102" i="82"/>
  <c r="BE46" i="113"/>
  <c r="P36" i="80" l="1"/>
  <c r="P47" i="80" s="1"/>
  <c r="O42" i="80"/>
  <c r="O70" i="80" s="1"/>
  <c r="BT19" i="80"/>
  <c r="BT21" i="80" s="1"/>
  <c r="BV19" i="80"/>
  <c r="BV21" i="80" s="1"/>
  <c r="AO10" i="113"/>
  <c r="AO8" i="60"/>
  <c r="AG4" i="80" s="1"/>
  <c r="B104" i="82"/>
  <c r="J103" i="82"/>
  <c r="BF46" i="113"/>
  <c r="O27" i="76"/>
  <c r="O26" i="76"/>
  <c r="O25" i="76"/>
  <c r="O37" i="76"/>
  <c r="O36" i="76"/>
  <c r="O32" i="76"/>
  <c r="P34" i="76" s="1"/>
  <c r="O33" i="76"/>
  <c r="P35" i="76" s="1"/>
  <c r="O31" i="76"/>
  <c r="Q36" i="80" l="1"/>
  <c r="Q47" i="80" s="1"/>
  <c r="P42" i="80"/>
  <c r="P70" i="80" s="1"/>
  <c r="AP10" i="113"/>
  <c r="AP8" i="60"/>
  <c r="AH4" i="80" s="1"/>
  <c r="B105" i="82"/>
  <c r="J104" i="82"/>
  <c r="BG46" i="113"/>
  <c r="R36" i="80" l="1"/>
  <c r="R47" i="80" s="1"/>
  <c r="Q42" i="80"/>
  <c r="Q70" i="80" s="1"/>
  <c r="AQ10" i="113"/>
  <c r="AQ8" i="60"/>
  <c r="AI4" i="80" s="1"/>
  <c r="B106" i="82"/>
  <c r="J105" i="82"/>
  <c r="BH46" i="113"/>
  <c r="O37" i="91"/>
  <c r="O36" i="91"/>
  <c r="O32" i="91"/>
  <c r="O34" i="91" s="1"/>
  <c r="P34" i="91" s="1"/>
  <c r="O31" i="91"/>
  <c r="S36" i="80" l="1"/>
  <c r="S47" i="80" s="1"/>
  <c r="R42" i="80"/>
  <c r="R70" i="80" s="1"/>
  <c r="AR10" i="113"/>
  <c r="AR8" i="60"/>
  <c r="AJ4" i="80" s="1"/>
  <c r="B107" i="82"/>
  <c r="J106" i="82"/>
  <c r="BI46" i="113"/>
  <c r="T36" i="80" l="1"/>
  <c r="T47" i="80" s="1"/>
  <c r="S42" i="80"/>
  <c r="S70" i="80" s="1"/>
  <c r="AS10" i="113"/>
  <c r="AS8" i="60"/>
  <c r="AK4" i="80" s="1"/>
  <c r="B108" i="82"/>
  <c r="J107" i="82"/>
  <c r="BJ46" i="113"/>
  <c r="C49" i="64"/>
  <c r="C42" i="64"/>
  <c r="C37" i="64"/>
  <c r="C36" i="64"/>
  <c r="C31" i="64"/>
  <c r="C30" i="64"/>
  <c r="C25" i="64"/>
  <c r="C24" i="64"/>
  <c r="C19" i="64"/>
  <c r="C18" i="64"/>
  <c r="C13" i="64"/>
  <c r="C12" i="64"/>
  <c r="U36" i="80" l="1"/>
  <c r="U47" i="80" s="1"/>
  <c r="I49" i="80" s="1"/>
  <c r="T42" i="80"/>
  <c r="T70" i="80" s="1"/>
  <c r="AT10" i="113"/>
  <c r="AT8" i="60"/>
  <c r="AL4" i="80" s="1"/>
  <c r="B109" i="82"/>
  <c r="J108" i="82"/>
  <c r="BK46" i="113"/>
  <c r="M54" i="56"/>
  <c r="K54" i="56"/>
  <c r="I54" i="56"/>
  <c r="U42" i="80" l="1"/>
  <c r="U70" i="80" s="1"/>
  <c r="U66" i="80"/>
  <c r="V36" i="80"/>
  <c r="W36" i="80" s="1"/>
  <c r="X36" i="80" s="1"/>
  <c r="Y36" i="80" s="1"/>
  <c r="Z36" i="80" s="1"/>
  <c r="AA36" i="80" s="1"/>
  <c r="AA47" i="80" s="1"/>
  <c r="AU10" i="113"/>
  <c r="AU8" i="60"/>
  <c r="AM4" i="80" s="1"/>
  <c r="B110" i="82"/>
  <c r="J109" i="82"/>
  <c r="BL46" i="113"/>
  <c r="M70" i="56"/>
  <c r="I70" i="56"/>
  <c r="L70" i="56"/>
  <c r="H70" i="56"/>
  <c r="N70" i="56"/>
  <c r="J70" i="56"/>
  <c r="L54" i="56"/>
  <c r="N54" i="56"/>
  <c r="J54" i="56"/>
  <c r="K70" i="56"/>
  <c r="G70" i="56"/>
  <c r="H54" i="56"/>
  <c r="G54" i="56"/>
  <c r="F54" i="56"/>
  <c r="E54" i="56"/>
  <c r="AB36" i="80" l="1"/>
  <c r="AB47" i="80" s="1"/>
  <c r="AA42" i="80"/>
  <c r="AA70" i="80" s="1"/>
  <c r="D79" i="56"/>
  <c r="D80" i="56"/>
  <c r="E79" i="56"/>
  <c r="E80" i="56"/>
  <c r="AV10" i="113"/>
  <c r="AV8" i="60"/>
  <c r="AN4" i="80" s="1"/>
  <c r="B111" i="82"/>
  <c r="J110" i="82"/>
  <c r="BM46" i="113"/>
  <c r="D70" i="56"/>
  <c r="F70" i="56"/>
  <c r="E70" i="56"/>
  <c r="D54" i="56"/>
  <c r="AC36" i="80" l="1"/>
  <c r="AC47" i="80" s="1"/>
  <c r="AB42" i="80"/>
  <c r="AB70" i="80" s="1"/>
  <c r="F79" i="56"/>
  <c r="F80" i="56"/>
  <c r="AW10" i="113"/>
  <c r="AW8" i="60"/>
  <c r="AO4" i="80" s="1"/>
  <c r="B112" i="82"/>
  <c r="J111" i="82"/>
  <c r="BN46" i="113"/>
  <c r="AD36" i="80" l="1"/>
  <c r="AD47" i="80" s="1"/>
  <c r="AC42" i="80"/>
  <c r="AC70" i="80" s="1"/>
  <c r="G79" i="56"/>
  <c r="G80" i="56"/>
  <c r="AX10" i="113"/>
  <c r="AX8" i="60"/>
  <c r="AP4" i="80" s="1"/>
  <c r="B113" i="82"/>
  <c r="J112" i="82"/>
  <c r="BO46" i="113"/>
  <c r="AE36" i="80" l="1"/>
  <c r="AE47" i="80" s="1"/>
  <c r="AD42" i="80"/>
  <c r="AD70" i="80" s="1"/>
  <c r="H79" i="56"/>
  <c r="H80" i="56"/>
  <c r="AY10" i="113"/>
  <c r="AY8" i="60"/>
  <c r="AQ4" i="80" s="1"/>
  <c r="B114" i="82"/>
  <c r="J113" i="82"/>
  <c r="BP46" i="113"/>
  <c r="AF36" i="80" l="1"/>
  <c r="AF47" i="80" s="1"/>
  <c r="AE42" i="80"/>
  <c r="AE70" i="80" s="1"/>
  <c r="I79" i="56"/>
  <c r="I80" i="56"/>
  <c r="AZ10" i="113"/>
  <c r="AZ8" i="60"/>
  <c r="AR4" i="80" s="1"/>
  <c r="B115" i="82"/>
  <c r="J114" i="82"/>
  <c r="BQ46" i="113"/>
  <c r="AG36" i="80" l="1"/>
  <c r="AG47" i="80" s="1"/>
  <c r="U49" i="80" s="1"/>
  <c r="AF42" i="80"/>
  <c r="AF70" i="80" s="1"/>
  <c r="J79" i="56"/>
  <c r="J80" i="56"/>
  <c r="BA10" i="113"/>
  <c r="BA8" i="60"/>
  <c r="AS4" i="80" s="1"/>
  <c r="B116" i="82"/>
  <c r="J115" i="82"/>
  <c r="BR46" i="113"/>
  <c r="Z47" i="80" l="1"/>
  <c r="Y47" i="80"/>
  <c r="W47" i="80"/>
  <c r="V47" i="80"/>
  <c r="X47" i="80"/>
  <c r="AH36" i="80"/>
  <c r="AI36" i="80" s="1"/>
  <c r="AJ36" i="80" s="1"/>
  <c r="AK36" i="80" s="1"/>
  <c r="AL36" i="80" s="1"/>
  <c r="AM36" i="80" s="1"/>
  <c r="AM47" i="80" s="1"/>
  <c r="AG42" i="80"/>
  <c r="AG70" i="80" s="1"/>
  <c r="K79" i="56"/>
  <c r="K80" i="56"/>
  <c r="BB10" i="113"/>
  <c r="BB8" i="60"/>
  <c r="AT4" i="80" s="1"/>
  <c r="B117" i="82"/>
  <c r="J116" i="82"/>
  <c r="BS46" i="113"/>
  <c r="AN36" i="80" l="1"/>
  <c r="AN47" i="80" s="1"/>
  <c r="AM42" i="80"/>
  <c r="AM70" i="80" s="1"/>
  <c r="L79" i="56"/>
  <c r="L80" i="56"/>
  <c r="BC10" i="113"/>
  <c r="BC8" i="60"/>
  <c r="AU4" i="80" s="1"/>
  <c r="B118" i="82"/>
  <c r="J117" i="82"/>
  <c r="BT46" i="113"/>
  <c r="AO36" i="80" l="1"/>
  <c r="AO47" i="80" s="1"/>
  <c r="AN42" i="80"/>
  <c r="AN70" i="80" s="1"/>
  <c r="M79" i="56"/>
  <c r="M80" i="56"/>
  <c r="BD10" i="113"/>
  <c r="BD8" i="60"/>
  <c r="AV4" i="80" s="1"/>
  <c r="B119" i="82"/>
  <c r="J118" i="82"/>
  <c r="BU46" i="113"/>
  <c r="AP36" i="80" l="1"/>
  <c r="AP47" i="80" s="1"/>
  <c r="AO42" i="80"/>
  <c r="AO70" i="80" s="1"/>
  <c r="N79" i="56"/>
  <c r="N80" i="56"/>
  <c r="BE10" i="113"/>
  <c r="BE8" i="60"/>
  <c r="AW4" i="80" s="1"/>
  <c r="B120" i="82"/>
  <c r="J119" i="82"/>
  <c r="BV46" i="113"/>
  <c r="AQ36" i="80" l="1"/>
  <c r="AQ47" i="80" s="1"/>
  <c r="AP42" i="80"/>
  <c r="AP70" i="80" s="1"/>
  <c r="BF10" i="113"/>
  <c r="BF8" i="60"/>
  <c r="AX4" i="80" s="1"/>
  <c r="B121" i="82"/>
  <c r="J120" i="82"/>
  <c r="BW46" i="113"/>
  <c r="Q78" i="20"/>
  <c r="Q78" i="56" s="1"/>
  <c r="Q74" i="20"/>
  <c r="Q74" i="56" s="1"/>
  <c r="Q73" i="20"/>
  <c r="Q73" i="56" s="1"/>
  <c r="Q69" i="20"/>
  <c r="Q69" i="56" s="1"/>
  <c r="Q58" i="20"/>
  <c r="Q59" i="20"/>
  <c r="Q57" i="20"/>
  <c r="Q53" i="20"/>
  <c r="Q53" i="56" s="1"/>
  <c r="Q14" i="20"/>
  <c r="Q58" i="56" l="1"/>
  <c r="R64" i="56" s="1"/>
  <c r="R64" i="20"/>
  <c r="R76" i="65" s="1"/>
  <c r="Q57" i="56"/>
  <c r="R63" i="56" s="1"/>
  <c r="R63" i="20"/>
  <c r="R75" i="65" s="1"/>
  <c r="Q59" i="56"/>
  <c r="R65" i="56" s="1"/>
  <c r="R65" i="20"/>
  <c r="R77" i="65" s="1"/>
  <c r="AR36" i="80"/>
  <c r="AR47" i="80" s="1"/>
  <c r="AQ42" i="80"/>
  <c r="AQ70" i="80" s="1"/>
  <c r="BG10" i="113"/>
  <c r="BG8" i="60"/>
  <c r="AY4" i="80" s="1"/>
  <c r="B122" i="82"/>
  <c r="J121" i="82"/>
  <c r="BX46" i="113"/>
  <c r="Q14" i="55"/>
  <c r="R66" i="56" l="1"/>
  <c r="R66" i="20"/>
  <c r="R78" i="65" s="1"/>
  <c r="AS36" i="80"/>
  <c r="AS47" i="80" s="1"/>
  <c r="AG49" i="80" s="1"/>
  <c r="AR42" i="80"/>
  <c r="AR70" i="80" s="1"/>
  <c r="BH10" i="113"/>
  <c r="BH8" i="60"/>
  <c r="AZ4" i="80" s="1"/>
  <c r="B123" i="82"/>
  <c r="J122" i="82"/>
  <c r="BY46" i="113"/>
  <c r="Q14" i="56"/>
  <c r="AJ47" i="80" l="1"/>
  <c r="AL47" i="80"/>
  <c r="AI47" i="80"/>
  <c r="AH47" i="80"/>
  <c r="AK47" i="80"/>
  <c r="AT36" i="80"/>
  <c r="AU36" i="80" s="1"/>
  <c r="AV36" i="80" s="1"/>
  <c r="AW36" i="80" s="1"/>
  <c r="AX36" i="80" s="1"/>
  <c r="AY36" i="80" s="1"/>
  <c r="AY47" i="80" s="1"/>
  <c r="AS42" i="80"/>
  <c r="AS70" i="80" s="1"/>
  <c r="BI10" i="113"/>
  <c r="BI8" i="60"/>
  <c r="BA4" i="80" s="1"/>
  <c r="B124" i="82"/>
  <c r="J123" i="82"/>
  <c r="BZ46" i="113"/>
  <c r="E40" i="61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E59" i="82"/>
  <c r="M59" i="82" s="1"/>
  <c r="E58" i="82"/>
  <c r="M58" i="82" s="1"/>
  <c r="E57" i="82"/>
  <c r="M57" i="82" s="1"/>
  <c r="E56" i="82"/>
  <c r="M56" i="82" s="1"/>
  <c r="E55" i="82"/>
  <c r="M55" i="82" s="1"/>
  <c r="E54" i="82"/>
  <c r="M54" i="82" s="1"/>
  <c r="E53" i="82"/>
  <c r="M53" i="82" s="1"/>
  <c r="E52" i="82"/>
  <c r="M52" i="82" s="1"/>
  <c r="E51" i="82"/>
  <c r="M51" i="82" s="1"/>
  <c r="E50" i="82"/>
  <c r="M50" i="82" s="1"/>
  <c r="D17" i="20"/>
  <c r="D32" i="113" s="1"/>
  <c r="C17" i="20"/>
  <c r="C32" i="113" s="1"/>
  <c r="L14" i="56"/>
  <c r="D24" i="20"/>
  <c r="C24" i="20"/>
  <c r="K33" i="60"/>
  <c r="D38" i="20"/>
  <c r="C38" i="20"/>
  <c r="E17" i="20"/>
  <c r="E32" i="113" s="1"/>
  <c r="F17" i="20"/>
  <c r="F32" i="113" s="1"/>
  <c r="G17" i="20"/>
  <c r="G32" i="113" s="1"/>
  <c r="P14" i="20"/>
  <c r="H16" i="20"/>
  <c r="I17" i="20"/>
  <c r="I32" i="113" s="1"/>
  <c r="J17" i="20"/>
  <c r="J32" i="113" s="1"/>
  <c r="K17" i="20"/>
  <c r="K32" i="113" s="1"/>
  <c r="L17" i="20"/>
  <c r="L32" i="113" s="1"/>
  <c r="M17" i="20"/>
  <c r="M32" i="113" s="1"/>
  <c r="N17" i="20"/>
  <c r="N32" i="113" s="1"/>
  <c r="E24" i="20"/>
  <c r="F24" i="20"/>
  <c r="G24" i="20"/>
  <c r="H24" i="20"/>
  <c r="I24" i="20"/>
  <c r="J24" i="20"/>
  <c r="K24" i="20"/>
  <c r="L24" i="20"/>
  <c r="M24" i="20"/>
  <c r="N24" i="20"/>
  <c r="E38" i="20"/>
  <c r="F38" i="20"/>
  <c r="G38" i="20"/>
  <c r="H38" i="20"/>
  <c r="I38" i="20"/>
  <c r="J38" i="20"/>
  <c r="K38" i="20"/>
  <c r="L38" i="20"/>
  <c r="M38" i="20"/>
  <c r="N38" i="20"/>
  <c r="N33" i="60"/>
  <c r="E33" i="60"/>
  <c r="H33" i="60"/>
  <c r="I33" i="60"/>
  <c r="J33" i="60"/>
  <c r="M49" i="60"/>
  <c r="M50" i="60"/>
  <c r="N49" i="60"/>
  <c r="N50" i="60"/>
  <c r="O49" i="60"/>
  <c r="O50" i="60"/>
  <c r="D49" i="60"/>
  <c r="C44" i="56"/>
  <c r="E49" i="60"/>
  <c r="E50" i="60"/>
  <c r="Q50" i="60" s="1"/>
  <c r="F49" i="60"/>
  <c r="F50" i="60"/>
  <c r="G49" i="60"/>
  <c r="H49" i="60"/>
  <c r="T49" i="60" s="1"/>
  <c r="H50" i="60"/>
  <c r="I50" i="60"/>
  <c r="J50" i="60"/>
  <c r="K49" i="60"/>
  <c r="K50" i="60"/>
  <c r="K44" i="56"/>
  <c r="L50" i="60"/>
  <c r="R66" i="80"/>
  <c r="R13" i="80"/>
  <c r="R14" i="80"/>
  <c r="R15" i="80"/>
  <c r="R60" i="80"/>
  <c r="H18" i="80"/>
  <c r="H20" i="80"/>
  <c r="H139" i="80"/>
  <c r="I139" i="80"/>
  <c r="H137" i="80"/>
  <c r="I137" i="80"/>
  <c r="I18" i="80"/>
  <c r="I20" i="80"/>
  <c r="J18" i="80"/>
  <c r="J20" i="80"/>
  <c r="K18" i="80"/>
  <c r="K20" i="80"/>
  <c r="L18" i="80"/>
  <c r="L20" i="80"/>
  <c r="M18" i="80"/>
  <c r="M20" i="80"/>
  <c r="N18" i="80"/>
  <c r="N20" i="80"/>
  <c r="S66" i="80"/>
  <c r="S13" i="80"/>
  <c r="S14" i="80"/>
  <c r="S15" i="80"/>
  <c r="S60" i="80"/>
  <c r="T66" i="80"/>
  <c r="T57" i="80"/>
  <c r="T68" i="80" s="1"/>
  <c r="C13" i="65"/>
  <c r="C14" i="65"/>
  <c r="C23" i="65" s="1"/>
  <c r="C32" i="65" s="1"/>
  <c r="C41" i="65" s="1"/>
  <c r="C15" i="65"/>
  <c r="C24" i="65" s="1"/>
  <c r="C33" i="65" s="1"/>
  <c r="C42" i="65" s="1"/>
  <c r="C16" i="65"/>
  <c r="C25" i="65" s="1"/>
  <c r="C34" i="65" s="1"/>
  <c r="C43" i="65" s="1"/>
  <c r="C22" i="65"/>
  <c r="C31" i="65" s="1"/>
  <c r="M14" i="56"/>
  <c r="V66" i="80"/>
  <c r="V57" i="80"/>
  <c r="V68" i="80" s="1"/>
  <c r="W66" i="80"/>
  <c r="W57" i="80"/>
  <c r="W68" i="80" s="1"/>
  <c r="N14" i="56"/>
  <c r="C14" i="56"/>
  <c r="D14" i="56"/>
  <c r="X66" i="80"/>
  <c r="X57" i="80"/>
  <c r="X68" i="80" s="1"/>
  <c r="Y66" i="80"/>
  <c r="Y57" i="80"/>
  <c r="Y68" i="80" s="1"/>
  <c r="E14" i="56"/>
  <c r="F14" i="56"/>
  <c r="G14" i="56"/>
  <c r="AA66" i="80"/>
  <c r="AA60" i="80"/>
  <c r="O13" i="80"/>
  <c r="O15" i="80"/>
  <c r="P13" i="80"/>
  <c r="P15" i="80"/>
  <c r="Q13" i="80"/>
  <c r="AB66" i="80"/>
  <c r="AB60" i="80"/>
  <c r="AC66" i="80"/>
  <c r="AC60" i="80"/>
  <c r="I14" i="56"/>
  <c r="J14" i="56"/>
  <c r="AD66" i="80"/>
  <c r="AD60" i="80"/>
  <c r="AE66" i="80"/>
  <c r="AE60" i="80"/>
  <c r="AF66" i="80"/>
  <c r="AF57" i="80"/>
  <c r="AF68" i="80" s="1"/>
  <c r="K14" i="56"/>
  <c r="N82" i="60"/>
  <c r="O82" i="60"/>
  <c r="G82" i="60"/>
  <c r="H82" i="60"/>
  <c r="J82" i="60"/>
  <c r="J81" i="60"/>
  <c r="L82" i="60"/>
  <c r="O66" i="60"/>
  <c r="AA66" i="60" s="1"/>
  <c r="M67" i="60"/>
  <c r="N67" i="60"/>
  <c r="O67" i="60"/>
  <c r="D67" i="60"/>
  <c r="P67" i="60" s="1"/>
  <c r="E67" i="60"/>
  <c r="Q67" i="60" s="1"/>
  <c r="F67" i="60"/>
  <c r="G67" i="60"/>
  <c r="H67" i="60"/>
  <c r="I67" i="60"/>
  <c r="U67" i="60" s="1"/>
  <c r="J67" i="60"/>
  <c r="K67" i="60"/>
  <c r="L67" i="60"/>
  <c r="M83" i="60"/>
  <c r="N83" i="60"/>
  <c r="O83" i="60"/>
  <c r="D83" i="60"/>
  <c r="E83" i="60"/>
  <c r="F83" i="60"/>
  <c r="G83" i="60"/>
  <c r="H83" i="60"/>
  <c r="I83" i="60"/>
  <c r="U83" i="60" s="1"/>
  <c r="J83" i="60"/>
  <c r="V83" i="60" s="1"/>
  <c r="K83" i="60"/>
  <c r="L83" i="60"/>
  <c r="O70" i="60"/>
  <c r="G70" i="60"/>
  <c r="S70" i="60" s="1"/>
  <c r="L70" i="60"/>
  <c r="C49" i="65"/>
  <c r="C50" i="65"/>
  <c r="C51" i="65"/>
  <c r="C59" i="65" s="1"/>
  <c r="E13" i="61"/>
  <c r="E21" i="61" s="1"/>
  <c r="E28" i="61" s="1"/>
  <c r="E31" i="61" s="1"/>
  <c r="E14" i="61"/>
  <c r="E15" i="61"/>
  <c r="E20" i="61"/>
  <c r="E27" i="61" s="1"/>
  <c r="E12" i="61"/>
  <c r="AD7" i="44"/>
  <c r="AD6" i="44"/>
  <c r="AD4" i="44"/>
  <c r="AD5" i="44"/>
  <c r="AD3" i="44"/>
  <c r="F39" i="44"/>
  <c r="F40" i="44"/>
  <c r="F42" i="44"/>
  <c r="P82" i="20"/>
  <c r="P73" i="20"/>
  <c r="P74" i="20"/>
  <c r="P57" i="20"/>
  <c r="P58" i="20"/>
  <c r="P59" i="20"/>
  <c r="P28" i="20"/>
  <c r="P29" i="20"/>
  <c r="P30" i="20"/>
  <c r="Q41" i="20"/>
  <c r="Q41" i="56" s="1"/>
  <c r="Q42" i="20"/>
  <c r="Q42" i="56" s="1"/>
  <c r="Q43" i="20"/>
  <c r="Q43" i="56" s="1"/>
  <c r="R70" i="20"/>
  <c r="R71" i="20"/>
  <c r="R72" i="20"/>
  <c r="Q15" i="20"/>
  <c r="Q16" i="20"/>
  <c r="R54" i="20"/>
  <c r="R55" i="20"/>
  <c r="R56" i="20"/>
  <c r="Q20" i="20"/>
  <c r="H19" i="80"/>
  <c r="I19" i="80"/>
  <c r="J19" i="80"/>
  <c r="K19" i="80"/>
  <c r="L19" i="80"/>
  <c r="M19" i="80"/>
  <c r="N19" i="80"/>
  <c r="H138" i="80"/>
  <c r="I138" i="80"/>
  <c r="O14" i="80"/>
  <c r="P14" i="80"/>
  <c r="Q14" i="80"/>
  <c r="G30" i="81"/>
  <c r="H30" i="81" s="1"/>
  <c r="I30" i="81" s="1"/>
  <c r="O13" i="55"/>
  <c r="O17" i="55" s="1"/>
  <c r="P15" i="55"/>
  <c r="P21" i="20"/>
  <c r="P22" i="20"/>
  <c r="P23" i="20"/>
  <c r="O20" i="55"/>
  <c r="O24" i="55" s="1"/>
  <c r="P23" i="55"/>
  <c r="P35" i="20"/>
  <c r="P36" i="20"/>
  <c r="P37" i="20"/>
  <c r="O27" i="55"/>
  <c r="O31" i="55" s="1"/>
  <c r="P30" i="55"/>
  <c r="G19" i="76" s="1"/>
  <c r="Q13" i="20"/>
  <c r="P43" i="20"/>
  <c r="AE129" i="80"/>
  <c r="AD129" i="80"/>
  <c r="AC129" i="80"/>
  <c r="AB129" i="80"/>
  <c r="AA129" i="80"/>
  <c r="CA20" i="80"/>
  <c r="BZ20" i="80"/>
  <c r="BY20" i="80"/>
  <c r="BX20" i="80"/>
  <c r="BW20" i="80"/>
  <c r="CA19" i="80"/>
  <c r="BZ19" i="80"/>
  <c r="BY19" i="80"/>
  <c r="BX19" i="80"/>
  <c r="BW19" i="80"/>
  <c r="CA18" i="80"/>
  <c r="BZ18" i="80"/>
  <c r="BY18" i="80"/>
  <c r="BX18" i="80"/>
  <c r="BW18" i="80"/>
  <c r="BV15" i="80"/>
  <c r="BV14" i="80"/>
  <c r="BV13" i="80"/>
  <c r="O16" i="76"/>
  <c r="O17" i="76"/>
  <c r="O18" i="76"/>
  <c r="O20" i="76"/>
  <c r="O19" i="76"/>
  <c r="O21" i="76"/>
  <c r="O22" i="76"/>
  <c r="O28" i="76"/>
  <c r="R56" i="56"/>
  <c r="R72" i="56"/>
  <c r="R81" i="56"/>
  <c r="O29" i="76"/>
  <c r="BT57" i="80"/>
  <c r="BT68" i="80" s="1"/>
  <c r="BU57" i="80"/>
  <c r="BU68" i="80" s="1"/>
  <c r="BQ57" i="80"/>
  <c r="BQ68" i="80" s="1"/>
  <c r="BR57" i="80"/>
  <c r="BR68" i="80" s="1"/>
  <c r="BS57" i="80"/>
  <c r="BS68" i="80" s="1"/>
  <c r="BN60" i="80"/>
  <c r="BO60" i="80"/>
  <c r="BP57" i="80"/>
  <c r="BP68" i="80" s="1"/>
  <c r="BK60" i="80"/>
  <c r="BL60" i="80"/>
  <c r="BM60" i="80"/>
  <c r="BH57" i="80"/>
  <c r="BH68" i="80" s="1"/>
  <c r="BI57" i="80"/>
  <c r="BI68" i="80" s="1"/>
  <c r="BE57" i="80"/>
  <c r="BE68" i="80" s="1"/>
  <c r="BF57" i="80"/>
  <c r="BF68" i="80" s="1"/>
  <c r="BG57" i="80"/>
  <c r="BG68" i="80" s="1"/>
  <c r="BB60" i="80"/>
  <c r="BC60" i="80"/>
  <c r="BD57" i="80"/>
  <c r="BD68" i="80" s="1"/>
  <c r="AY60" i="80"/>
  <c r="AZ60" i="80"/>
  <c r="BA60" i="80"/>
  <c r="AV57" i="80"/>
  <c r="AV68" i="80" s="1"/>
  <c r="AW57" i="80"/>
  <c r="AW68" i="80" s="1"/>
  <c r="AS66" i="80"/>
  <c r="AS57" i="80"/>
  <c r="AS68" i="80" s="1"/>
  <c r="AT57" i="80"/>
  <c r="AT68" i="80" s="1"/>
  <c r="AU57" i="80"/>
  <c r="AU68" i="80" s="1"/>
  <c r="AP60" i="80"/>
  <c r="AP66" i="80"/>
  <c r="AQ60" i="80"/>
  <c r="AQ66" i="80"/>
  <c r="AR66" i="80"/>
  <c r="AR57" i="80"/>
  <c r="AR68" i="80" s="1"/>
  <c r="AM60" i="80"/>
  <c r="AM66" i="80"/>
  <c r="AN60" i="80"/>
  <c r="AN66" i="80"/>
  <c r="AO60" i="80"/>
  <c r="AO66" i="80"/>
  <c r="AJ66" i="80"/>
  <c r="AJ57" i="80"/>
  <c r="AJ68" i="80" s="1"/>
  <c r="AK66" i="80"/>
  <c r="AK57" i="80"/>
  <c r="AK68" i="80" s="1"/>
  <c r="AG66" i="80"/>
  <c r="AG57" i="80"/>
  <c r="AG68" i="80" s="1"/>
  <c r="AH66" i="80"/>
  <c r="AH57" i="80"/>
  <c r="AH68" i="80" s="1"/>
  <c r="AI66" i="80"/>
  <c r="AI57" i="80"/>
  <c r="AI68" i="80" s="1"/>
  <c r="H57" i="80"/>
  <c r="H68" i="80" s="1"/>
  <c r="I57" i="80"/>
  <c r="I68" i="80" s="1"/>
  <c r="J57" i="80"/>
  <c r="J68" i="80" s="1"/>
  <c r="K57" i="80"/>
  <c r="K68" i="80" s="1"/>
  <c r="L57" i="80"/>
  <c r="L68" i="80" s="1"/>
  <c r="M57" i="80"/>
  <c r="M68" i="80" s="1"/>
  <c r="N57" i="80"/>
  <c r="N68" i="80" s="1"/>
  <c r="O57" i="80"/>
  <c r="O68" i="80" s="1"/>
  <c r="P57" i="80"/>
  <c r="P68" i="80" s="1"/>
  <c r="Q57" i="80"/>
  <c r="Q68" i="80" s="1"/>
  <c r="R57" i="80"/>
  <c r="R68" i="80" s="1"/>
  <c r="S57" i="80"/>
  <c r="S68" i="80" s="1"/>
  <c r="Z57" i="80"/>
  <c r="Z68" i="80" s="1"/>
  <c r="AA57" i="80"/>
  <c r="AA68" i="80" s="1"/>
  <c r="AB57" i="80"/>
  <c r="AB68" i="80" s="1"/>
  <c r="AC57" i="80"/>
  <c r="AC68" i="80" s="1"/>
  <c r="AD57" i="80"/>
  <c r="AD68" i="80" s="1"/>
  <c r="AE57" i="80"/>
  <c r="AE68" i="80" s="1"/>
  <c r="AL57" i="80"/>
  <c r="AL68" i="80" s="1"/>
  <c r="AM57" i="80"/>
  <c r="AM68" i="80" s="1"/>
  <c r="AN57" i="80"/>
  <c r="AN68" i="80" s="1"/>
  <c r="AO57" i="80"/>
  <c r="AO68" i="80" s="1"/>
  <c r="AP57" i="80"/>
  <c r="AP68" i="80" s="1"/>
  <c r="AQ57" i="80"/>
  <c r="AQ68" i="80" s="1"/>
  <c r="AX57" i="80"/>
  <c r="AX68" i="80" s="1"/>
  <c r="AY57" i="80"/>
  <c r="AY68" i="80" s="1"/>
  <c r="AZ57" i="80"/>
  <c r="AZ68" i="80" s="1"/>
  <c r="BA57" i="80"/>
  <c r="BA68" i="80" s="1"/>
  <c r="BB57" i="80"/>
  <c r="BB68" i="80" s="1"/>
  <c r="BC57" i="80"/>
  <c r="BC68" i="80" s="1"/>
  <c r="BJ57" i="80"/>
  <c r="BJ68" i="80" s="1"/>
  <c r="BK57" i="80"/>
  <c r="BK68" i="80" s="1"/>
  <c r="BL57" i="80"/>
  <c r="BL68" i="80" s="1"/>
  <c r="BM57" i="80"/>
  <c r="BM68" i="80" s="1"/>
  <c r="BN57" i="80"/>
  <c r="BN68" i="80" s="1"/>
  <c r="BO57" i="80"/>
  <c r="BO68" i="80" s="1"/>
  <c r="BV57" i="80"/>
  <c r="BV68" i="80" s="1"/>
  <c r="BW57" i="80"/>
  <c r="BW68" i="80" s="1"/>
  <c r="BX57" i="80"/>
  <c r="BX68" i="80" s="1"/>
  <c r="BY57" i="80"/>
  <c r="BY68" i="80" s="1"/>
  <c r="BZ57" i="80"/>
  <c r="BZ68" i="80" s="1"/>
  <c r="CA57" i="80"/>
  <c r="CA68" i="80" s="1"/>
  <c r="H58" i="80"/>
  <c r="I58" i="80"/>
  <c r="J58" i="80"/>
  <c r="K58" i="80"/>
  <c r="L58" i="80"/>
  <c r="M58" i="80"/>
  <c r="N58" i="80"/>
  <c r="O58" i="80"/>
  <c r="P58" i="80"/>
  <c r="Q58" i="80"/>
  <c r="R58" i="80"/>
  <c r="S58" i="80"/>
  <c r="T58" i="80"/>
  <c r="V58" i="80"/>
  <c r="W58" i="80"/>
  <c r="X58" i="80"/>
  <c r="Y58" i="80"/>
  <c r="Z58" i="80"/>
  <c r="AA58" i="80"/>
  <c r="AB58" i="80"/>
  <c r="AC58" i="80"/>
  <c r="AD58" i="80"/>
  <c r="AE58" i="80"/>
  <c r="AF58" i="80"/>
  <c r="AG58" i="80"/>
  <c r="AH58" i="80"/>
  <c r="AI58" i="80"/>
  <c r="AJ58" i="80"/>
  <c r="AK58" i="80"/>
  <c r="AL58" i="80"/>
  <c r="AM58" i="80"/>
  <c r="AN58" i="80"/>
  <c r="AO58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BB58" i="80"/>
  <c r="BC58" i="80"/>
  <c r="BD58" i="80"/>
  <c r="BE58" i="80"/>
  <c r="BF58" i="80"/>
  <c r="BG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X58" i="80"/>
  <c r="H59" i="80"/>
  <c r="I59" i="80"/>
  <c r="J59" i="80"/>
  <c r="K59" i="80"/>
  <c r="L59" i="80"/>
  <c r="M59" i="80"/>
  <c r="N59" i="80"/>
  <c r="T59" i="80"/>
  <c r="V59" i="80"/>
  <c r="W59" i="80"/>
  <c r="X59" i="80"/>
  <c r="Y59" i="80"/>
  <c r="Z59" i="80"/>
  <c r="AF59" i="80"/>
  <c r="AG59" i="80"/>
  <c r="AH59" i="80"/>
  <c r="AI59" i="80"/>
  <c r="AJ59" i="80"/>
  <c r="AK59" i="80"/>
  <c r="AL59" i="80"/>
  <c r="AR59" i="80"/>
  <c r="AS59" i="80"/>
  <c r="AT59" i="80"/>
  <c r="AU59" i="80"/>
  <c r="AV59" i="80"/>
  <c r="AW59" i="80"/>
  <c r="AX59" i="80"/>
  <c r="BD59" i="80"/>
  <c r="BE59" i="80"/>
  <c r="BF59" i="80"/>
  <c r="BG59" i="80"/>
  <c r="BH59" i="80"/>
  <c r="BI59" i="80"/>
  <c r="BJ59" i="80"/>
  <c r="BP59" i="80"/>
  <c r="BQ59" i="80"/>
  <c r="BR59" i="80"/>
  <c r="BS59" i="80"/>
  <c r="BT59" i="80"/>
  <c r="BU59" i="80"/>
  <c r="O60" i="80"/>
  <c r="P60" i="80"/>
  <c r="Q60" i="80"/>
  <c r="H66" i="80"/>
  <c r="I66" i="80"/>
  <c r="J66" i="80"/>
  <c r="K66" i="80"/>
  <c r="L66" i="80"/>
  <c r="M66" i="80"/>
  <c r="N66" i="80"/>
  <c r="O66" i="80"/>
  <c r="P66" i="80"/>
  <c r="Q66" i="80"/>
  <c r="Z66" i="80"/>
  <c r="AL66" i="80"/>
  <c r="R26" i="60"/>
  <c r="O13" i="56"/>
  <c r="O17" i="56" s="1"/>
  <c r="C75" i="20"/>
  <c r="D75" i="20"/>
  <c r="E75" i="20"/>
  <c r="F75" i="20"/>
  <c r="G75" i="20"/>
  <c r="H75" i="20"/>
  <c r="I75" i="20"/>
  <c r="J75" i="20"/>
  <c r="K75" i="20"/>
  <c r="L75" i="20"/>
  <c r="M75" i="20"/>
  <c r="N75" i="20"/>
  <c r="C48" i="60"/>
  <c r="C56" i="60" s="1"/>
  <c r="C49" i="60"/>
  <c r="C57" i="60" s="1"/>
  <c r="C50" i="60"/>
  <c r="C58" i="60" s="1"/>
  <c r="C13" i="60"/>
  <c r="C22" i="60" s="1"/>
  <c r="C31" i="60" s="1"/>
  <c r="C40" i="60" s="1"/>
  <c r="C14" i="60"/>
  <c r="C23" i="60" s="1"/>
  <c r="C32" i="60" s="1"/>
  <c r="C41" i="60" s="1"/>
  <c r="C15" i="60"/>
  <c r="C24" i="60" s="1"/>
  <c r="C33" i="60" s="1"/>
  <c r="C42" i="60" s="1"/>
  <c r="C21" i="60"/>
  <c r="C30" i="60" s="1"/>
  <c r="C39" i="60" s="1"/>
  <c r="C12" i="60"/>
  <c r="AC7" i="44"/>
  <c r="AC6" i="44"/>
  <c r="AC5" i="44"/>
  <c r="AC4" i="44"/>
  <c r="AC3" i="44"/>
  <c r="C31" i="20"/>
  <c r="D31" i="20"/>
  <c r="E31" i="20"/>
  <c r="F31" i="20"/>
  <c r="G31" i="20"/>
  <c r="H31" i="20"/>
  <c r="I31" i="20"/>
  <c r="J31" i="20"/>
  <c r="K31" i="20"/>
  <c r="L31" i="20"/>
  <c r="M31" i="20"/>
  <c r="N31" i="20"/>
  <c r="C44" i="20"/>
  <c r="D44" i="20"/>
  <c r="E44" i="20"/>
  <c r="F44" i="20"/>
  <c r="G44" i="20"/>
  <c r="J44" i="20"/>
  <c r="K44" i="20"/>
  <c r="L44" i="20"/>
  <c r="M44" i="20"/>
  <c r="N44" i="20"/>
  <c r="C84" i="20"/>
  <c r="D84" i="20"/>
  <c r="E84" i="20"/>
  <c r="F84" i="20"/>
  <c r="G84" i="20"/>
  <c r="H84" i="20"/>
  <c r="I84" i="20"/>
  <c r="J84" i="20"/>
  <c r="K84" i="20"/>
  <c r="L84" i="20"/>
  <c r="M84" i="20"/>
  <c r="N84" i="20"/>
  <c r="R201" i="55"/>
  <c r="T201" i="55" s="1"/>
  <c r="T204" i="55"/>
  <c r="R205" i="55"/>
  <c r="R207" i="55" s="1"/>
  <c r="Q26" i="60"/>
  <c r="D60" i="60"/>
  <c r="E60" i="60"/>
  <c r="F60" i="60"/>
  <c r="H60" i="60"/>
  <c r="K60" i="60"/>
  <c r="N60" i="60"/>
  <c r="Q60" i="60"/>
  <c r="N1" i="44"/>
  <c r="A52" i="44"/>
  <c r="A53" i="44" s="1"/>
  <c r="A54" i="44" s="1"/>
  <c r="A55" i="44" s="1"/>
  <c r="A56" i="44" s="1"/>
  <c r="A57" i="44" s="1"/>
  <c r="AD14" i="44"/>
  <c r="AD15" i="44"/>
  <c r="AD16" i="44"/>
  <c r="AD17" i="44"/>
  <c r="AF17" i="44"/>
  <c r="AD22" i="44"/>
  <c r="AK22" i="44" s="1"/>
  <c r="AD23" i="44"/>
  <c r="AK23" i="44" s="1"/>
  <c r="AD24" i="44"/>
  <c r="AK24" i="44" s="1"/>
  <c r="AD28" i="44"/>
  <c r="AK28" i="44" s="1"/>
  <c r="AD29" i="44"/>
  <c r="AK29" i="44" s="1"/>
  <c r="N17" i="44"/>
  <c r="O17" i="44"/>
  <c r="O18" i="44"/>
  <c r="O19" i="44"/>
  <c r="N20" i="44"/>
  <c r="O20" i="44"/>
  <c r="O21" i="44"/>
  <c r="O22" i="44"/>
  <c r="O65" i="60"/>
  <c r="E82" i="60"/>
  <c r="Q82" i="60" s="1"/>
  <c r="E66" i="60"/>
  <c r="BW58" i="80"/>
  <c r="M44" i="56"/>
  <c r="K70" i="60"/>
  <c r="J31" i="60"/>
  <c r="E68" i="60"/>
  <c r="M85" i="60"/>
  <c r="G66" i="60"/>
  <c r="L32" i="60"/>
  <c r="K82" i="60"/>
  <c r="I82" i="60"/>
  <c r="M82" i="60"/>
  <c r="I66" i="60"/>
  <c r="O32" i="60"/>
  <c r="M66" i="60"/>
  <c r="H66" i="60"/>
  <c r="J49" i="60"/>
  <c r="F82" i="60"/>
  <c r="F81" i="60"/>
  <c r="H15" i="56"/>
  <c r="I14" i="60" s="1"/>
  <c r="U14" i="60" s="1"/>
  <c r="AG14" i="60" s="1"/>
  <c r="P15" i="20"/>
  <c r="I44" i="20"/>
  <c r="O93" i="60"/>
  <c r="F70" i="60"/>
  <c r="H84" i="60"/>
  <c r="T84" i="60" s="1"/>
  <c r="N32" i="60"/>
  <c r="BY58" i="80"/>
  <c r="O60" i="60"/>
  <c r="M31" i="60"/>
  <c r="D70" i="60"/>
  <c r="I31" i="60"/>
  <c r="O33" i="60"/>
  <c r="Q15" i="80"/>
  <c r="P26" i="60"/>
  <c r="M93" i="60"/>
  <c r="C79" i="56"/>
  <c r="D82" i="60"/>
  <c r="F66" i="60"/>
  <c r="D84" i="56"/>
  <c r="K66" i="60"/>
  <c r="N31" i="60"/>
  <c r="E81" i="60"/>
  <c r="J85" i="60"/>
  <c r="J70" i="60"/>
  <c r="F33" i="60"/>
  <c r="M81" i="60"/>
  <c r="P42" i="20"/>
  <c r="H44" i="20"/>
  <c r="L66" i="60"/>
  <c r="X66" i="60" s="1"/>
  <c r="M33" i="60"/>
  <c r="Y33" i="60" s="1"/>
  <c r="K32" i="60"/>
  <c r="W32" i="60" s="1"/>
  <c r="I70" i="60"/>
  <c r="CA58" i="80"/>
  <c r="BZ58" i="80"/>
  <c r="L31" i="60"/>
  <c r="X31" i="60" s="1"/>
  <c r="AJ31" i="60" s="1"/>
  <c r="N84" i="60"/>
  <c r="N93" i="60"/>
  <c r="N95" i="60" s="1"/>
  <c r="G37" i="78" s="1"/>
  <c r="F68" i="60"/>
  <c r="O81" i="60"/>
  <c r="AA81" i="60" s="1"/>
  <c r="H31" i="60"/>
  <c r="J68" i="60"/>
  <c r="N66" i="60"/>
  <c r="N84" i="56"/>
  <c r="F84" i="60"/>
  <c r="G84" i="60"/>
  <c r="S84" i="60" s="1"/>
  <c r="E32" i="60"/>
  <c r="H81" i="60"/>
  <c r="G81" i="60"/>
  <c r="H93" i="60"/>
  <c r="D31" i="60"/>
  <c r="E69" i="60"/>
  <c r="L93" i="60"/>
  <c r="J93" i="60"/>
  <c r="K85" i="60"/>
  <c r="D84" i="60"/>
  <c r="G69" i="60"/>
  <c r="S69" i="60" s="1"/>
  <c r="J66" i="60"/>
  <c r="G68" i="60"/>
  <c r="I85" i="60"/>
  <c r="D93" i="60"/>
  <c r="M68" i="60"/>
  <c r="J65" i="60"/>
  <c r="M32" i="60"/>
  <c r="J32" i="60"/>
  <c r="O69" i="60"/>
  <c r="AA69" i="60" s="1"/>
  <c r="K69" i="60"/>
  <c r="E84" i="60"/>
  <c r="Q84" i="60" s="1"/>
  <c r="N81" i="60"/>
  <c r="L68" i="60"/>
  <c r="H69" i="60"/>
  <c r="L84" i="60"/>
  <c r="I68" i="60"/>
  <c r="G85" i="60"/>
  <c r="J69" i="60"/>
  <c r="N69" i="60"/>
  <c r="Z69" i="60" s="1"/>
  <c r="H32" i="60"/>
  <c r="F50" i="56"/>
  <c r="J84" i="56"/>
  <c r="K50" i="56"/>
  <c r="I65" i="60"/>
  <c r="K84" i="56"/>
  <c r="F32" i="60"/>
  <c r="K65" i="60"/>
  <c r="F85" i="60"/>
  <c r="G31" i="60"/>
  <c r="F69" i="60"/>
  <c r="G32" i="60"/>
  <c r="D69" i="60"/>
  <c r="T207" i="55" l="1"/>
  <c r="F71" i="60"/>
  <c r="G71" i="60"/>
  <c r="J71" i="60"/>
  <c r="I46" i="80"/>
  <c r="J46" i="80" s="1"/>
  <c r="K46" i="80" s="1"/>
  <c r="L46" i="80" s="1"/>
  <c r="M46" i="80" s="1"/>
  <c r="N46" i="80" s="1"/>
  <c r="O46" i="80" s="1"/>
  <c r="P46" i="80" s="1"/>
  <c r="Q46" i="80" s="1"/>
  <c r="R46" i="80" s="1"/>
  <c r="I47" i="80"/>
  <c r="U68" i="60"/>
  <c r="P60" i="20"/>
  <c r="S68" i="60"/>
  <c r="S71" i="60" s="1"/>
  <c r="AV66" i="80"/>
  <c r="AU66" i="80"/>
  <c r="AT66" i="80"/>
  <c r="AY66" i="80"/>
  <c r="I41" i="80"/>
  <c r="J41" i="80" s="1"/>
  <c r="K41" i="80" s="1"/>
  <c r="L41" i="80" s="1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AM41" i="80" s="1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AX41" i="80" s="1"/>
  <c r="AY41" i="80" s="1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BW41" i="80" s="1"/>
  <c r="BX41" i="80" s="1"/>
  <c r="BY41" i="80" s="1"/>
  <c r="BZ41" i="80" s="1"/>
  <c r="CA41" i="80" s="1"/>
  <c r="CB41" i="80" s="1"/>
  <c r="CC41" i="80" s="1"/>
  <c r="CD41" i="80" s="1"/>
  <c r="AX66" i="80"/>
  <c r="AW66" i="80"/>
  <c r="B145" i="80"/>
  <c r="I42" i="80"/>
  <c r="B147" i="80"/>
  <c r="B143" i="80"/>
  <c r="S17" i="60"/>
  <c r="AZ36" i="80"/>
  <c r="AZ47" i="80" s="1"/>
  <c r="AY42" i="80"/>
  <c r="AY70" i="80" s="1"/>
  <c r="BV16" i="80"/>
  <c r="BV59" i="80" s="1"/>
  <c r="BY21" i="80"/>
  <c r="BY60" i="80" s="1"/>
  <c r="BZ21" i="80"/>
  <c r="BZ60" i="80" s="1"/>
  <c r="BW21" i="80"/>
  <c r="BW60" i="80" s="1"/>
  <c r="CA21" i="80"/>
  <c r="CA60" i="80" s="1"/>
  <c r="BX21" i="80"/>
  <c r="BX60" i="80" s="1"/>
  <c r="C57" i="65"/>
  <c r="E46" i="61"/>
  <c r="C58" i="65"/>
  <c r="E47" i="61"/>
  <c r="F70" i="115"/>
  <c r="F70" i="65"/>
  <c r="E70" i="115"/>
  <c r="E70" i="65"/>
  <c r="F82" i="115"/>
  <c r="F82" i="65"/>
  <c r="O32" i="115"/>
  <c r="O32" i="65"/>
  <c r="D34" i="115"/>
  <c r="D34" i="65"/>
  <c r="AS14" i="60"/>
  <c r="BE14" i="60" s="1"/>
  <c r="BQ14" i="60" s="1"/>
  <c r="CC14" i="60" s="1"/>
  <c r="L15" i="115"/>
  <c r="L15" i="65"/>
  <c r="F67" i="115"/>
  <c r="F67" i="65"/>
  <c r="I35" i="60"/>
  <c r="I44" i="60" s="1"/>
  <c r="BJ10" i="113"/>
  <c r="BJ8" i="60"/>
  <c r="BB4" i="80" s="1"/>
  <c r="U22" i="76"/>
  <c r="B125" i="82"/>
  <c r="J124" i="82"/>
  <c r="E35" i="60"/>
  <c r="F8" i="64"/>
  <c r="E8" i="64"/>
  <c r="CA46" i="113"/>
  <c r="E15" i="56"/>
  <c r="J15" i="56"/>
  <c r="I15" i="56"/>
  <c r="D15" i="56"/>
  <c r="N15" i="56"/>
  <c r="K15" i="56"/>
  <c r="G15" i="56"/>
  <c r="H14" i="60" s="1"/>
  <c r="T14" i="60" s="1"/>
  <c r="AF14" i="60" s="1"/>
  <c r="M15" i="56"/>
  <c r="L15" i="56"/>
  <c r="M14" i="60" s="1"/>
  <c r="Y14" i="60" s="1"/>
  <c r="P84" i="20"/>
  <c r="R57" i="20"/>
  <c r="E32" i="76"/>
  <c r="E32" i="91" s="1"/>
  <c r="Q13" i="55"/>
  <c r="R13" i="55" s="1"/>
  <c r="G19" i="91"/>
  <c r="Q22" i="20"/>
  <c r="R22" i="20" s="1"/>
  <c r="Q15" i="55"/>
  <c r="Q27" i="20"/>
  <c r="Q34" i="20" s="1"/>
  <c r="Q20" i="55"/>
  <c r="Q23" i="20"/>
  <c r="Q16" i="55"/>
  <c r="R16" i="55" s="1"/>
  <c r="Q49" i="20"/>
  <c r="Q47" i="20"/>
  <c r="Q48" i="20"/>
  <c r="S52" i="60"/>
  <c r="R35" i="60"/>
  <c r="Q35" i="60"/>
  <c r="P60" i="60"/>
  <c r="N35" i="60"/>
  <c r="P35" i="60"/>
  <c r="K35" i="60"/>
  <c r="L60" i="60"/>
  <c r="J35" i="60"/>
  <c r="H35" i="60"/>
  <c r="F35" i="60"/>
  <c r="D35" i="60"/>
  <c r="AY59" i="80"/>
  <c r="AF60" i="80"/>
  <c r="AB59" i="80"/>
  <c r="Y60" i="80"/>
  <c r="AP59" i="80"/>
  <c r="AN59" i="80"/>
  <c r="BM59" i="80"/>
  <c r="Q16" i="80"/>
  <c r="Q59" i="80" s="1"/>
  <c r="BV60" i="80"/>
  <c r="BT60" i="80"/>
  <c r="BO59" i="80"/>
  <c r="BI60" i="80"/>
  <c r="AX60" i="80"/>
  <c r="AV60" i="80"/>
  <c r="AE59" i="80"/>
  <c r="BN59" i="80"/>
  <c r="BW59" i="80"/>
  <c r="BU60" i="80"/>
  <c r="BL59" i="80"/>
  <c r="BH60" i="80"/>
  <c r="AW60" i="80"/>
  <c r="AC59" i="80"/>
  <c r="L21" i="80"/>
  <c r="L60" i="80" s="1"/>
  <c r="J21" i="80"/>
  <c r="J60" i="80" s="1"/>
  <c r="M21" i="80"/>
  <c r="M60" i="80" s="1"/>
  <c r="K21" i="80"/>
  <c r="K60" i="80" s="1"/>
  <c r="H140" i="80"/>
  <c r="BS60" i="80"/>
  <c r="BQ60" i="80"/>
  <c r="BF60" i="80"/>
  <c r="BD60" i="80"/>
  <c r="AU60" i="80"/>
  <c r="AS60" i="80"/>
  <c r="AK60" i="80"/>
  <c r="AI60" i="80"/>
  <c r="AG60" i="80"/>
  <c r="N21" i="80"/>
  <c r="N60" i="80" s="1"/>
  <c r="Z60" i="80"/>
  <c r="W60" i="80"/>
  <c r="I21" i="80"/>
  <c r="I60" i="80" s="1"/>
  <c r="H21" i="80"/>
  <c r="H60" i="80" s="1"/>
  <c r="BJ60" i="80"/>
  <c r="CA59" i="80"/>
  <c r="BR60" i="80"/>
  <c r="BP60" i="80"/>
  <c r="BG60" i="80"/>
  <c r="BE60" i="80"/>
  <c r="BC59" i="80"/>
  <c r="AZ59" i="80"/>
  <c r="AT60" i="80"/>
  <c r="AR60" i="80"/>
  <c r="AL60" i="80"/>
  <c r="AJ60" i="80"/>
  <c r="AH60" i="80"/>
  <c r="BZ59" i="80"/>
  <c r="X60" i="80"/>
  <c r="V60" i="80"/>
  <c r="T60" i="80"/>
  <c r="I140" i="80"/>
  <c r="BX59" i="80"/>
  <c r="BK59" i="80"/>
  <c r="AQ59" i="80"/>
  <c r="AO59" i="80"/>
  <c r="AM59" i="80"/>
  <c r="AD59" i="80"/>
  <c r="AA59" i="80"/>
  <c r="S16" i="80"/>
  <c r="S59" i="80" s="1"/>
  <c r="O16" i="80"/>
  <c r="O59" i="80" s="1"/>
  <c r="P16" i="80"/>
  <c r="P59" i="80" s="1"/>
  <c r="R16" i="80"/>
  <c r="R59" i="80" s="1"/>
  <c r="F29" i="76"/>
  <c r="E18" i="76"/>
  <c r="H67" i="82"/>
  <c r="G459" i="82"/>
  <c r="G461" i="82" s="1"/>
  <c r="BV58" i="80"/>
  <c r="BY59" i="80"/>
  <c r="BB59" i="80"/>
  <c r="BA59" i="80"/>
  <c r="P44" i="20"/>
  <c r="F68" i="82"/>
  <c r="E68" i="82"/>
  <c r="W33" i="60"/>
  <c r="AI33" i="60" s="1"/>
  <c r="F459" i="82"/>
  <c r="F461" i="82" s="1"/>
  <c r="D68" i="82"/>
  <c r="J60" i="60"/>
  <c r="I60" i="60"/>
  <c r="Q83" i="60"/>
  <c r="R60" i="60"/>
  <c r="T69" i="60"/>
  <c r="AF69" i="60" s="1"/>
  <c r="Z83" i="60"/>
  <c r="Y83" i="60"/>
  <c r="I44" i="56"/>
  <c r="E75" i="56"/>
  <c r="Q69" i="60"/>
  <c r="AC69" i="60" s="1"/>
  <c r="R59" i="20"/>
  <c r="E36" i="76"/>
  <c r="P75" i="20"/>
  <c r="Y68" i="60"/>
  <c r="Y93" i="60"/>
  <c r="X82" i="60"/>
  <c r="AJ82" i="60" s="1"/>
  <c r="D44" i="56"/>
  <c r="E50" i="56"/>
  <c r="D75" i="56"/>
  <c r="E65" i="60"/>
  <c r="Q65" i="60" s="1"/>
  <c r="AC65" i="60" s="1"/>
  <c r="I84" i="56"/>
  <c r="T81" i="60"/>
  <c r="F75" i="56"/>
  <c r="G50" i="56"/>
  <c r="N65" i="60"/>
  <c r="Z65" i="60" s="1"/>
  <c r="W66" i="60"/>
  <c r="AI66" i="60" s="1"/>
  <c r="L50" i="56"/>
  <c r="L44" i="56"/>
  <c r="H50" i="56"/>
  <c r="M84" i="56"/>
  <c r="Z84" i="60"/>
  <c r="J51" i="60"/>
  <c r="J53" i="60" s="1"/>
  <c r="E85" i="60"/>
  <c r="E86" i="60" s="1"/>
  <c r="E44" i="56"/>
  <c r="W65" i="60"/>
  <c r="C84" i="56"/>
  <c r="AE70" i="60"/>
  <c r="R71" i="56"/>
  <c r="V49" i="60"/>
  <c r="AH49" i="60" s="1"/>
  <c r="K31" i="56"/>
  <c r="E31" i="56"/>
  <c r="R70" i="60"/>
  <c r="AD70" i="60" s="1"/>
  <c r="L49" i="60"/>
  <c r="L51" i="60" s="1"/>
  <c r="L53" i="60" s="1"/>
  <c r="G44" i="56"/>
  <c r="Z31" i="60"/>
  <c r="P58" i="56"/>
  <c r="S85" i="60"/>
  <c r="S86" i="60" s="1"/>
  <c r="R80" i="56"/>
  <c r="X50" i="60"/>
  <c r="AJ50" i="60" s="1"/>
  <c r="I49" i="60"/>
  <c r="I51" i="60" s="1"/>
  <c r="H44" i="56"/>
  <c r="I38" i="56"/>
  <c r="I86" i="113" s="1"/>
  <c r="K24" i="56"/>
  <c r="E93" i="60"/>
  <c r="D50" i="56"/>
  <c r="F31" i="60"/>
  <c r="J50" i="56"/>
  <c r="O68" i="60"/>
  <c r="O71" i="60" s="1"/>
  <c r="M50" i="56"/>
  <c r="AC50" i="60"/>
  <c r="O47" i="56"/>
  <c r="N50" i="56"/>
  <c r="AA32" i="60"/>
  <c r="N44" i="56"/>
  <c r="F84" i="56"/>
  <c r="G93" i="60"/>
  <c r="O78" i="56"/>
  <c r="D50" i="60"/>
  <c r="D51" i="60" s="1"/>
  <c r="P43" i="56"/>
  <c r="K68" i="60"/>
  <c r="K71" i="60" s="1"/>
  <c r="C50" i="56"/>
  <c r="P48" i="56"/>
  <c r="I93" i="60"/>
  <c r="H84" i="56"/>
  <c r="V68" i="60"/>
  <c r="O41" i="56"/>
  <c r="V85" i="60"/>
  <c r="J84" i="60"/>
  <c r="V84" i="60" s="1"/>
  <c r="I75" i="56"/>
  <c r="P49" i="56"/>
  <c r="Q68" i="60"/>
  <c r="G50" i="60"/>
  <c r="F44" i="56"/>
  <c r="J38" i="56"/>
  <c r="P29" i="56"/>
  <c r="T23" i="76" s="1"/>
  <c r="V32" i="60"/>
  <c r="AH32" i="60" s="1"/>
  <c r="G84" i="56"/>
  <c r="F24" i="56"/>
  <c r="N31" i="56"/>
  <c r="O31" i="60"/>
  <c r="AA31" i="60" s="1"/>
  <c r="Z66" i="60"/>
  <c r="R68" i="60"/>
  <c r="M75" i="56"/>
  <c r="N85" i="60"/>
  <c r="I50" i="56"/>
  <c r="D68" i="60"/>
  <c r="D71" i="60" s="1"/>
  <c r="R66" i="60"/>
  <c r="AD66" i="60" s="1"/>
  <c r="P42" i="56"/>
  <c r="J44" i="56"/>
  <c r="U50" i="60"/>
  <c r="N34" i="60"/>
  <c r="N113" i="60" s="1"/>
  <c r="V33" i="60"/>
  <c r="AH33" i="60" s="1"/>
  <c r="Q81" i="60"/>
  <c r="K81" i="60"/>
  <c r="Y32" i="60"/>
  <c r="L69" i="60"/>
  <c r="L71" i="60" s="1"/>
  <c r="O85" i="60"/>
  <c r="F38" i="56"/>
  <c r="R85" i="60"/>
  <c r="AD85" i="60" s="1"/>
  <c r="N68" i="60"/>
  <c r="M31" i="56"/>
  <c r="C54" i="56"/>
  <c r="R83" i="56"/>
  <c r="N70" i="60"/>
  <c r="AC84" i="60"/>
  <c r="G31" i="56"/>
  <c r="I31" i="56"/>
  <c r="I69" i="60"/>
  <c r="I71" i="60" s="1"/>
  <c r="N38" i="56"/>
  <c r="U66" i="60"/>
  <c r="W70" i="60"/>
  <c r="AA65" i="60"/>
  <c r="X70" i="60"/>
  <c r="M70" i="60"/>
  <c r="Y70" i="60" s="1"/>
  <c r="M38" i="56"/>
  <c r="AJ66" i="60"/>
  <c r="H31" i="56"/>
  <c r="I32" i="60"/>
  <c r="I34" i="60" s="1"/>
  <c r="I113" i="60" s="1"/>
  <c r="Z82" i="60"/>
  <c r="AE69" i="60"/>
  <c r="L81" i="60"/>
  <c r="X81" i="60" s="1"/>
  <c r="V65" i="60"/>
  <c r="U85" i="60"/>
  <c r="AG85" i="60" s="1"/>
  <c r="G24" i="56"/>
  <c r="K93" i="60"/>
  <c r="W93" i="60" s="1"/>
  <c r="L84" i="56"/>
  <c r="E38" i="56"/>
  <c r="L31" i="56"/>
  <c r="M65" i="60"/>
  <c r="T31" i="60"/>
  <c r="I24" i="56"/>
  <c r="P28" i="56"/>
  <c r="S23" i="76" s="1"/>
  <c r="D66" i="60"/>
  <c r="R55" i="56"/>
  <c r="L33" i="60"/>
  <c r="L34" i="60" s="1"/>
  <c r="L113" i="60" s="1"/>
  <c r="P36" i="56"/>
  <c r="O84" i="60"/>
  <c r="AA84" i="60" s="1"/>
  <c r="N75" i="56"/>
  <c r="X32" i="60"/>
  <c r="H70" i="60"/>
  <c r="T70" i="60" s="1"/>
  <c r="C31" i="56"/>
  <c r="D32" i="60"/>
  <c r="P32" i="60" s="1"/>
  <c r="P57" i="56"/>
  <c r="L38" i="56"/>
  <c r="J34" i="60"/>
  <c r="J113" i="60" s="1"/>
  <c r="S31" i="60"/>
  <c r="AE31" i="60" s="1"/>
  <c r="O95" i="60"/>
  <c r="H37" i="78" s="1"/>
  <c r="V69" i="60"/>
  <c r="R81" i="60"/>
  <c r="W67" i="60"/>
  <c r="S67" i="60"/>
  <c r="AM66" i="60"/>
  <c r="W85" i="60"/>
  <c r="W69" i="60"/>
  <c r="AF84" i="60"/>
  <c r="AK33" i="60"/>
  <c r="AA93" i="60"/>
  <c r="M95" i="60"/>
  <c r="F37" i="78" s="1"/>
  <c r="D95" i="60"/>
  <c r="P93" i="60"/>
  <c r="X84" i="60"/>
  <c r="AJ84" i="60" s="1"/>
  <c r="Y81" i="60"/>
  <c r="AE84" i="60"/>
  <c r="Y85" i="60"/>
  <c r="Y82" i="60"/>
  <c r="R82" i="60"/>
  <c r="Z81" i="60"/>
  <c r="R83" i="60"/>
  <c r="AD83" i="60" s="1"/>
  <c r="V82" i="60"/>
  <c r="G86" i="60"/>
  <c r="F86" i="60"/>
  <c r="R84" i="60"/>
  <c r="AD84" i="60" s="1"/>
  <c r="R74" i="20"/>
  <c r="E37" i="76"/>
  <c r="R73" i="20"/>
  <c r="AG67" i="60"/>
  <c r="V66" i="60"/>
  <c r="T66" i="60"/>
  <c r="R58" i="20"/>
  <c r="E22" i="61"/>
  <c r="E29" i="61" s="1"/>
  <c r="E32" i="61" s="1"/>
  <c r="E23" i="61"/>
  <c r="E30" i="61" s="1"/>
  <c r="E33" i="61" s="1"/>
  <c r="R42" i="20"/>
  <c r="C40" i="65"/>
  <c r="F15" i="61"/>
  <c r="U70" i="60"/>
  <c r="Q32" i="60"/>
  <c r="P83" i="60"/>
  <c r="F15" i="56"/>
  <c r="G14" i="60" s="1"/>
  <c r="S14" i="60" s="1"/>
  <c r="AE14" i="60" s="1"/>
  <c r="O51" i="60"/>
  <c r="O53" i="60" s="1"/>
  <c r="AA50" i="60"/>
  <c r="Q33" i="60"/>
  <c r="H16" i="56"/>
  <c r="I15" i="60" s="1"/>
  <c r="U15" i="60" s="1"/>
  <c r="AG15" i="60" s="1"/>
  <c r="H17" i="20"/>
  <c r="H32" i="113" s="1"/>
  <c r="P16" i="20"/>
  <c r="P17" i="20" s="1"/>
  <c r="P84" i="60"/>
  <c r="AM69" i="60"/>
  <c r="AL69" i="60"/>
  <c r="X93" i="60"/>
  <c r="L95" i="60"/>
  <c r="E37" i="78" s="1"/>
  <c r="T83" i="60"/>
  <c r="R67" i="60"/>
  <c r="AD67" i="60" s="1"/>
  <c r="U33" i="60"/>
  <c r="P69" i="60"/>
  <c r="P31" i="60"/>
  <c r="P38" i="20"/>
  <c r="V35" i="20" s="1"/>
  <c r="S83" i="60"/>
  <c r="Z67" i="60"/>
  <c r="AA82" i="60"/>
  <c r="Q21" i="20"/>
  <c r="R14" i="20"/>
  <c r="AA83" i="60"/>
  <c r="T67" i="60"/>
  <c r="AV31" i="60"/>
  <c r="AM81" i="60"/>
  <c r="V70" i="60"/>
  <c r="X68" i="60"/>
  <c r="S81" i="60"/>
  <c r="U31" i="60"/>
  <c r="P82" i="60"/>
  <c r="AB82" i="60" s="1"/>
  <c r="AA33" i="60"/>
  <c r="V81" i="60"/>
  <c r="AC82" i="60"/>
  <c r="E31" i="76"/>
  <c r="E38" i="76"/>
  <c r="AH83" i="60"/>
  <c r="V50" i="60"/>
  <c r="R50" i="60"/>
  <c r="P70" i="60"/>
  <c r="AB70" i="60" s="1"/>
  <c r="E51" i="60"/>
  <c r="E53" i="60" s="1"/>
  <c r="AG83" i="60"/>
  <c r="S82" i="60"/>
  <c r="R43" i="20"/>
  <c r="X83" i="60"/>
  <c r="T50" i="60"/>
  <c r="H51" i="60"/>
  <c r="Y50" i="60"/>
  <c r="R15" i="20"/>
  <c r="H95" i="60"/>
  <c r="T93" i="60"/>
  <c r="U65" i="60"/>
  <c r="R69" i="60"/>
  <c r="J95" i="60"/>
  <c r="C37" i="78" s="1"/>
  <c r="V93" i="60"/>
  <c r="V67" i="60"/>
  <c r="AF49" i="60"/>
  <c r="U82" i="60"/>
  <c r="Q66" i="60"/>
  <c r="AA70" i="60"/>
  <c r="AB67" i="60"/>
  <c r="Y67" i="60"/>
  <c r="W50" i="60"/>
  <c r="Q49" i="60"/>
  <c r="P49" i="60"/>
  <c r="AB49" i="60" s="1"/>
  <c r="AA49" i="60"/>
  <c r="Z50" i="60"/>
  <c r="W83" i="60"/>
  <c r="X67" i="60"/>
  <c r="S66" i="60"/>
  <c r="E33" i="76"/>
  <c r="AC67" i="60"/>
  <c r="AA67" i="60"/>
  <c r="H65" i="82"/>
  <c r="H66" i="82"/>
  <c r="C68" i="82"/>
  <c r="C15" i="56"/>
  <c r="D14" i="60" s="1"/>
  <c r="P14" i="60" s="1"/>
  <c r="AB14" i="60" s="1"/>
  <c r="K51" i="60"/>
  <c r="Z49" i="60"/>
  <c r="N51" i="60"/>
  <c r="Z33" i="60"/>
  <c r="Y31" i="60"/>
  <c r="M34" i="60"/>
  <c r="R49" i="60"/>
  <c r="AD49" i="60" s="1"/>
  <c r="F51" i="60"/>
  <c r="G68" i="82"/>
  <c r="T33" i="60"/>
  <c r="R32" i="60"/>
  <c r="T32" i="60"/>
  <c r="H34" i="60"/>
  <c r="H113" i="60" s="1"/>
  <c r="R33" i="60"/>
  <c r="Z32" i="60"/>
  <c r="C459" i="82"/>
  <c r="C461" i="82" s="1"/>
  <c r="D459" i="82"/>
  <c r="D461" i="82" s="1"/>
  <c r="E459" i="82"/>
  <c r="E461" i="82" s="1"/>
  <c r="AI32" i="60"/>
  <c r="P31" i="20"/>
  <c r="V31" i="60"/>
  <c r="S49" i="60"/>
  <c r="S32" i="60"/>
  <c r="D31" i="56"/>
  <c r="E31" i="60"/>
  <c r="Z93" i="60"/>
  <c r="Y66" i="60"/>
  <c r="W82" i="60"/>
  <c r="T82" i="60"/>
  <c r="W49" i="60"/>
  <c r="Y49" i="60"/>
  <c r="M51" i="60"/>
  <c r="P24" i="20"/>
  <c r="V21" i="20" s="1"/>
  <c r="E17" i="76"/>
  <c r="L36" i="78" l="1"/>
  <c r="N71" i="60"/>
  <c r="R71" i="60"/>
  <c r="AG68" i="60"/>
  <c r="L69" i="115" s="1"/>
  <c r="V71" i="60"/>
  <c r="I70" i="80"/>
  <c r="S46" i="80"/>
  <c r="T46" i="80" s="1"/>
  <c r="U46" i="80" s="1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AM46" i="80" s="1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BJ46" i="80" s="1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BV46" i="80" s="1"/>
  <c r="BW46" i="80" s="1"/>
  <c r="BX46" i="80" s="1"/>
  <c r="BY46" i="80" s="1"/>
  <c r="BZ46" i="80" s="1"/>
  <c r="CA46" i="80" s="1"/>
  <c r="CB46" i="80" s="1"/>
  <c r="CC46" i="80" s="1"/>
  <c r="CD46" i="80" s="1"/>
  <c r="R45" i="80"/>
  <c r="S26" i="60"/>
  <c r="S35" i="60" s="1"/>
  <c r="S44" i="60" s="1"/>
  <c r="T17" i="60"/>
  <c r="S60" i="60"/>
  <c r="T52" i="60"/>
  <c r="P68" i="60"/>
  <c r="P71" i="60" s="1"/>
  <c r="AD68" i="60"/>
  <c r="AE68" i="60"/>
  <c r="AE71" i="60" s="1"/>
  <c r="H43" i="80"/>
  <c r="H51" i="80" s="1"/>
  <c r="I32" i="72" s="1"/>
  <c r="H70" i="80"/>
  <c r="I48" i="80"/>
  <c r="BA36" i="80"/>
  <c r="BA47" i="80" s="1"/>
  <c r="AZ42" i="80"/>
  <c r="AZ70" i="80" s="1"/>
  <c r="AZ66" i="80"/>
  <c r="F71" i="115"/>
  <c r="F71" i="65"/>
  <c r="L84" i="115"/>
  <c r="L84" i="65"/>
  <c r="J15" i="115"/>
  <c r="AQ14" i="60"/>
  <c r="BC14" i="60" s="1"/>
  <c r="BO14" i="60" s="1"/>
  <c r="CA14" i="60" s="1"/>
  <c r="J15" i="65"/>
  <c r="D83" i="115"/>
  <c r="D83" i="65"/>
  <c r="O85" i="115"/>
  <c r="O85" i="65"/>
  <c r="F94" i="115"/>
  <c r="F96" i="115" s="1"/>
  <c r="F94" i="65"/>
  <c r="I86" i="115"/>
  <c r="I86" i="65"/>
  <c r="D33" i="115"/>
  <c r="D33" i="65"/>
  <c r="F33" i="115"/>
  <c r="F33" i="65"/>
  <c r="E66" i="115"/>
  <c r="E66" i="65"/>
  <c r="D84" i="115"/>
  <c r="D84" i="65"/>
  <c r="K17" i="56"/>
  <c r="L14" i="60"/>
  <c r="X14" i="60" s="1"/>
  <c r="AJ14" i="60" s="1"/>
  <c r="D50" i="115"/>
  <c r="D50" i="65"/>
  <c r="D67" i="115"/>
  <c r="D67" i="65"/>
  <c r="H68" i="115"/>
  <c r="H68" i="65"/>
  <c r="G50" i="115"/>
  <c r="G50" i="65"/>
  <c r="G68" i="115"/>
  <c r="G68" i="65"/>
  <c r="D86" i="115"/>
  <c r="D86" i="65"/>
  <c r="L86" i="115"/>
  <c r="L86" i="65"/>
  <c r="N67" i="115"/>
  <c r="N67" i="65"/>
  <c r="N17" i="56"/>
  <c r="O14" i="60"/>
  <c r="AA14" i="60" s="1"/>
  <c r="E33" i="115"/>
  <c r="E33" i="65"/>
  <c r="F68" i="115"/>
  <c r="F68" i="65"/>
  <c r="F50" i="115"/>
  <c r="F50" i="65"/>
  <c r="H83" i="115"/>
  <c r="H83" i="65"/>
  <c r="J32" i="115"/>
  <c r="J32" i="65"/>
  <c r="E67" i="115"/>
  <c r="E67" i="65"/>
  <c r="H51" i="115"/>
  <c r="H51" i="65"/>
  <c r="O83" i="115"/>
  <c r="O83" i="65"/>
  <c r="D69" i="115"/>
  <c r="D69" i="65"/>
  <c r="H70" i="115"/>
  <c r="H70" i="65"/>
  <c r="M17" i="56"/>
  <c r="N14" i="60"/>
  <c r="Z14" i="60" s="1"/>
  <c r="D17" i="56"/>
  <c r="E14" i="60"/>
  <c r="Q14" i="60" s="1"/>
  <c r="AC14" i="60" s="1"/>
  <c r="E17" i="56"/>
  <c r="F14" i="60"/>
  <c r="R14" i="60" s="1"/>
  <c r="AD14" i="60" s="1"/>
  <c r="I50" i="115"/>
  <c r="I50" i="65"/>
  <c r="E50" i="115"/>
  <c r="E50" i="65"/>
  <c r="D68" i="115"/>
  <c r="D68" i="65"/>
  <c r="G83" i="115"/>
  <c r="G83" i="65"/>
  <c r="F83" i="115"/>
  <c r="F83" i="65"/>
  <c r="I68" i="115"/>
  <c r="I68" i="65"/>
  <c r="E82" i="115"/>
  <c r="E82" i="65"/>
  <c r="D82" i="115"/>
  <c r="D82" i="65"/>
  <c r="J70" i="115"/>
  <c r="J70" i="65"/>
  <c r="F32" i="115"/>
  <c r="F32" i="65"/>
  <c r="I71" i="115"/>
  <c r="I71" i="65"/>
  <c r="H66" i="115"/>
  <c r="H66" i="65"/>
  <c r="J17" i="56"/>
  <c r="K14" i="60"/>
  <c r="W14" i="60" s="1"/>
  <c r="AI14" i="60" s="1"/>
  <c r="N33" i="115"/>
  <c r="N33" i="65"/>
  <c r="E34" i="115"/>
  <c r="E34" i="65"/>
  <c r="E51" i="115"/>
  <c r="E51" i="65"/>
  <c r="K50" i="115"/>
  <c r="K50" i="65"/>
  <c r="F34" i="115"/>
  <c r="F34" i="65"/>
  <c r="F51" i="115"/>
  <c r="F51" i="65"/>
  <c r="O67" i="115"/>
  <c r="O67" i="65"/>
  <c r="M34" i="115"/>
  <c r="M34" i="65"/>
  <c r="I67" i="115"/>
  <c r="I67" i="65"/>
  <c r="J71" i="115"/>
  <c r="J71" i="65"/>
  <c r="E85" i="115"/>
  <c r="E85" i="65"/>
  <c r="E84" i="115"/>
  <c r="E84" i="65"/>
  <c r="K70" i="115"/>
  <c r="K70" i="65"/>
  <c r="N34" i="115"/>
  <c r="N34" i="65"/>
  <c r="D32" i="115"/>
  <c r="D32" i="65"/>
  <c r="L68" i="115"/>
  <c r="L68" i="65"/>
  <c r="K85" i="115"/>
  <c r="K85" i="65"/>
  <c r="F85" i="115"/>
  <c r="F85" i="65"/>
  <c r="H85" i="115"/>
  <c r="H85" i="65"/>
  <c r="E94" i="115"/>
  <c r="E96" i="115" s="1"/>
  <c r="E94" i="65"/>
  <c r="G15" i="115"/>
  <c r="G15" i="65"/>
  <c r="AN14" i="60"/>
  <c r="AZ14" i="60" s="1"/>
  <c r="BL14" i="60" s="1"/>
  <c r="BX14" i="60" s="1"/>
  <c r="D51" i="115"/>
  <c r="D51" i="65"/>
  <c r="G71" i="115"/>
  <c r="G71" i="65"/>
  <c r="M84" i="115"/>
  <c r="M84" i="65"/>
  <c r="F84" i="115"/>
  <c r="F84" i="65"/>
  <c r="E68" i="115"/>
  <c r="E68" i="65"/>
  <c r="I85" i="115"/>
  <c r="I85" i="65"/>
  <c r="AC83" i="60"/>
  <c r="AO83" i="60" s="1"/>
  <c r="I84" i="115"/>
  <c r="I84" i="65"/>
  <c r="J85" i="115"/>
  <c r="J85" i="65"/>
  <c r="AL83" i="60"/>
  <c r="E83" i="115"/>
  <c r="E83" i="65"/>
  <c r="D71" i="115"/>
  <c r="D71" i="65"/>
  <c r="F66" i="115"/>
  <c r="F66" i="65"/>
  <c r="M33" i="115"/>
  <c r="M33" i="65"/>
  <c r="O51" i="115"/>
  <c r="O51" i="65"/>
  <c r="AL31" i="60"/>
  <c r="E32" i="115"/>
  <c r="E32" i="65"/>
  <c r="M50" i="115"/>
  <c r="M50" i="65"/>
  <c r="AK93" i="60"/>
  <c r="AW93" i="60" s="1"/>
  <c r="BI93" i="60" s="1"/>
  <c r="BU93" i="60" s="1"/>
  <c r="D94" i="115"/>
  <c r="D94" i="65"/>
  <c r="D15" i="115"/>
  <c r="AK14" i="60"/>
  <c r="AW14" i="60" s="1"/>
  <c r="BI14" i="60" s="1"/>
  <c r="BU14" i="60" s="1"/>
  <c r="CG14" i="60" s="1"/>
  <c r="D15" i="65"/>
  <c r="K15" i="115"/>
  <c r="AR14" i="60"/>
  <c r="BD14" i="60" s="1"/>
  <c r="BP14" i="60" s="1"/>
  <c r="CB14" i="60" s="1"/>
  <c r="K15" i="65"/>
  <c r="I17" i="56"/>
  <c r="J14" i="60"/>
  <c r="V14" i="60" s="1"/>
  <c r="AH14" i="60" s="1"/>
  <c r="L16" i="115"/>
  <c r="P16" i="115" s="1"/>
  <c r="Q16" i="115" s="1"/>
  <c r="L16" i="65"/>
  <c r="AS15" i="60"/>
  <c r="BE15" i="60" s="1"/>
  <c r="BQ15" i="60" s="1"/>
  <c r="CC15" i="60" s="1"/>
  <c r="BK10" i="113"/>
  <c r="BK8" i="60"/>
  <c r="BC4" i="80" s="1"/>
  <c r="G8" i="64"/>
  <c r="B126" i="82"/>
  <c r="J125" i="82"/>
  <c r="I59" i="113"/>
  <c r="G59" i="113"/>
  <c r="J86" i="113"/>
  <c r="M113" i="60"/>
  <c r="E19" i="76"/>
  <c r="E19" i="91" s="1"/>
  <c r="E44" i="60"/>
  <c r="K59" i="113"/>
  <c r="L86" i="113"/>
  <c r="N86" i="113"/>
  <c r="M60" i="60"/>
  <c r="F59" i="113"/>
  <c r="F86" i="113"/>
  <c r="M86" i="113"/>
  <c r="E86" i="113"/>
  <c r="CB46" i="113"/>
  <c r="G17" i="56"/>
  <c r="L17" i="56"/>
  <c r="Q49" i="56"/>
  <c r="R49" i="56" s="1"/>
  <c r="Q16" i="56"/>
  <c r="Q30" i="20"/>
  <c r="Q37" i="20" s="1"/>
  <c r="R37" i="20" s="1"/>
  <c r="R20" i="55"/>
  <c r="Q13" i="56"/>
  <c r="R13" i="56" s="1"/>
  <c r="AO69" i="60"/>
  <c r="BA69" i="60" s="1"/>
  <c r="E33" i="91"/>
  <c r="E31" i="91"/>
  <c r="F29" i="91"/>
  <c r="E38" i="91"/>
  <c r="E37" i="91"/>
  <c r="E36" i="91"/>
  <c r="E17" i="91"/>
  <c r="E18" i="91"/>
  <c r="Q47" i="56"/>
  <c r="R47" i="56" s="1"/>
  <c r="Q28" i="20"/>
  <c r="Q21" i="55"/>
  <c r="R23" i="20"/>
  <c r="Q23" i="55"/>
  <c r="Q15" i="56"/>
  <c r="R15" i="55"/>
  <c r="Q20" i="56"/>
  <c r="Q27" i="56" s="1"/>
  <c r="Q22" i="55"/>
  <c r="Q29" i="20"/>
  <c r="O84" i="56"/>
  <c r="F27" i="76"/>
  <c r="Q44" i="60"/>
  <c r="R44" i="60"/>
  <c r="P44" i="60"/>
  <c r="O35" i="60"/>
  <c r="N44" i="60"/>
  <c r="L35" i="60"/>
  <c r="L36" i="60" s="1"/>
  <c r="K44" i="60"/>
  <c r="H44" i="60"/>
  <c r="J44" i="60"/>
  <c r="F44" i="60"/>
  <c r="G60" i="60"/>
  <c r="D44" i="60"/>
  <c r="U60" i="80"/>
  <c r="B151" i="80"/>
  <c r="O34" i="60"/>
  <c r="AU32" i="60"/>
  <c r="BG32" i="60" s="1"/>
  <c r="AM33" i="60"/>
  <c r="AM31" i="60"/>
  <c r="AM32" i="60"/>
  <c r="N36" i="60"/>
  <c r="AB31" i="60"/>
  <c r="AR69" i="60"/>
  <c r="BD69" i="60" s="1"/>
  <c r="T51" i="60"/>
  <c r="AP85" i="60"/>
  <c r="BB85" i="60" s="1"/>
  <c r="AI65" i="60"/>
  <c r="AK83" i="60"/>
  <c r="W68" i="60"/>
  <c r="W71" i="60" s="1"/>
  <c r="AL67" i="60"/>
  <c r="AX67" i="60" s="1"/>
  <c r="F34" i="60"/>
  <c r="F113" i="60" s="1"/>
  <c r="R31" i="60"/>
  <c r="J36" i="60"/>
  <c r="G51" i="60"/>
  <c r="AE67" i="60"/>
  <c r="AD86" i="60"/>
  <c r="AC68" i="60"/>
  <c r="AL82" i="60"/>
  <c r="AL84" i="60"/>
  <c r="Y95" i="60"/>
  <c r="T37" i="78" s="1"/>
  <c r="R86" i="60"/>
  <c r="AU66" i="60"/>
  <c r="BG66" i="60" s="1"/>
  <c r="AK68" i="60"/>
  <c r="AM49" i="60"/>
  <c r="R78" i="56"/>
  <c r="AA68" i="60"/>
  <c r="AA71" i="60" s="1"/>
  <c r="AD82" i="60"/>
  <c r="K38" i="56"/>
  <c r="AF81" i="60"/>
  <c r="AC49" i="60"/>
  <c r="J86" i="60"/>
  <c r="C36" i="78" s="1"/>
  <c r="AH84" i="60"/>
  <c r="H24" i="56"/>
  <c r="X49" i="60"/>
  <c r="X51" i="60" s="1"/>
  <c r="AQ70" i="60"/>
  <c r="Q85" i="60"/>
  <c r="AE82" i="60"/>
  <c r="V86" i="60"/>
  <c r="AC81" i="60"/>
  <c r="AG50" i="60"/>
  <c r="N86" i="60"/>
  <c r="Z85" i="60"/>
  <c r="AL66" i="60"/>
  <c r="S50" i="60"/>
  <c r="S51" i="60" s="1"/>
  <c r="R79" i="56"/>
  <c r="F22" i="76"/>
  <c r="O50" i="56"/>
  <c r="AE85" i="60"/>
  <c r="F32" i="76"/>
  <c r="N24" i="56"/>
  <c r="P59" i="56"/>
  <c r="P60" i="56" s="1"/>
  <c r="AO84" i="60"/>
  <c r="I95" i="60"/>
  <c r="U93" i="60"/>
  <c r="P50" i="60"/>
  <c r="AO50" i="60"/>
  <c r="E95" i="60"/>
  <c r="Q93" i="60"/>
  <c r="Q95" i="60" s="1"/>
  <c r="J37" i="78" s="1"/>
  <c r="G38" i="56"/>
  <c r="Z34" i="60"/>
  <c r="D14" i="81" s="1"/>
  <c r="R51" i="60"/>
  <c r="R53" i="60" s="1"/>
  <c r="AY66" i="60"/>
  <c r="BK66" i="60" s="1"/>
  <c r="AI93" i="60"/>
  <c r="W95" i="60"/>
  <c r="Q37" i="78" s="1"/>
  <c r="P73" i="56"/>
  <c r="AH85" i="60"/>
  <c r="G33" i="60"/>
  <c r="F31" i="56"/>
  <c r="O86" i="60"/>
  <c r="H36" i="78" s="1"/>
  <c r="O53" i="56"/>
  <c r="P44" i="56"/>
  <c r="F21" i="76"/>
  <c r="AH68" i="60"/>
  <c r="P50" i="56"/>
  <c r="AL65" i="60"/>
  <c r="AA51" i="60"/>
  <c r="O44" i="56"/>
  <c r="F20" i="76"/>
  <c r="G95" i="60"/>
  <c r="S93" i="60"/>
  <c r="U49" i="60"/>
  <c r="AS85" i="60"/>
  <c r="BE85" i="60" s="1"/>
  <c r="F31" i="76"/>
  <c r="C24" i="56"/>
  <c r="H65" i="60"/>
  <c r="Y65" i="60"/>
  <c r="U69" i="60"/>
  <c r="U71" i="60" s="1"/>
  <c r="I81" i="60"/>
  <c r="J31" i="56"/>
  <c r="K31" i="60"/>
  <c r="AQ69" i="60"/>
  <c r="I84" i="60"/>
  <c r="H75" i="56"/>
  <c r="AJ70" i="60"/>
  <c r="C70" i="56"/>
  <c r="O69" i="56"/>
  <c r="Z70" i="60"/>
  <c r="O27" i="56"/>
  <c r="L65" i="60"/>
  <c r="Z68" i="60"/>
  <c r="X33" i="60"/>
  <c r="X34" i="60" s="1"/>
  <c r="AK85" i="60"/>
  <c r="AI85" i="60"/>
  <c r="AA85" i="60"/>
  <c r="K84" i="60"/>
  <c r="J75" i="56"/>
  <c r="D33" i="60"/>
  <c r="P30" i="56"/>
  <c r="AJ32" i="60"/>
  <c r="H85" i="60"/>
  <c r="G75" i="56"/>
  <c r="M69" i="60"/>
  <c r="M71" i="60" s="1"/>
  <c r="AV66" i="60"/>
  <c r="P37" i="56"/>
  <c r="U24" i="76" s="1"/>
  <c r="H38" i="56"/>
  <c r="E70" i="60"/>
  <c r="E71" i="60" s="1"/>
  <c r="D24" i="56"/>
  <c r="F65" i="60"/>
  <c r="O34" i="56"/>
  <c r="E24" i="56"/>
  <c r="X69" i="60"/>
  <c r="X71" i="60" s="1"/>
  <c r="AT32" i="60"/>
  <c r="D38" i="56"/>
  <c r="P35" i="56"/>
  <c r="G65" i="60"/>
  <c r="L85" i="60"/>
  <c r="K75" i="56"/>
  <c r="AM65" i="60"/>
  <c r="E84" i="56"/>
  <c r="F93" i="60"/>
  <c r="P82" i="56"/>
  <c r="D85" i="60"/>
  <c r="P74" i="56"/>
  <c r="C75" i="56"/>
  <c r="L75" i="56"/>
  <c r="M84" i="60"/>
  <c r="K95" i="60"/>
  <c r="D37" i="78" s="1"/>
  <c r="AH65" i="60"/>
  <c r="W81" i="60"/>
  <c r="AF31" i="60"/>
  <c r="AK32" i="60"/>
  <c r="AG66" i="60"/>
  <c r="J24" i="56"/>
  <c r="P66" i="60"/>
  <c r="L24" i="56"/>
  <c r="U32" i="60"/>
  <c r="AI70" i="60"/>
  <c r="H68" i="60"/>
  <c r="H71" i="60" s="1"/>
  <c r="D65" i="60"/>
  <c r="M24" i="56"/>
  <c r="C38" i="56"/>
  <c r="AP70" i="60"/>
  <c r="AI69" i="60"/>
  <c r="AD81" i="60"/>
  <c r="AR84" i="60"/>
  <c r="AI67" i="60"/>
  <c r="AH69" i="60"/>
  <c r="AW33" i="60"/>
  <c r="AM93" i="60"/>
  <c r="AA95" i="60"/>
  <c r="V37" i="78" s="1"/>
  <c r="P95" i="60"/>
  <c r="I37" i="78" s="1"/>
  <c r="AB93" i="60"/>
  <c r="AH82" i="60"/>
  <c r="AP84" i="60"/>
  <c r="AQ84" i="60"/>
  <c r="AT83" i="60"/>
  <c r="BF83" i="60" s="1"/>
  <c r="AJ81" i="60"/>
  <c r="AK82" i="60"/>
  <c r="AK81" i="60"/>
  <c r="AL81" i="60"/>
  <c r="AF66" i="60"/>
  <c r="AH66" i="60"/>
  <c r="AS67" i="60"/>
  <c r="R21" i="20"/>
  <c r="H53" i="60"/>
  <c r="AM84" i="60"/>
  <c r="AY81" i="60"/>
  <c r="BH31" i="60"/>
  <c r="AE83" i="60"/>
  <c r="AB69" i="60"/>
  <c r="AY69" i="60"/>
  <c r="AG70" i="60"/>
  <c r="AA34" i="60"/>
  <c r="E14" i="81" s="1"/>
  <c r="AS83" i="60"/>
  <c r="AJ68" i="60"/>
  <c r="AB83" i="60"/>
  <c r="P15" i="56"/>
  <c r="AK50" i="60"/>
  <c r="AF50" i="60"/>
  <c r="AJ83" i="60"/>
  <c r="AD50" i="60"/>
  <c r="AH50" i="60"/>
  <c r="V51" i="60"/>
  <c r="AV82" i="60"/>
  <c r="AX69" i="60"/>
  <c r="AC33" i="60"/>
  <c r="AC32" i="60"/>
  <c r="AN70" i="60"/>
  <c r="AP66" i="60"/>
  <c r="AM83" i="60"/>
  <c r="AJ93" i="60"/>
  <c r="X95" i="60"/>
  <c r="R37" i="78" s="1"/>
  <c r="P16" i="56"/>
  <c r="U21" i="76" s="1"/>
  <c r="H14" i="56"/>
  <c r="AO82" i="60"/>
  <c r="AG31" i="60"/>
  <c r="AF67" i="60"/>
  <c r="R16" i="20"/>
  <c r="AM50" i="60"/>
  <c r="AH81" i="60"/>
  <c r="AO65" i="60"/>
  <c r="AE81" i="60"/>
  <c r="AH70" i="60"/>
  <c r="AM82" i="60"/>
  <c r="AG33" i="60"/>
  <c r="AF83" i="60"/>
  <c r="AB84" i="60"/>
  <c r="F17" i="56"/>
  <c r="AE66" i="60"/>
  <c r="AI50" i="60"/>
  <c r="AK67" i="60"/>
  <c r="AP67" i="60"/>
  <c r="AN82" i="60"/>
  <c r="V95" i="60"/>
  <c r="P37" i="78" s="1"/>
  <c r="AH93" i="60"/>
  <c r="AV84" i="60"/>
  <c r="AG65" i="60"/>
  <c r="T95" i="60"/>
  <c r="M37" i="78" s="1"/>
  <c r="AF93" i="60"/>
  <c r="Q51" i="60"/>
  <c r="Q53" i="60" s="1"/>
  <c r="AL50" i="60"/>
  <c r="AN67" i="60"/>
  <c r="AP83" i="60"/>
  <c r="AM67" i="60"/>
  <c r="AM70" i="60"/>
  <c r="AG82" i="60"/>
  <c r="AH67" i="60"/>
  <c r="AQ31" i="60"/>
  <c r="AJ67" i="60"/>
  <c r="AC66" i="60"/>
  <c r="AK70" i="60"/>
  <c r="AF70" i="60"/>
  <c r="AO67" i="60"/>
  <c r="AI83" i="60"/>
  <c r="AR49" i="60"/>
  <c r="AD69" i="60"/>
  <c r="AF32" i="60"/>
  <c r="T34" i="60"/>
  <c r="N53" i="60"/>
  <c r="K53" i="60"/>
  <c r="H68" i="82"/>
  <c r="G70" i="82" s="1"/>
  <c r="AF33" i="60"/>
  <c r="F53" i="60"/>
  <c r="AL33" i="60"/>
  <c r="I53" i="60"/>
  <c r="AT49" i="60"/>
  <c r="H36" i="60"/>
  <c r="AD32" i="60"/>
  <c r="Y34" i="60"/>
  <c r="AK31" i="60"/>
  <c r="AL32" i="60"/>
  <c r="AT33" i="60"/>
  <c r="Z51" i="60"/>
  <c r="AL49" i="60"/>
  <c r="AK49" i="60"/>
  <c r="AD33" i="60"/>
  <c r="I36" i="60"/>
  <c r="AB32" i="60"/>
  <c r="C17" i="56"/>
  <c r="H8" i="64"/>
  <c r="AE49" i="60"/>
  <c r="V34" i="60"/>
  <c r="AH31" i="60"/>
  <c r="AU33" i="60"/>
  <c r="Y51" i="60"/>
  <c r="AI49" i="60"/>
  <c r="W51" i="60"/>
  <c r="AV50" i="60"/>
  <c r="AF82" i="60"/>
  <c r="AI82" i="60"/>
  <c r="E34" i="60"/>
  <c r="E113" i="60" s="1"/>
  <c r="Q31" i="60"/>
  <c r="AE32" i="60"/>
  <c r="M53" i="60"/>
  <c r="AK66" i="60"/>
  <c r="AL93" i="60"/>
  <c r="Z95" i="60"/>
  <c r="U37" i="78" s="1"/>
  <c r="D53" i="60"/>
  <c r="AP49" i="60"/>
  <c r="AN49" i="60"/>
  <c r="L69" i="65" l="1"/>
  <c r="AS68" i="60"/>
  <c r="C14" i="81"/>
  <c r="Z71" i="60"/>
  <c r="P36" i="78"/>
  <c r="P38" i="78" s="1"/>
  <c r="K36" i="78"/>
  <c r="G36" i="78"/>
  <c r="G38" i="78" s="1"/>
  <c r="I69" i="65"/>
  <c r="AD71" i="60"/>
  <c r="Y36" i="78" s="1"/>
  <c r="AH71" i="60"/>
  <c r="I69" i="115"/>
  <c r="AB68" i="60"/>
  <c r="AN68" i="60" s="1"/>
  <c r="AP68" i="60"/>
  <c r="BE68" i="60"/>
  <c r="AI68" i="60"/>
  <c r="AI71" i="60" s="1"/>
  <c r="J69" i="65"/>
  <c r="AQ68" i="60"/>
  <c r="AQ71" i="60" s="1"/>
  <c r="J69" i="115"/>
  <c r="J72" i="115" s="1"/>
  <c r="L47" i="80"/>
  <c r="N47" i="80"/>
  <c r="J47" i="80"/>
  <c r="M47" i="80"/>
  <c r="K47" i="80"/>
  <c r="C38" i="78"/>
  <c r="H38" i="78"/>
  <c r="BB36" i="80"/>
  <c r="BB47" i="80" s="1"/>
  <c r="BA42" i="80"/>
  <c r="BA70" i="80" s="1"/>
  <c r="BA66" i="80"/>
  <c r="AK95" i="60"/>
  <c r="I87" i="115"/>
  <c r="E35" i="115"/>
  <c r="F52" i="115"/>
  <c r="AX31" i="60"/>
  <c r="D96" i="65"/>
  <c r="M32" i="115"/>
  <c r="M35" i="115" s="1"/>
  <c r="M32" i="65"/>
  <c r="N84" i="115"/>
  <c r="N84" i="65"/>
  <c r="L32" i="115"/>
  <c r="L32" i="65"/>
  <c r="O94" i="115"/>
  <c r="O96" i="115" s="1"/>
  <c r="O94" i="65"/>
  <c r="L51" i="115"/>
  <c r="L51" i="65"/>
  <c r="F69" i="115"/>
  <c r="F72" i="115" s="1"/>
  <c r="F69" i="65"/>
  <c r="D35" i="115"/>
  <c r="E15" i="115"/>
  <c r="E15" i="65"/>
  <c r="AL14" i="60"/>
  <c r="AX14" i="60" s="1"/>
  <c r="BJ14" i="60" s="1"/>
  <c r="BV14" i="60" s="1"/>
  <c r="CH14" i="60" s="1"/>
  <c r="N83" i="115"/>
  <c r="N83" i="65"/>
  <c r="K33" i="115"/>
  <c r="K33" i="65"/>
  <c r="L83" i="115"/>
  <c r="L83" i="65"/>
  <c r="L34" i="115"/>
  <c r="L34" i="65"/>
  <c r="M82" i="115"/>
  <c r="M82" i="65"/>
  <c r="K68" i="115"/>
  <c r="K68" i="65"/>
  <c r="M83" i="115"/>
  <c r="M83" i="65"/>
  <c r="M70" i="115"/>
  <c r="M70" i="65"/>
  <c r="K82" i="115"/>
  <c r="K82" i="65"/>
  <c r="J68" i="115"/>
  <c r="J68" i="65"/>
  <c r="G32" i="115"/>
  <c r="G32" i="65"/>
  <c r="J29" i="61" s="1"/>
  <c r="AX83" i="60"/>
  <c r="O15" i="115"/>
  <c r="O15" i="65"/>
  <c r="AV14" i="60"/>
  <c r="BH14" i="60" s="1"/>
  <c r="BT14" i="60" s="1"/>
  <c r="CF14" i="60" s="1"/>
  <c r="K83" i="115"/>
  <c r="K83" i="65"/>
  <c r="N50" i="115"/>
  <c r="N50" i="65"/>
  <c r="I34" i="115"/>
  <c r="I34" i="65"/>
  <c r="K71" i="115"/>
  <c r="K71" i="65"/>
  <c r="O68" i="115"/>
  <c r="O68" i="65"/>
  <c r="J48" i="61" s="1"/>
  <c r="M94" i="115"/>
  <c r="M96" i="115" s="1"/>
  <c r="M94" i="65"/>
  <c r="M96" i="65" s="1"/>
  <c r="N51" i="115"/>
  <c r="N51" i="65"/>
  <c r="J82" i="115"/>
  <c r="J82" i="65"/>
  <c r="I51" i="115"/>
  <c r="I52" i="115" s="1"/>
  <c r="I51" i="65"/>
  <c r="G84" i="115"/>
  <c r="G84" i="65"/>
  <c r="G94" i="115"/>
  <c r="G96" i="115" s="1"/>
  <c r="G94" i="65"/>
  <c r="M66" i="115"/>
  <c r="M66" i="65"/>
  <c r="F86" i="115"/>
  <c r="F87" i="115" s="1"/>
  <c r="F86" i="65"/>
  <c r="E69" i="115"/>
  <c r="E69" i="65"/>
  <c r="E71" i="115"/>
  <c r="E71" i="65"/>
  <c r="N94" i="115"/>
  <c r="N96" i="115" s="1"/>
  <c r="N94" i="65"/>
  <c r="E86" i="115"/>
  <c r="E87" i="115" s="1"/>
  <c r="E86" i="65"/>
  <c r="J83" i="115"/>
  <c r="J83" i="65"/>
  <c r="M85" i="115"/>
  <c r="M85" i="65"/>
  <c r="H50" i="115"/>
  <c r="H52" i="115" s="1"/>
  <c r="H50" i="65"/>
  <c r="D96" i="115"/>
  <c r="N15" i="65"/>
  <c r="AU14" i="60"/>
  <c r="BG14" i="60" s="1"/>
  <c r="BS14" i="60" s="1"/>
  <c r="CE14" i="60" s="1"/>
  <c r="N15" i="115"/>
  <c r="F35" i="115"/>
  <c r="E52" i="115"/>
  <c r="H15" i="115"/>
  <c r="H15" i="65"/>
  <c r="AO14" i="60"/>
  <c r="BA14" i="60" s="1"/>
  <c r="BM14" i="60" s="1"/>
  <c r="BY14" i="60" s="1"/>
  <c r="K34" i="115"/>
  <c r="K34" i="65"/>
  <c r="H67" i="115"/>
  <c r="H67" i="65"/>
  <c r="H33" i="115"/>
  <c r="H33" i="65"/>
  <c r="O84" i="115"/>
  <c r="O84" i="65"/>
  <c r="L71" i="115"/>
  <c r="L71" i="65"/>
  <c r="M67" i="115"/>
  <c r="M67" i="65"/>
  <c r="O33" i="115"/>
  <c r="O33" i="65"/>
  <c r="D66" i="115"/>
  <c r="D66" i="65"/>
  <c r="H69" i="115"/>
  <c r="H69" i="65"/>
  <c r="N66" i="115"/>
  <c r="N66" i="65"/>
  <c r="AP14" i="60"/>
  <c r="BB14" i="60" s="1"/>
  <c r="BN14" i="60" s="1"/>
  <c r="BZ14" i="60" s="1"/>
  <c r="I15" i="115"/>
  <c r="I15" i="65"/>
  <c r="J33" i="115"/>
  <c r="J33" i="65"/>
  <c r="K94" i="115"/>
  <c r="K96" i="115" s="1"/>
  <c r="K94" i="65"/>
  <c r="L66" i="115"/>
  <c r="L66" i="65"/>
  <c r="K84" i="115"/>
  <c r="K84" i="65"/>
  <c r="M71" i="115"/>
  <c r="M71" i="65"/>
  <c r="H34" i="115"/>
  <c r="H34" i="65"/>
  <c r="M51" i="115"/>
  <c r="M52" i="115" s="1"/>
  <c r="M51" i="65"/>
  <c r="G70" i="115"/>
  <c r="G70" i="65"/>
  <c r="K67" i="115"/>
  <c r="K67" i="65"/>
  <c r="N71" i="115"/>
  <c r="N71" i="65"/>
  <c r="M69" i="115"/>
  <c r="M69" i="65"/>
  <c r="H82" i="115"/>
  <c r="H82" i="65"/>
  <c r="M15" i="115"/>
  <c r="M15" i="65"/>
  <c r="AT14" i="60"/>
  <c r="BF14" i="60" s="1"/>
  <c r="BR14" i="60" s="1"/>
  <c r="CD14" i="60" s="1"/>
  <c r="F15" i="115"/>
  <c r="F15" i="65"/>
  <c r="AM14" i="60"/>
  <c r="AY14" i="60" s="1"/>
  <c r="BK14" i="60" s="1"/>
  <c r="BW14" i="60" s="1"/>
  <c r="CI14" i="60" s="1"/>
  <c r="J50" i="115"/>
  <c r="J50" i="65"/>
  <c r="G33" i="115"/>
  <c r="G33" i="65"/>
  <c r="I33" i="115"/>
  <c r="I33" i="65"/>
  <c r="I70" i="115"/>
  <c r="I70" i="65"/>
  <c r="M68" i="115"/>
  <c r="M68" i="65"/>
  <c r="J67" i="115"/>
  <c r="J67" i="65"/>
  <c r="G85" i="115"/>
  <c r="G85" i="65"/>
  <c r="K51" i="115"/>
  <c r="K52" i="115" s="1"/>
  <c r="K51" i="65"/>
  <c r="O69" i="115"/>
  <c r="O69" i="65"/>
  <c r="J84" i="115"/>
  <c r="J84" i="65"/>
  <c r="O82" i="115"/>
  <c r="O82" i="65"/>
  <c r="N68" i="115"/>
  <c r="N68" i="65"/>
  <c r="I82" i="115"/>
  <c r="I82" i="65"/>
  <c r="N70" i="115"/>
  <c r="N70" i="65"/>
  <c r="L67" i="115"/>
  <c r="L67" i="65"/>
  <c r="K32" i="115"/>
  <c r="K32" i="65"/>
  <c r="N86" i="115"/>
  <c r="N86" i="65"/>
  <c r="O71" i="115"/>
  <c r="O71" i="65"/>
  <c r="M86" i="115"/>
  <c r="M86" i="65"/>
  <c r="J86" i="115"/>
  <c r="J87" i="115" s="1"/>
  <c r="J86" i="65"/>
  <c r="AP82" i="60"/>
  <c r="I83" i="115"/>
  <c r="I83" i="65"/>
  <c r="H84" i="115"/>
  <c r="H84" i="65"/>
  <c r="D52" i="115"/>
  <c r="BL10" i="113"/>
  <c r="BL8" i="60"/>
  <c r="BD4" i="80" s="1"/>
  <c r="V113" i="60"/>
  <c r="C86" i="113"/>
  <c r="E59" i="113"/>
  <c r="H86" i="113"/>
  <c r="N59" i="113"/>
  <c r="K86" i="113"/>
  <c r="M35" i="60"/>
  <c r="AA113" i="60"/>
  <c r="M59" i="113"/>
  <c r="J59" i="113"/>
  <c r="D59" i="113"/>
  <c r="Z113" i="60"/>
  <c r="G86" i="113"/>
  <c r="Y113" i="60"/>
  <c r="T113" i="60"/>
  <c r="L59" i="113"/>
  <c r="X113" i="60"/>
  <c r="C59" i="113"/>
  <c r="H59" i="113"/>
  <c r="O113" i="60"/>
  <c r="B127" i="82"/>
  <c r="J126" i="82"/>
  <c r="D86" i="113"/>
  <c r="CC46" i="113"/>
  <c r="R43" i="56"/>
  <c r="R30" i="20"/>
  <c r="U23" i="76"/>
  <c r="U25" i="76" s="1"/>
  <c r="AW85" i="60"/>
  <c r="AX84" i="60"/>
  <c r="O75" i="56"/>
  <c r="F26" i="76"/>
  <c r="F33" i="76"/>
  <c r="H33" i="76" s="1"/>
  <c r="M33" i="76" s="1"/>
  <c r="P33" i="76" s="1"/>
  <c r="AO81" i="60"/>
  <c r="BA81" i="60" s="1"/>
  <c r="O60" i="56"/>
  <c r="F25" i="76"/>
  <c r="AH51" i="60"/>
  <c r="AF51" i="60"/>
  <c r="T21" i="76"/>
  <c r="H32" i="76"/>
  <c r="M32" i="76" s="1"/>
  <c r="P32" i="76" s="1"/>
  <c r="F32" i="91"/>
  <c r="H32" i="91" s="1"/>
  <c r="M32" i="91" s="1"/>
  <c r="P32" i="91" s="1"/>
  <c r="F21" i="91"/>
  <c r="F22" i="91"/>
  <c r="H31" i="76"/>
  <c r="M31" i="76" s="1"/>
  <c r="P31" i="76" s="1"/>
  <c r="F31" i="91"/>
  <c r="H31" i="91" s="1"/>
  <c r="M31" i="91" s="1"/>
  <c r="P31" i="91" s="1"/>
  <c r="F20" i="91"/>
  <c r="Q36" i="20"/>
  <c r="R36" i="20" s="1"/>
  <c r="R29" i="20"/>
  <c r="Q23" i="56"/>
  <c r="R23" i="55"/>
  <c r="Q21" i="56"/>
  <c r="Q22" i="56"/>
  <c r="Q35" i="20"/>
  <c r="R35" i="20" s="1"/>
  <c r="R28" i="20"/>
  <c r="Q48" i="56"/>
  <c r="R48" i="56" s="1"/>
  <c r="R50" i="56" s="1"/>
  <c r="R42" i="56"/>
  <c r="R41" i="56"/>
  <c r="Q27" i="55"/>
  <c r="R27" i="55" s="1"/>
  <c r="Q34" i="56"/>
  <c r="R34" i="56" s="1"/>
  <c r="F27" i="91"/>
  <c r="I43" i="80"/>
  <c r="I44" i="80" s="1"/>
  <c r="AY33" i="60"/>
  <c r="O44" i="60"/>
  <c r="O36" i="60"/>
  <c r="L44" i="60"/>
  <c r="G35" i="60"/>
  <c r="F18" i="76"/>
  <c r="AM34" i="60"/>
  <c r="AM113" i="60" s="1"/>
  <c r="AY32" i="60"/>
  <c r="BK32" i="60" s="1"/>
  <c r="AW32" i="60"/>
  <c r="BI32" i="60" s="1"/>
  <c r="AN31" i="60"/>
  <c r="AO49" i="60"/>
  <c r="BA49" i="60" s="1"/>
  <c r="AY31" i="60"/>
  <c r="F36" i="60"/>
  <c r="R15" i="56"/>
  <c r="AC51" i="60"/>
  <c r="AJ33" i="60"/>
  <c r="AD31" i="60"/>
  <c r="AT84" i="60"/>
  <c r="BF84" i="60" s="1"/>
  <c r="AP86" i="60"/>
  <c r="AW83" i="60"/>
  <c r="AU65" i="60"/>
  <c r="BI95" i="60"/>
  <c r="AW95" i="60"/>
  <c r="AA86" i="60"/>
  <c r="V36" i="78" s="1"/>
  <c r="AO68" i="60"/>
  <c r="AQ67" i="60"/>
  <c r="R59" i="56"/>
  <c r="G53" i="60"/>
  <c r="P31" i="56"/>
  <c r="R34" i="60"/>
  <c r="AC93" i="60"/>
  <c r="R84" i="56"/>
  <c r="AX82" i="60"/>
  <c r="BJ82" i="60" s="1"/>
  <c r="AM85" i="60"/>
  <c r="AY85" i="60" s="1"/>
  <c r="AY49" i="60"/>
  <c r="BM69" i="60"/>
  <c r="AM51" i="60"/>
  <c r="AW68" i="60"/>
  <c r="R53" i="56"/>
  <c r="AM68" i="60"/>
  <c r="AM71" i="60" s="1"/>
  <c r="AQ82" i="60"/>
  <c r="AU85" i="60"/>
  <c r="R73" i="56"/>
  <c r="AS66" i="60"/>
  <c r="BE66" i="60" s="1"/>
  <c r="R74" i="56"/>
  <c r="AH86" i="60"/>
  <c r="AR81" i="60"/>
  <c r="AU93" i="60"/>
  <c r="BG93" i="60" s="1"/>
  <c r="BC70" i="60"/>
  <c r="AI95" i="60"/>
  <c r="AD37" i="78" s="1"/>
  <c r="Q86" i="60"/>
  <c r="AC85" i="60"/>
  <c r="AJ49" i="60"/>
  <c r="F36" i="76"/>
  <c r="P75" i="56"/>
  <c r="BA50" i="60"/>
  <c r="Z86" i="60"/>
  <c r="AX65" i="60"/>
  <c r="AT68" i="60"/>
  <c r="AG93" i="60"/>
  <c r="U95" i="60"/>
  <c r="N37" i="78" s="1"/>
  <c r="BA84" i="60"/>
  <c r="AQ85" i="60"/>
  <c r="AS50" i="60"/>
  <c r="AL85" i="60"/>
  <c r="S33" i="60"/>
  <c r="G34" i="60"/>
  <c r="G113" i="60" s="1"/>
  <c r="AX66" i="60"/>
  <c r="U51" i="60"/>
  <c r="AG49" i="60"/>
  <c r="R54" i="56"/>
  <c r="S95" i="60"/>
  <c r="L37" i="78" s="1"/>
  <c r="L38" i="78" s="1"/>
  <c r="AE93" i="60"/>
  <c r="AX33" i="60"/>
  <c r="U34" i="60"/>
  <c r="AE86" i="60"/>
  <c r="Z36" i="78" s="1"/>
  <c r="AT85" i="60"/>
  <c r="AB50" i="60"/>
  <c r="P51" i="60"/>
  <c r="P53" i="60" s="1"/>
  <c r="AE50" i="60"/>
  <c r="P33" i="60"/>
  <c r="D34" i="60"/>
  <c r="U84" i="60"/>
  <c r="I86" i="60"/>
  <c r="T65" i="60"/>
  <c r="AB66" i="60"/>
  <c r="AT65" i="60"/>
  <c r="Y84" i="60"/>
  <c r="M86" i="60"/>
  <c r="F36" i="78" s="1"/>
  <c r="F95" i="60"/>
  <c r="R93" i="60"/>
  <c r="R70" i="56"/>
  <c r="D81" i="60"/>
  <c r="AG69" i="60"/>
  <c r="AG71" i="60" s="1"/>
  <c r="AR31" i="60"/>
  <c r="BD31" i="60" s="1"/>
  <c r="F37" i="76"/>
  <c r="X85" i="60"/>
  <c r="L86" i="60"/>
  <c r="AJ69" i="60"/>
  <c r="AJ71" i="60" s="1"/>
  <c r="Q70" i="60"/>
  <c r="Q71" i="60" s="1"/>
  <c r="AV32" i="60"/>
  <c r="AV70" i="60"/>
  <c r="BC69" i="60"/>
  <c r="O24" i="56"/>
  <c r="F16" i="76"/>
  <c r="R20" i="56"/>
  <c r="AK65" i="60"/>
  <c r="P84" i="56"/>
  <c r="F38" i="76"/>
  <c r="S65" i="60"/>
  <c r="BH66" i="60"/>
  <c r="O31" i="56"/>
  <c r="U81" i="60"/>
  <c r="P24" i="56"/>
  <c r="P65" i="60"/>
  <c r="T68" i="60"/>
  <c r="T71" i="60" s="1"/>
  <c r="BS66" i="60"/>
  <c r="AL68" i="60"/>
  <c r="AL70" i="60"/>
  <c r="AU70" i="60"/>
  <c r="AG32" i="60"/>
  <c r="AI81" i="60"/>
  <c r="D86" i="60"/>
  <c r="P85" i="60"/>
  <c r="AY65" i="60"/>
  <c r="P38" i="56"/>
  <c r="BF32" i="60"/>
  <c r="O38" i="56"/>
  <c r="R65" i="60"/>
  <c r="Y69" i="60"/>
  <c r="Y71" i="60" s="1"/>
  <c r="T85" i="60"/>
  <c r="H86" i="60"/>
  <c r="W84" i="60"/>
  <c r="K86" i="60"/>
  <c r="D36" i="78" s="1"/>
  <c r="X65" i="60"/>
  <c r="W31" i="60"/>
  <c r="K34" i="60"/>
  <c r="K113" i="60" s="1"/>
  <c r="R69" i="56"/>
  <c r="AU69" i="60"/>
  <c r="AP81" i="60"/>
  <c r="BB70" i="60"/>
  <c r="BI33" i="60"/>
  <c r="AT69" i="60"/>
  <c r="AU67" i="60"/>
  <c r="BD84" i="60"/>
  <c r="AY93" i="60"/>
  <c r="AM95" i="60"/>
  <c r="AN93" i="60"/>
  <c r="AB95" i="60"/>
  <c r="W37" i="78" s="1"/>
  <c r="AX81" i="60"/>
  <c r="AW82" i="60"/>
  <c r="BC84" i="60"/>
  <c r="BB84" i="60"/>
  <c r="BB86" i="60" s="1"/>
  <c r="AT82" i="60"/>
  <c r="AW81" i="60"/>
  <c r="BA83" i="60"/>
  <c r="AV81" i="60"/>
  <c r="BE67" i="60"/>
  <c r="AT66" i="60"/>
  <c r="AR66" i="60"/>
  <c r="AY83" i="60"/>
  <c r="AY82" i="60"/>
  <c r="AR67" i="60"/>
  <c r="AS31" i="60"/>
  <c r="AS33" i="60"/>
  <c r="BA65" i="60"/>
  <c r="AT81" i="60"/>
  <c r="AK51" i="60"/>
  <c r="BB66" i="60"/>
  <c r="BJ69" i="60"/>
  <c r="AP50" i="60"/>
  <c r="AV83" i="60"/>
  <c r="AN83" i="60"/>
  <c r="AY84" i="60"/>
  <c r="AD51" i="60"/>
  <c r="D52" i="65"/>
  <c r="AT70" i="60"/>
  <c r="AV93" i="60"/>
  <c r="AJ95" i="60"/>
  <c r="AE37" i="78" s="1"/>
  <c r="AO33" i="60"/>
  <c r="BH82" i="60"/>
  <c r="AV68" i="60"/>
  <c r="AQ83" i="60"/>
  <c r="AN84" i="60"/>
  <c r="AQ81" i="60"/>
  <c r="BA82" i="60"/>
  <c r="H17" i="56"/>
  <c r="P14" i="56"/>
  <c r="AZ70" i="60"/>
  <c r="AO32" i="60"/>
  <c r="BN85" i="60"/>
  <c r="AW50" i="60"/>
  <c r="BE83" i="60"/>
  <c r="BT31" i="60"/>
  <c r="BK81" i="60"/>
  <c r="AR83" i="60"/>
  <c r="AY50" i="60"/>
  <c r="R16" i="56"/>
  <c r="F19" i="76"/>
  <c r="AT50" i="60"/>
  <c r="AT51" i="60" s="1"/>
  <c r="AR50" i="60"/>
  <c r="AR51" i="60" s="1"/>
  <c r="AS70" i="60"/>
  <c r="BK69" i="60"/>
  <c r="AN69" i="60"/>
  <c r="AU83" i="60"/>
  <c r="BA67" i="60"/>
  <c r="BJ67" i="60"/>
  <c r="AO66" i="60"/>
  <c r="BC31" i="60"/>
  <c r="AY70" i="60"/>
  <c r="BP69" i="60"/>
  <c r="BB67" i="60"/>
  <c r="BU95" i="60"/>
  <c r="CG93" i="60"/>
  <c r="AT67" i="60"/>
  <c r="AU50" i="60"/>
  <c r="AW49" i="60"/>
  <c r="AP69" i="60"/>
  <c r="BD49" i="60"/>
  <c r="AR70" i="60"/>
  <c r="AZ67" i="60"/>
  <c r="AR93" i="60"/>
  <c r="AF95" i="60"/>
  <c r="AA37" i="78" s="1"/>
  <c r="AQ66" i="60"/>
  <c r="AY67" i="60"/>
  <c r="AX50" i="60"/>
  <c r="AZ82" i="60"/>
  <c r="BW66" i="60"/>
  <c r="AW70" i="60"/>
  <c r="BQ85" i="60"/>
  <c r="AV67" i="60"/>
  <c r="AS82" i="60"/>
  <c r="BR83" i="60"/>
  <c r="BB83" i="60"/>
  <c r="AS65" i="60"/>
  <c r="BH84" i="60"/>
  <c r="AH95" i="60"/>
  <c r="AC37" i="78" s="1"/>
  <c r="AT93" i="60"/>
  <c r="AW67" i="60"/>
  <c r="BF33" i="60"/>
  <c r="AR33" i="60"/>
  <c r="AN32" i="60"/>
  <c r="AW31" i="60"/>
  <c r="AK34" i="60"/>
  <c r="AP32" i="60"/>
  <c r="BF49" i="60"/>
  <c r="AF34" i="60"/>
  <c r="J14" i="81" s="1"/>
  <c r="AR32" i="60"/>
  <c r="D70" i="82"/>
  <c r="F70" i="82"/>
  <c r="E70" i="82"/>
  <c r="AX32" i="60"/>
  <c r="AL34" i="60"/>
  <c r="AP33" i="60"/>
  <c r="AX49" i="60"/>
  <c r="AL51" i="60"/>
  <c r="C70" i="82"/>
  <c r="I8" i="64"/>
  <c r="BS32" i="60"/>
  <c r="BG33" i="60"/>
  <c r="AQ49" i="60"/>
  <c r="AT31" i="60"/>
  <c r="AH34" i="60"/>
  <c r="L14" i="81" s="1"/>
  <c r="S53" i="60"/>
  <c r="AL95" i="60"/>
  <c r="AX93" i="60"/>
  <c r="AW66" i="60"/>
  <c r="AQ32" i="60"/>
  <c r="Q34" i="60"/>
  <c r="AC31" i="60"/>
  <c r="AU82" i="60"/>
  <c r="E36" i="60"/>
  <c r="AR82" i="60"/>
  <c r="BH50" i="60"/>
  <c r="AU49" i="60"/>
  <c r="AI51" i="60"/>
  <c r="BB49" i="60"/>
  <c r="AZ49" i="60"/>
  <c r="U36" i="78" l="1"/>
  <c r="J36" i="78"/>
  <c r="E36" i="78"/>
  <c r="E38" i="78" s="1"/>
  <c r="AC36" i="78"/>
  <c r="AC38" i="78" s="1"/>
  <c r="AL71" i="60"/>
  <c r="AN71" i="60"/>
  <c r="AT71" i="60"/>
  <c r="G69" i="115"/>
  <c r="G72" i="115" s="1"/>
  <c r="AB71" i="60"/>
  <c r="BB68" i="60"/>
  <c r="AP71" i="60"/>
  <c r="I72" i="115"/>
  <c r="A49" i="80"/>
  <c r="G69" i="65"/>
  <c r="J49" i="61" s="1"/>
  <c r="N69" i="65"/>
  <c r="N69" i="115"/>
  <c r="N72" i="115" s="1"/>
  <c r="BC68" i="60"/>
  <c r="BC71" i="60" s="1"/>
  <c r="AU68" i="60"/>
  <c r="AU71" i="60" s="1"/>
  <c r="BQ68" i="60"/>
  <c r="BA68" i="60"/>
  <c r="F38" i="78"/>
  <c r="R22" i="56"/>
  <c r="Q29" i="56"/>
  <c r="R23" i="56"/>
  <c r="Q30" i="56"/>
  <c r="R21" i="56"/>
  <c r="Q28" i="56"/>
  <c r="I51" i="80"/>
  <c r="J32" i="72" s="1"/>
  <c r="U38" i="78"/>
  <c r="D38" i="78"/>
  <c r="V38" i="78"/>
  <c r="BC36" i="80"/>
  <c r="BC47" i="80" s="1"/>
  <c r="BB42" i="80"/>
  <c r="BB70" i="80" s="1"/>
  <c r="BB66" i="80"/>
  <c r="M42" i="80"/>
  <c r="M70" i="80" s="1"/>
  <c r="N42" i="80"/>
  <c r="N70" i="80" s="1"/>
  <c r="L42" i="80"/>
  <c r="L70" i="80" s="1"/>
  <c r="K42" i="80"/>
  <c r="K70" i="80" s="1"/>
  <c r="J42" i="80"/>
  <c r="J70" i="80" s="1"/>
  <c r="J51" i="61"/>
  <c r="J30" i="61"/>
  <c r="J15" i="61"/>
  <c r="BG85" i="60"/>
  <c r="BS85" i="60" s="1"/>
  <c r="K96" i="65"/>
  <c r="BG65" i="60"/>
  <c r="BS65" i="60" s="1"/>
  <c r="BB82" i="60"/>
  <c r="P83" i="115"/>
  <c r="Q83" i="115" s="1"/>
  <c r="P84" i="115"/>
  <c r="Q84" i="115" s="1"/>
  <c r="I52" i="65"/>
  <c r="BJ31" i="60"/>
  <c r="BV31" i="60" s="1"/>
  <c r="P68" i="115"/>
  <c r="Q68" i="115" s="1"/>
  <c r="P68" i="65"/>
  <c r="D48" i="61" s="1"/>
  <c r="O96" i="65"/>
  <c r="N96" i="65"/>
  <c r="O70" i="115"/>
  <c r="O72" i="115" s="1"/>
  <c r="O70" i="65"/>
  <c r="L70" i="115"/>
  <c r="L70" i="65"/>
  <c r="I32" i="115"/>
  <c r="I35" i="115" s="1"/>
  <c r="I32" i="65"/>
  <c r="N82" i="115"/>
  <c r="N82" i="65"/>
  <c r="J51" i="115"/>
  <c r="J52" i="115" s="1"/>
  <c r="J51" i="65"/>
  <c r="L50" i="115"/>
  <c r="L50" i="65"/>
  <c r="M72" i="115"/>
  <c r="G51" i="115"/>
  <c r="G51" i="65"/>
  <c r="J94" i="115"/>
  <c r="J96" i="115" s="1"/>
  <c r="J94" i="65"/>
  <c r="H86" i="115"/>
  <c r="H86" i="65"/>
  <c r="H94" i="115"/>
  <c r="H94" i="65"/>
  <c r="H96" i="65" s="1"/>
  <c r="N52" i="115"/>
  <c r="P15" i="115"/>
  <c r="Q15" i="115" s="1"/>
  <c r="L33" i="115"/>
  <c r="P33" i="115" s="1"/>
  <c r="Q33" i="115" s="1"/>
  <c r="L33" i="65"/>
  <c r="G67" i="115"/>
  <c r="P67" i="115" s="1"/>
  <c r="Q67" i="115" s="1"/>
  <c r="G67" i="65"/>
  <c r="L94" i="115"/>
  <c r="L96" i="115" s="1"/>
  <c r="L94" i="65"/>
  <c r="L96" i="65" s="1"/>
  <c r="O34" i="115"/>
  <c r="O35" i="115" s="1"/>
  <c r="O34" i="65"/>
  <c r="O35" i="65" s="1"/>
  <c r="D85" i="115"/>
  <c r="D85" i="65"/>
  <c r="J52" i="61" s="1"/>
  <c r="O50" i="115"/>
  <c r="O52" i="115" s="1"/>
  <c r="O50" i="65"/>
  <c r="K35" i="115"/>
  <c r="H32" i="115"/>
  <c r="H35" i="115" s="1"/>
  <c r="H32" i="65"/>
  <c r="D70" i="115"/>
  <c r="D70" i="65"/>
  <c r="BJ83" i="60"/>
  <c r="M87" i="115"/>
  <c r="E72" i="115"/>
  <c r="BM10" i="113"/>
  <c r="BM8" i="60"/>
  <c r="BE4" i="80" s="1"/>
  <c r="Q113" i="60"/>
  <c r="AL113" i="60"/>
  <c r="AF113" i="60"/>
  <c r="U113" i="60"/>
  <c r="R36" i="60"/>
  <c r="R113" i="60"/>
  <c r="B128" i="82"/>
  <c r="J127" i="82"/>
  <c r="AH113" i="60"/>
  <c r="AK113" i="60"/>
  <c r="M44" i="60"/>
  <c r="M36" i="60"/>
  <c r="CD46" i="113"/>
  <c r="P442" i="82"/>
  <c r="P443" i="82"/>
  <c r="P444" i="82"/>
  <c r="P441" i="82"/>
  <c r="P446" i="82"/>
  <c r="P447" i="82"/>
  <c r="P448" i="82"/>
  <c r="P445" i="82"/>
  <c r="P450" i="82"/>
  <c r="P451" i="82"/>
  <c r="P452" i="82"/>
  <c r="P449" i="82"/>
  <c r="P454" i="82"/>
  <c r="P455" i="82"/>
  <c r="P456" i="82"/>
  <c r="P453" i="82"/>
  <c r="H77" i="82"/>
  <c r="H81" i="82"/>
  <c r="H85" i="82"/>
  <c r="H89" i="82"/>
  <c r="H93" i="82"/>
  <c r="H97" i="82"/>
  <c r="H101" i="82"/>
  <c r="H105" i="82"/>
  <c r="H109" i="82"/>
  <c r="H113" i="82"/>
  <c r="H117" i="82"/>
  <c r="H121" i="82"/>
  <c r="H125" i="82"/>
  <c r="H129" i="82"/>
  <c r="H133" i="82"/>
  <c r="H137" i="82"/>
  <c r="H141" i="82"/>
  <c r="H145" i="82"/>
  <c r="H149" i="82"/>
  <c r="H153" i="82"/>
  <c r="H157" i="82"/>
  <c r="H161" i="82"/>
  <c r="H165" i="82"/>
  <c r="H169" i="82"/>
  <c r="H173" i="82"/>
  <c r="H177" i="82"/>
  <c r="H181" i="82"/>
  <c r="H185" i="82"/>
  <c r="H189" i="82"/>
  <c r="H193" i="82"/>
  <c r="H197" i="82"/>
  <c r="H201" i="82"/>
  <c r="H205" i="82"/>
  <c r="H209" i="82"/>
  <c r="H213" i="82"/>
  <c r="H217" i="82"/>
  <c r="H221" i="82"/>
  <c r="H225" i="82"/>
  <c r="H229" i="82"/>
  <c r="H233" i="82"/>
  <c r="H237" i="82"/>
  <c r="H241" i="82"/>
  <c r="H245" i="82"/>
  <c r="H249" i="82"/>
  <c r="H253" i="82"/>
  <c r="H257" i="82"/>
  <c r="H261" i="82"/>
  <c r="H265" i="82"/>
  <c r="H269" i="82"/>
  <c r="H273" i="82"/>
  <c r="H277" i="82"/>
  <c r="H281" i="82"/>
  <c r="H285" i="82"/>
  <c r="H289" i="82"/>
  <c r="H293" i="82"/>
  <c r="H297" i="82"/>
  <c r="H301" i="82"/>
  <c r="H305" i="82"/>
  <c r="H309" i="82"/>
  <c r="H313" i="82"/>
  <c r="H317" i="82"/>
  <c r="H321" i="82"/>
  <c r="H325" i="82"/>
  <c r="H329" i="82"/>
  <c r="H333" i="82"/>
  <c r="H337" i="82"/>
  <c r="H341" i="82"/>
  <c r="H345" i="82"/>
  <c r="H349" i="82"/>
  <c r="H353" i="82"/>
  <c r="H357" i="82"/>
  <c r="H361" i="82"/>
  <c r="H365" i="82"/>
  <c r="H369" i="82"/>
  <c r="H373" i="82"/>
  <c r="H377" i="82"/>
  <c r="H381" i="82"/>
  <c r="H385" i="82"/>
  <c r="H389" i="82"/>
  <c r="H393" i="82"/>
  <c r="H397" i="82"/>
  <c r="H401" i="82"/>
  <c r="H78" i="82"/>
  <c r="H82" i="82"/>
  <c r="H86" i="82"/>
  <c r="H90" i="82"/>
  <c r="H94" i="82"/>
  <c r="H98" i="82"/>
  <c r="H102" i="82"/>
  <c r="H106" i="82"/>
  <c r="H110" i="82"/>
  <c r="H114" i="82"/>
  <c r="H118" i="82"/>
  <c r="H122" i="82"/>
  <c r="H126" i="82"/>
  <c r="H130" i="82"/>
  <c r="H134" i="82"/>
  <c r="H138" i="82"/>
  <c r="H142" i="82"/>
  <c r="H146" i="82"/>
  <c r="H150" i="82"/>
  <c r="H154" i="82"/>
  <c r="H158" i="82"/>
  <c r="H162" i="82"/>
  <c r="H166" i="82"/>
  <c r="H170" i="82"/>
  <c r="H174" i="82"/>
  <c r="H178" i="82"/>
  <c r="H182" i="82"/>
  <c r="H186" i="82"/>
  <c r="H190" i="82"/>
  <c r="H194" i="82"/>
  <c r="H198" i="82"/>
  <c r="H202" i="82"/>
  <c r="H206" i="82"/>
  <c r="H210" i="82"/>
  <c r="H214" i="82"/>
  <c r="H218" i="82"/>
  <c r="H222" i="82"/>
  <c r="H226" i="82"/>
  <c r="H230" i="82"/>
  <c r="H234" i="82"/>
  <c r="H238" i="82"/>
  <c r="H242" i="82"/>
  <c r="H246" i="82"/>
  <c r="H250" i="82"/>
  <c r="H254" i="82"/>
  <c r="H258" i="82"/>
  <c r="H262" i="82"/>
  <c r="H266" i="82"/>
  <c r="H270" i="82"/>
  <c r="H274" i="82"/>
  <c r="H278" i="82"/>
  <c r="H282" i="82"/>
  <c r="H286" i="82"/>
  <c r="H290" i="82"/>
  <c r="H294" i="82"/>
  <c r="H298" i="82"/>
  <c r="H302" i="82"/>
  <c r="H306" i="82"/>
  <c r="H310" i="82"/>
  <c r="H314" i="82"/>
  <c r="H318" i="82"/>
  <c r="H322" i="82"/>
  <c r="H326" i="82"/>
  <c r="H330" i="82"/>
  <c r="H334" i="82"/>
  <c r="H338" i="82"/>
  <c r="H342" i="82"/>
  <c r="H346" i="82"/>
  <c r="H350" i="82"/>
  <c r="H354" i="82"/>
  <c r="H358" i="82"/>
  <c r="H362" i="82"/>
  <c r="H366" i="82"/>
  <c r="H370" i="82"/>
  <c r="H374" i="82"/>
  <c r="H378" i="82"/>
  <c r="H382" i="82"/>
  <c r="H386" i="82"/>
  <c r="H390" i="82"/>
  <c r="H394" i="82"/>
  <c r="H398" i="82"/>
  <c r="H402" i="82"/>
  <c r="H406" i="82"/>
  <c r="H79" i="82"/>
  <c r="H83" i="82"/>
  <c r="H87" i="82"/>
  <c r="H91" i="82"/>
  <c r="H95" i="82"/>
  <c r="H99" i="82"/>
  <c r="H103" i="82"/>
  <c r="H107" i="82"/>
  <c r="H111" i="82"/>
  <c r="H115" i="82"/>
  <c r="H119" i="82"/>
  <c r="H123" i="82"/>
  <c r="H127" i="82"/>
  <c r="H131" i="82"/>
  <c r="H135" i="82"/>
  <c r="H139" i="82"/>
  <c r="H143" i="82"/>
  <c r="H147" i="82"/>
  <c r="H151" i="82"/>
  <c r="H155" i="82"/>
  <c r="H159" i="82"/>
  <c r="H163" i="82"/>
  <c r="H167" i="82"/>
  <c r="H171" i="82"/>
  <c r="H175" i="82"/>
  <c r="H179" i="82"/>
  <c r="H183" i="82"/>
  <c r="H187" i="82"/>
  <c r="H191" i="82"/>
  <c r="H195" i="82"/>
  <c r="H199" i="82"/>
  <c r="H203" i="82"/>
  <c r="H207" i="82"/>
  <c r="H211" i="82"/>
  <c r="H215" i="82"/>
  <c r="H219" i="82"/>
  <c r="H223" i="82"/>
  <c r="H227" i="82"/>
  <c r="H231" i="82"/>
  <c r="H235" i="82"/>
  <c r="H239" i="82"/>
  <c r="H243" i="82"/>
  <c r="H247" i="82"/>
  <c r="H251" i="82"/>
  <c r="H255" i="82"/>
  <c r="H259" i="82"/>
  <c r="H263" i="82"/>
  <c r="H267" i="82"/>
  <c r="H271" i="82"/>
  <c r="H275" i="82"/>
  <c r="H279" i="82"/>
  <c r="H283" i="82"/>
  <c r="H287" i="82"/>
  <c r="H291" i="82"/>
  <c r="H295" i="82"/>
  <c r="H299" i="82"/>
  <c r="H303" i="82"/>
  <c r="H307" i="82"/>
  <c r="H311" i="82"/>
  <c r="H315" i="82"/>
  <c r="H319" i="82"/>
  <c r="H323" i="82"/>
  <c r="H327" i="82"/>
  <c r="H331" i="82"/>
  <c r="H335" i="82"/>
  <c r="H339" i="82"/>
  <c r="H343" i="82"/>
  <c r="H347" i="82"/>
  <c r="H351" i="82"/>
  <c r="H355" i="82"/>
  <c r="H359" i="82"/>
  <c r="H363" i="82"/>
  <c r="H367" i="82"/>
  <c r="H371" i="82"/>
  <c r="H375" i="82"/>
  <c r="H379" i="82"/>
  <c r="H383" i="82"/>
  <c r="H387" i="82"/>
  <c r="H391" i="82"/>
  <c r="H395" i="82"/>
  <c r="H399" i="82"/>
  <c r="H403" i="82"/>
  <c r="H80" i="82"/>
  <c r="H84" i="82"/>
  <c r="H88" i="82"/>
  <c r="H92" i="82"/>
  <c r="H96" i="82"/>
  <c r="H100" i="82"/>
  <c r="H104" i="82"/>
  <c r="H108" i="82"/>
  <c r="H112" i="82"/>
  <c r="H116" i="82"/>
  <c r="H120" i="82"/>
  <c r="H124" i="82"/>
  <c r="H128" i="82"/>
  <c r="H132" i="82"/>
  <c r="H136" i="82"/>
  <c r="H140" i="82"/>
  <c r="H144" i="82"/>
  <c r="H148" i="82"/>
  <c r="H152" i="82"/>
  <c r="H156" i="82"/>
  <c r="H160" i="82"/>
  <c r="H164" i="82"/>
  <c r="H168" i="82"/>
  <c r="H172" i="82"/>
  <c r="H176" i="82"/>
  <c r="H180" i="82"/>
  <c r="H184" i="82"/>
  <c r="H188" i="82"/>
  <c r="H192" i="82"/>
  <c r="H196" i="82"/>
  <c r="H200" i="82"/>
  <c r="H204" i="82"/>
  <c r="H208" i="82"/>
  <c r="H212" i="82"/>
  <c r="H216" i="82"/>
  <c r="H220" i="82"/>
  <c r="H224" i="82"/>
  <c r="H228" i="82"/>
  <c r="H232" i="82"/>
  <c r="H236" i="82"/>
  <c r="H240" i="82"/>
  <c r="H244" i="82"/>
  <c r="H248" i="82"/>
  <c r="H252" i="82"/>
  <c r="H256" i="82"/>
  <c r="H260" i="82"/>
  <c r="H264" i="82"/>
  <c r="H268" i="82"/>
  <c r="H272" i="82"/>
  <c r="H276" i="82"/>
  <c r="H280" i="82"/>
  <c r="H284" i="82"/>
  <c r="H288" i="82"/>
  <c r="H292" i="82"/>
  <c r="H296" i="82"/>
  <c r="H300" i="82"/>
  <c r="H304" i="82"/>
  <c r="H308" i="82"/>
  <c r="H312" i="82"/>
  <c r="H316" i="82"/>
  <c r="H320" i="82"/>
  <c r="H324" i="82"/>
  <c r="H328" i="82"/>
  <c r="H332" i="82"/>
  <c r="H336" i="82"/>
  <c r="H340" i="82"/>
  <c r="H344" i="82"/>
  <c r="H348" i="82"/>
  <c r="H352" i="82"/>
  <c r="H356" i="82"/>
  <c r="H360" i="82"/>
  <c r="H364" i="82"/>
  <c r="H368" i="82"/>
  <c r="H372" i="82"/>
  <c r="H376" i="82"/>
  <c r="H380" i="82"/>
  <c r="H384" i="82"/>
  <c r="H388" i="82"/>
  <c r="H392" i="82"/>
  <c r="H396" i="82"/>
  <c r="H400" i="82"/>
  <c r="H404" i="82"/>
  <c r="H409" i="82"/>
  <c r="H413" i="82"/>
  <c r="H417" i="82"/>
  <c r="H405" i="82"/>
  <c r="H410" i="82"/>
  <c r="H414" i="82"/>
  <c r="H418" i="82"/>
  <c r="H407" i="82"/>
  <c r="H411" i="82"/>
  <c r="H415" i="82"/>
  <c r="H419" i="82"/>
  <c r="H423" i="82"/>
  <c r="H427" i="82"/>
  <c r="H431" i="82"/>
  <c r="H435" i="82"/>
  <c r="H439" i="82"/>
  <c r="H443" i="82"/>
  <c r="H447" i="82"/>
  <c r="H451" i="82"/>
  <c r="H455" i="82"/>
  <c r="P78" i="82"/>
  <c r="P82" i="82"/>
  <c r="P86" i="82"/>
  <c r="P90" i="82"/>
  <c r="P94" i="82"/>
  <c r="P98" i="82"/>
  <c r="P102" i="82"/>
  <c r="P106" i="82"/>
  <c r="P110" i="82"/>
  <c r="P114" i="82"/>
  <c r="P118" i="82"/>
  <c r="P122" i="82"/>
  <c r="P126" i="82"/>
  <c r="P130" i="82"/>
  <c r="P134" i="82"/>
  <c r="P138" i="82"/>
  <c r="P142" i="82"/>
  <c r="P146" i="82"/>
  <c r="P150" i="82"/>
  <c r="P154" i="82"/>
  <c r="P158" i="82"/>
  <c r="P162" i="82"/>
  <c r="P166" i="82"/>
  <c r="P170" i="82"/>
  <c r="P174" i="82"/>
  <c r="P178" i="82"/>
  <c r="P182" i="82"/>
  <c r="P186" i="82"/>
  <c r="P190" i="82"/>
  <c r="P194" i="82"/>
  <c r="P198" i="82"/>
  <c r="P202" i="82"/>
  <c r="P206" i="82"/>
  <c r="P210" i="82"/>
  <c r="P214" i="82"/>
  <c r="P218" i="82"/>
  <c r="P222" i="82"/>
  <c r="P226" i="82"/>
  <c r="P230" i="82"/>
  <c r="P234" i="82"/>
  <c r="P238" i="82"/>
  <c r="P242" i="82"/>
  <c r="P246" i="82"/>
  <c r="P250" i="82"/>
  <c r="P254" i="82"/>
  <c r="P258" i="82"/>
  <c r="P262" i="82"/>
  <c r="P266" i="82"/>
  <c r="P270" i="82"/>
  <c r="P274" i="82"/>
  <c r="P278" i="82"/>
  <c r="P282" i="82"/>
  <c r="P286" i="82"/>
  <c r="P290" i="82"/>
  <c r="P294" i="82"/>
  <c r="P298" i="82"/>
  <c r="P302" i="82"/>
  <c r="P306" i="82"/>
  <c r="P310" i="82"/>
  <c r="P314" i="82"/>
  <c r="P318" i="82"/>
  <c r="P322" i="82"/>
  <c r="P326" i="82"/>
  <c r="P330" i="82"/>
  <c r="P334" i="82"/>
  <c r="P338" i="82"/>
  <c r="P342" i="82"/>
  <c r="P346" i="82"/>
  <c r="P350" i="82"/>
  <c r="P354" i="82"/>
  <c r="P358" i="82"/>
  <c r="P362" i="82"/>
  <c r="H408" i="82"/>
  <c r="H412" i="82"/>
  <c r="H416" i="82"/>
  <c r="H420" i="82"/>
  <c r="H424" i="82"/>
  <c r="H428" i="82"/>
  <c r="H432" i="82"/>
  <c r="H436" i="82"/>
  <c r="H440" i="82"/>
  <c r="H444" i="82"/>
  <c r="H448" i="82"/>
  <c r="H452" i="82"/>
  <c r="H456" i="82"/>
  <c r="P79" i="82"/>
  <c r="P83" i="82"/>
  <c r="P87" i="82"/>
  <c r="P91" i="82"/>
  <c r="P95" i="82"/>
  <c r="P99" i="82"/>
  <c r="P103" i="82"/>
  <c r="P107" i="82"/>
  <c r="P111" i="82"/>
  <c r="P115" i="82"/>
  <c r="P119" i="82"/>
  <c r="P123" i="82"/>
  <c r="P127" i="82"/>
  <c r="P131" i="82"/>
  <c r="P135" i="82"/>
  <c r="P139" i="82"/>
  <c r="P143" i="82"/>
  <c r="P147" i="82"/>
  <c r="P151" i="82"/>
  <c r="P155" i="82"/>
  <c r="P159" i="82"/>
  <c r="P163" i="82"/>
  <c r="P167" i="82"/>
  <c r="P171" i="82"/>
  <c r="P175" i="82"/>
  <c r="P179" i="82"/>
  <c r="P183" i="82"/>
  <c r="P187" i="82"/>
  <c r="P191" i="82"/>
  <c r="P195" i="82"/>
  <c r="P199" i="82"/>
  <c r="P203" i="82"/>
  <c r="P207" i="82"/>
  <c r="P211" i="82"/>
  <c r="P215" i="82"/>
  <c r="P219" i="82"/>
  <c r="P223" i="82"/>
  <c r="P227" i="82"/>
  <c r="P231" i="82"/>
  <c r="P235" i="82"/>
  <c r="P239" i="82"/>
  <c r="P243" i="82"/>
  <c r="P247" i="82"/>
  <c r="P251" i="82"/>
  <c r="P255" i="82"/>
  <c r="P259" i="82"/>
  <c r="P263" i="82"/>
  <c r="P267" i="82"/>
  <c r="P271" i="82"/>
  <c r="P275" i="82"/>
  <c r="P279" i="82"/>
  <c r="P283" i="82"/>
  <c r="P287" i="82"/>
  <c r="P291" i="82"/>
  <c r="P295" i="82"/>
  <c r="P299" i="82"/>
  <c r="P303" i="82"/>
  <c r="P307" i="82"/>
  <c r="P311" i="82"/>
  <c r="P315" i="82"/>
  <c r="P319" i="82"/>
  <c r="P323" i="82"/>
  <c r="P327" i="82"/>
  <c r="P331" i="82"/>
  <c r="P335" i="82"/>
  <c r="P339" i="82"/>
  <c r="P343" i="82"/>
  <c r="P347" i="82"/>
  <c r="P351" i="82"/>
  <c r="P355" i="82"/>
  <c r="P359" i="82"/>
  <c r="P363" i="82"/>
  <c r="H421" i="82"/>
  <c r="H429" i="82"/>
  <c r="H437" i="82"/>
  <c r="H445" i="82"/>
  <c r="H453" i="82"/>
  <c r="P80" i="82"/>
  <c r="P88" i="82"/>
  <c r="P96" i="82"/>
  <c r="P104" i="82"/>
  <c r="P112" i="82"/>
  <c r="P120" i="82"/>
  <c r="P128" i="82"/>
  <c r="P136" i="82"/>
  <c r="P144" i="82"/>
  <c r="P152" i="82"/>
  <c r="P160" i="82"/>
  <c r="P168" i="82"/>
  <c r="P176" i="82"/>
  <c r="P184" i="82"/>
  <c r="P192" i="82"/>
  <c r="P200" i="82"/>
  <c r="P208" i="82"/>
  <c r="P216" i="82"/>
  <c r="P224" i="82"/>
  <c r="P232" i="82"/>
  <c r="P240" i="82"/>
  <c r="P248" i="82"/>
  <c r="P256" i="82"/>
  <c r="P264" i="82"/>
  <c r="P272" i="82"/>
  <c r="P280" i="82"/>
  <c r="P288" i="82"/>
  <c r="P296" i="82"/>
  <c r="P304" i="82"/>
  <c r="P312" i="82"/>
  <c r="P320" i="82"/>
  <c r="P328" i="82"/>
  <c r="P336" i="82"/>
  <c r="P344" i="82"/>
  <c r="P352" i="82"/>
  <c r="P360" i="82"/>
  <c r="P366" i="82"/>
  <c r="P370" i="82"/>
  <c r="P374" i="82"/>
  <c r="P378" i="82"/>
  <c r="P382" i="82"/>
  <c r="P386" i="82"/>
  <c r="P390" i="82"/>
  <c r="P394" i="82"/>
  <c r="P398" i="82"/>
  <c r="P402" i="82"/>
  <c r="P406" i="82"/>
  <c r="P410" i="82"/>
  <c r="P414" i="82"/>
  <c r="P418" i="82"/>
  <c r="P422" i="82"/>
  <c r="P426" i="82"/>
  <c r="P430" i="82"/>
  <c r="P434" i="82"/>
  <c r="P438" i="82"/>
  <c r="H422" i="82"/>
  <c r="H430" i="82"/>
  <c r="H438" i="82"/>
  <c r="H446" i="82"/>
  <c r="H454" i="82"/>
  <c r="P81" i="82"/>
  <c r="P89" i="82"/>
  <c r="P97" i="82"/>
  <c r="P105" i="82"/>
  <c r="P113" i="82"/>
  <c r="P121" i="82"/>
  <c r="P129" i="82"/>
  <c r="P137" i="82"/>
  <c r="P145" i="82"/>
  <c r="P153" i="82"/>
  <c r="P161" i="82"/>
  <c r="P169" i="82"/>
  <c r="P177" i="82"/>
  <c r="P185" i="82"/>
  <c r="P193" i="82"/>
  <c r="P201" i="82"/>
  <c r="P209" i="82"/>
  <c r="P217" i="82"/>
  <c r="P225" i="82"/>
  <c r="P233" i="82"/>
  <c r="P241" i="82"/>
  <c r="P249" i="82"/>
  <c r="P257" i="82"/>
  <c r="P265" i="82"/>
  <c r="P273" i="82"/>
  <c r="P281" i="82"/>
  <c r="P289" i="82"/>
  <c r="P297" i="82"/>
  <c r="P305" i="82"/>
  <c r="P313" i="82"/>
  <c r="P321" i="82"/>
  <c r="P329" i="82"/>
  <c r="P337" i="82"/>
  <c r="P345" i="82"/>
  <c r="P353" i="82"/>
  <c r="P361" i="82"/>
  <c r="P367" i="82"/>
  <c r="P371" i="82"/>
  <c r="P375" i="82"/>
  <c r="P379" i="82"/>
  <c r="P383" i="82"/>
  <c r="P387" i="82"/>
  <c r="P391" i="82"/>
  <c r="P395" i="82"/>
  <c r="P399" i="82"/>
  <c r="P403" i="82"/>
  <c r="P407" i="82"/>
  <c r="P411" i="82"/>
  <c r="P415" i="82"/>
  <c r="P419" i="82"/>
  <c r="P423" i="82"/>
  <c r="P427" i="82"/>
  <c r="P431" i="82"/>
  <c r="P435" i="82"/>
  <c r="P439" i="82"/>
  <c r="H425" i="82"/>
  <c r="H433" i="82"/>
  <c r="H441" i="82"/>
  <c r="H449" i="82"/>
  <c r="P84" i="82"/>
  <c r="P92" i="82"/>
  <c r="P100" i="82"/>
  <c r="P108" i="82"/>
  <c r="P116" i="82"/>
  <c r="P124" i="82"/>
  <c r="P132" i="82"/>
  <c r="P140" i="82"/>
  <c r="P148" i="82"/>
  <c r="P156" i="82"/>
  <c r="P164" i="82"/>
  <c r="P172" i="82"/>
  <c r="P180" i="82"/>
  <c r="P188" i="82"/>
  <c r="P196" i="82"/>
  <c r="P204" i="82"/>
  <c r="P212" i="82"/>
  <c r="P220" i="82"/>
  <c r="P228" i="82"/>
  <c r="P236" i="82"/>
  <c r="P244" i="82"/>
  <c r="P252" i="82"/>
  <c r="P260" i="82"/>
  <c r="P268" i="82"/>
  <c r="P276" i="82"/>
  <c r="P284" i="82"/>
  <c r="P292" i="82"/>
  <c r="P300" i="82"/>
  <c r="P308" i="82"/>
  <c r="P316" i="82"/>
  <c r="P324" i="82"/>
  <c r="P332" i="82"/>
  <c r="P340" i="82"/>
  <c r="P348" i="82"/>
  <c r="P356" i="82"/>
  <c r="P364" i="82"/>
  <c r="P368" i="82"/>
  <c r="P372" i="82"/>
  <c r="P376" i="82"/>
  <c r="P380" i="82"/>
  <c r="P384" i="82"/>
  <c r="P388" i="82"/>
  <c r="P392" i="82"/>
  <c r="P396" i="82"/>
  <c r="P400" i="82"/>
  <c r="P404" i="82"/>
  <c r="P408" i="82"/>
  <c r="P412" i="82"/>
  <c r="P416" i="82"/>
  <c r="P420" i="82"/>
  <c r="P424" i="82"/>
  <c r="P428" i="82"/>
  <c r="P432" i="82"/>
  <c r="P436" i="82"/>
  <c r="P440" i="82"/>
  <c r="P76" i="82"/>
  <c r="H426" i="82"/>
  <c r="H434" i="82"/>
  <c r="H442" i="82"/>
  <c r="H450" i="82"/>
  <c r="P77" i="82"/>
  <c r="P85" i="82"/>
  <c r="P93" i="82"/>
  <c r="P101" i="82"/>
  <c r="P109" i="82"/>
  <c r="P117" i="82"/>
  <c r="P125" i="82"/>
  <c r="P133" i="82"/>
  <c r="P141" i="82"/>
  <c r="P149" i="82"/>
  <c r="P157" i="82"/>
  <c r="P165" i="82"/>
  <c r="P173" i="82"/>
  <c r="P181" i="82"/>
  <c r="P189" i="82"/>
  <c r="P197" i="82"/>
  <c r="P205" i="82"/>
  <c r="P213" i="82"/>
  <c r="P221" i="82"/>
  <c r="P229" i="82"/>
  <c r="P237" i="82"/>
  <c r="P245" i="82"/>
  <c r="P253" i="82"/>
  <c r="P261" i="82"/>
  <c r="P269" i="82"/>
  <c r="P277" i="82"/>
  <c r="P285" i="82"/>
  <c r="P293" i="82"/>
  <c r="P301" i="82"/>
  <c r="P309" i="82"/>
  <c r="P317" i="82"/>
  <c r="P325" i="82"/>
  <c r="P333" i="82"/>
  <c r="P341" i="82"/>
  <c r="P349" i="82"/>
  <c r="P357" i="82"/>
  <c r="P365" i="82"/>
  <c r="P369" i="82"/>
  <c r="P373" i="82"/>
  <c r="P377" i="82"/>
  <c r="P381" i="82"/>
  <c r="P385" i="82"/>
  <c r="P389" i="82"/>
  <c r="P393" i="82"/>
  <c r="P397" i="82"/>
  <c r="P401" i="82"/>
  <c r="P405" i="82"/>
  <c r="P409" i="82"/>
  <c r="P413" i="82"/>
  <c r="P417" i="82"/>
  <c r="P421" i="82"/>
  <c r="P425" i="82"/>
  <c r="P429" i="82"/>
  <c r="P433" i="82"/>
  <c r="P437" i="82"/>
  <c r="BI83" i="60"/>
  <c r="BU83" i="60" s="1"/>
  <c r="BI85" i="60"/>
  <c r="R44" i="56"/>
  <c r="H76" i="82"/>
  <c r="F33" i="91"/>
  <c r="H33" i="91" s="1"/>
  <c r="M33" i="91" s="1"/>
  <c r="P33" i="91" s="1"/>
  <c r="AX85" i="60"/>
  <c r="BJ85" i="60" s="1"/>
  <c r="BV85" i="60" s="1"/>
  <c r="BJ84" i="60"/>
  <c r="BV84" i="60" s="1"/>
  <c r="F28" i="76"/>
  <c r="F26" i="91"/>
  <c r="F87" i="65"/>
  <c r="F25" i="91"/>
  <c r="AE51" i="60"/>
  <c r="E52" i="65"/>
  <c r="F16" i="91"/>
  <c r="H36" i="76"/>
  <c r="M36" i="76" s="1"/>
  <c r="P36" i="76" s="1"/>
  <c r="F36" i="91"/>
  <c r="H36" i="91" s="1"/>
  <c r="M36" i="91" s="1"/>
  <c r="P36" i="91" s="1"/>
  <c r="H37" i="76"/>
  <c r="M37" i="76" s="1"/>
  <c r="P37" i="76" s="1"/>
  <c r="F37" i="91"/>
  <c r="H37" i="91" s="1"/>
  <c r="M37" i="91" s="1"/>
  <c r="P37" i="91" s="1"/>
  <c r="H19" i="76"/>
  <c r="F19" i="91"/>
  <c r="H19" i="91" s="1"/>
  <c r="F18" i="91"/>
  <c r="BK33" i="60"/>
  <c r="BW33" i="60" s="1"/>
  <c r="R27" i="56"/>
  <c r="Q29" i="55"/>
  <c r="Q28" i="55"/>
  <c r="Q30" i="55"/>
  <c r="R30" i="55" s="1"/>
  <c r="AO51" i="60"/>
  <c r="H38" i="76"/>
  <c r="M38" i="76" s="1"/>
  <c r="F38" i="91"/>
  <c r="H38" i="91" s="1"/>
  <c r="M38" i="91" s="1"/>
  <c r="E96" i="65"/>
  <c r="AY34" i="60"/>
  <c r="AY113" i="60" s="1"/>
  <c r="D35" i="65"/>
  <c r="G44" i="60"/>
  <c r="F35" i="65"/>
  <c r="AG34" i="60"/>
  <c r="AV33" i="60"/>
  <c r="AZ31" i="60"/>
  <c r="M52" i="65"/>
  <c r="BK31" i="60"/>
  <c r="AP31" i="60"/>
  <c r="BK49" i="60"/>
  <c r="AD34" i="60"/>
  <c r="AJ34" i="60"/>
  <c r="AY51" i="60"/>
  <c r="AT86" i="60"/>
  <c r="AW51" i="60"/>
  <c r="AY68" i="60"/>
  <c r="AY71" i="60" s="1"/>
  <c r="E72" i="65"/>
  <c r="BC67" i="60"/>
  <c r="BI49" i="60"/>
  <c r="BU49" i="60" s="1"/>
  <c r="BC82" i="60"/>
  <c r="BO82" i="60" s="1"/>
  <c r="AC95" i="60"/>
  <c r="X37" i="78" s="1"/>
  <c r="AO93" i="60"/>
  <c r="AO95" i="60" s="1"/>
  <c r="AM86" i="60"/>
  <c r="BY69" i="60"/>
  <c r="BI68" i="60"/>
  <c r="BJ33" i="60"/>
  <c r="BV33" i="60" s="1"/>
  <c r="BD81" i="60"/>
  <c r="AU95" i="60"/>
  <c r="AV49" i="60"/>
  <c r="AJ51" i="60"/>
  <c r="AC86" i="60"/>
  <c r="AO85" i="60"/>
  <c r="BO70" i="60"/>
  <c r="BJ66" i="60"/>
  <c r="BC85" i="60"/>
  <c r="AG95" i="60"/>
  <c r="AB37" i="78" s="1"/>
  <c r="AS93" i="60"/>
  <c r="AQ50" i="60"/>
  <c r="AQ51" i="60" s="1"/>
  <c r="BE50" i="60"/>
  <c r="BM84" i="60"/>
  <c r="BJ65" i="60"/>
  <c r="BM50" i="60"/>
  <c r="G72" i="65"/>
  <c r="R75" i="56"/>
  <c r="BF85" i="60"/>
  <c r="BF86" i="60" s="1"/>
  <c r="G36" i="60"/>
  <c r="BN68" i="60"/>
  <c r="AQ93" i="60"/>
  <c r="AE95" i="60"/>
  <c r="Z37" i="78" s="1"/>
  <c r="AZ68" i="60"/>
  <c r="AS49" i="60"/>
  <c r="AG51" i="60"/>
  <c r="AE33" i="60"/>
  <c r="S34" i="60"/>
  <c r="AQ86" i="60"/>
  <c r="AL86" i="60"/>
  <c r="AN50" i="60"/>
  <c r="AB51" i="60"/>
  <c r="BF68" i="60"/>
  <c r="AD65" i="60"/>
  <c r="BR32" i="60"/>
  <c r="AN66" i="60"/>
  <c r="AG84" i="60"/>
  <c r="U86" i="60"/>
  <c r="AX70" i="60"/>
  <c r="BO69" i="60"/>
  <c r="AV69" i="60"/>
  <c r="AV71" i="60" s="1"/>
  <c r="AJ85" i="60"/>
  <c r="X86" i="60"/>
  <c r="AJ65" i="60"/>
  <c r="W86" i="60"/>
  <c r="AI84" i="60"/>
  <c r="AF85" i="60"/>
  <c r="T86" i="60"/>
  <c r="M36" i="78" s="1"/>
  <c r="P86" i="60"/>
  <c r="AB85" i="60"/>
  <c r="AU81" i="60"/>
  <c r="AS32" i="60"/>
  <c r="AS34" i="60" s="1"/>
  <c r="AS113" i="60" s="1"/>
  <c r="CE66" i="60"/>
  <c r="AB65" i="60"/>
  <c r="AE65" i="60"/>
  <c r="BH32" i="60"/>
  <c r="P81" i="60"/>
  <c r="AK84" i="60"/>
  <c r="Y86" i="60"/>
  <c r="T36" i="78" s="1"/>
  <c r="AK69" i="60"/>
  <c r="AK71" i="60" s="1"/>
  <c r="AF68" i="60"/>
  <c r="AF71" i="60" s="1"/>
  <c r="BT66" i="60"/>
  <c r="BH70" i="60"/>
  <c r="AF65" i="60"/>
  <c r="AB33" i="60"/>
  <c r="P34" i="60"/>
  <c r="K36" i="60"/>
  <c r="BG70" i="60"/>
  <c r="D113" i="60"/>
  <c r="D36" i="60"/>
  <c r="AX34" i="60"/>
  <c r="AX113" i="60" s="1"/>
  <c r="W34" i="60"/>
  <c r="AI31" i="60"/>
  <c r="BK65" i="60"/>
  <c r="AX68" i="60"/>
  <c r="AX71" i="60" s="1"/>
  <c r="AG81" i="60"/>
  <c r="AW65" i="60"/>
  <c r="J38" i="78"/>
  <c r="AC70" i="60"/>
  <c r="AC71" i="60" s="1"/>
  <c r="AS69" i="60"/>
  <c r="AS71" i="60" s="1"/>
  <c r="R95" i="60"/>
  <c r="K37" i="78" s="1"/>
  <c r="AD93" i="60"/>
  <c r="BF65" i="60"/>
  <c r="K52" i="65"/>
  <c r="BG67" i="60"/>
  <c r="BB81" i="60"/>
  <c r="K35" i="65"/>
  <c r="BP84" i="60"/>
  <c r="BK85" i="60"/>
  <c r="BG69" i="60"/>
  <c r="BF69" i="60"/>
  <c r="BU33" i="60"/>
  <c r="BN70" i="60"/>
  <c r="BK93" i="60"/>
  <c r="AY95" i="60"/>
  <c r="AZ93" i="60"/>
  <c r="AN95" i="60"/>
  <c r="BR84" i="60"/>
  <c r="BI82" i="60"/>
  <c r="BM83" i="60"/>
  <c r="BI81" i="60"/>
  <c r="BF82" i="60"/>
  <c r="BN84" i="60"/>
  <c r="BJ81" i="60"/>
  <c r="BH81" i="60"/>
  <c r="BO84" i="60"/>
  <c r="BD66" i="60"/>
  <c r="BF66" i="60"/>
  <c r="BQ66" i="60"/>
  <c r="BQ67" i="60"/>
  <c r="R58" i="56"/>
  <c r="R57" i="56"/>
  <c r="BW69" i="60"/>
  <c r="BD50" i="60"/>
  <c r="BD51" i="60" s="1"/>
  <c r="BM82" i="60"/>
  <c r="BF81" i="60"/>
  <c r="BA32" i="60"/>
  <c r="BH83" i="60"/>
  <c r="BB50" i="60"/>
  <c r="AZ69" i="60"/>
  <c r="BE70" i="60"/>
  <c r="BU32" i="60"/>
  <c r="BK50" i="60"/>
  <c r="BW81" i="60"/>
  <c r="AZ84" i="60"/>
  <c r="BF70" i="60"/>
  <c r="AY86" i="60"/>
  <c r="BK84" i="60"/>
  <c r="BG95" i="60"/>
  <c r="BS93" i="60"/>
  <c r="BD67" i="60"/>
  <c r="BF50" i="60"/>
  <c r="CF31" i="60"/>
  <c r="AZ83" i="60"/>
  <c r="BN66" i="60"/>
  <c r="BM65" i="60"/>
  <c r="BK83" i="60"/>
  <c r="R14" i="56"/>
  <c r="R17" i="56" s="1"/>
  <c r="P17" i="56"/>
  <c r="F17" i="76"/>
  <c r="BA33" i="60"/>
  <c r="BH93" i="60"/>
  <c r="AV95" i="60"/>
  <c r="AP51" i="60"/>
  <c r="P84" i="65"/>
  <c r="BD83" i="60"/>
  <c r="BQ83" i="60"/>
  <c r="BI50" i="60"/>
  <c r="BZ85" i="60"/>
  <c r="BL70" i="60"/>
  <c r="BC81" i="60"/>
  <c r="BC83" i="60"/>
  <c r="BH68" i="60"/>
  <c r="BT82" i="60"/>
  <c r="BV69" i="60"/>
  <c r="BE33" i="60"/>
  <c r="BE31" i="60"/>
  <c r="BK82" i="60"/>
  <c r="BM81" i="60"/>
  <c r="BG50" i="60"/>
  <c r="BF67" i="60"/>
  <c r="BI67" i="60"/>
  <c r="BF93" i="60"/>
  <c r="AT95" i="60"/>
  <c r="CD83" i="60"/>
  <c r="BE82" i="60"/>
  <c r="BH67" i="60"/>
  <c r="BI70" i="60"/>
  <c r="BK67" i="60"/>
  <c r="BP49" i="60"/>
  <c r="BK70" i="60"/>
  <c r="BA66" i="60"/>
  <c r="BG83" i="60"/>
  <c r="BJ50" i="60"/>
  <c r="CG95" i="60"/>
  <c r="BM67" i="60"/>
  <c r="BT84" i="60"/>
  <c r="BE65" i="60"/>
  <c r="BC66" i="60"/>
  <c r="AR95" i="60"/>
  <c r="BD93" i="60"/>
  <c r="BL67" i="60"/>
  <c r="BV82" i="60"/>
  <c r="BB69" i="60"/>
  <c r="BN67" i="60"/>
  <c r="BO31" i="60"/>
  <c r="CC85" i="60"/>
  <c r="BN83" i="60"/>
  <c r="CI66" i="60"/>
  <c r="BL82" i="60"/>
  <c r="BD70" i="60"/>
  <c r="CB69" i="60"/>
  <c r="BV67" i="60"/>
  <c r="AZ32" i="60"/>
  <c r="BD32" i="60"/>
  <c r="BB32" i="60"/>
  <c r="AR34" i="60"/>
  <c r="AR113" i="60" s="1"/>
  <c r="BD33" i="60"/>
  <c r="BR33" i="60"/>
  <c r="BJ32" i="60"/>
  <c r="BR49" i="60"/>
  <c r="BP31" i="60"/>
  <c r="BB33" i="60"/>
  <c r="AW34" i="60"/>
  <c r="BI31" i="60"/>
  <c r="BJ49" i="60"/>
  <c r="AX51" i="60"/>
  <c r="BW32" i="60"/>
  <c r="J8" i="64"/>
  <c r="CE32" i="60"/>
  <c r="AT34" i="60"/>
  <c r="AT113" i="60" s="1"/>
  <c r="BF31" i="60"/>
  <c r="BC49" i="60"/>
  <c r="BS33" i="60"/>
  <c r="AU51" i="60"/>
  <c r="BG49" i="60"/>
  <c r="N52" i="65"/>
  <c r="BT50" i="60"/>
  <c r="P83" i="65"/>
  <c r="BG82" i="60"/>
  <c r="AO31" i="60"/>
  <c r="AC34" i="60"/>
  <c r="BI66" i="60"/>
  <c r="BD82" i="60"/>
  <c r="Q36" i="60"/>
  <c r="BC32" i="60"/>
  <c r="BJ93" i="60"/>
  <c r="AX95" i="60"/>
  <c r="BM49" i="60"/>
  <c r="BA51" i="60"/>
  <c r="BN49" i="60"/>
  <c r="BL49" i="60"/>
  <c r="X36" i="78" l="1"/>
  <c r="N36" i="78"/>
  <c r="N38" i="78" s="1"/>
  <c r="R36" i="78"/>
  <c r="R38" i="78" s="1"/>
  <c r="I36" i="78"/>
  <c r="I38" i="78" s="1"/>
  <c r="Q36" i="78"/>
  <c r="Q38" i="78" s="1"/>
  <c r="CC68" i="60"/>
  <c r="BB71" i="60"/>
  <c r="BF71" i="60"/>
  <c r="AZ71" i="60"/>
  <c r="BM68" i="60"/>
  <c r="BY68" i="60" s="1"/>
  <c r="BG68" i="60"/>
  <c r="BG71" i="60" s="1"/>
  <c r="R24" i="56"/>
  <c r="BO68" i="60"/>
  <c r="BO71" i="60" s="1"/>
  <c r="Z38" i="78"/>
  <c r="J48" i="80"/>
  <c r="O37" i="78"/>
  <c r="K38" i="78"/>
  <c r="M38" i="78"/>
  <c r="BD36" i="80"/>
  <c r="BD47" i="80" s="1"/>
  <c r="BC42" i="80"/>
  <c r="BC70" i="80" s="1"/>
  <c r="BC66" i="80"/>
  <c r="J43" i="80"/>
  <c r="K43" i="80" s="1"/>
  <c r="J50" i="61"/>
  <c r="Q84" i="65"/>
  <c r="R84" i="65" s="1"/>
  <c r="D51" i="61"/>
  <c r="BN82" i="60"/>
  <c r="BZ82" i="60" s="1"/>
  <c r="CH31" i="60"/>
  <c r="BU85" i="60"/>
  <c r="J96" i="65"/>
  <c r="I35" i="65"/>
  <c r="L35" i="115"/>
  <c r="Q68" i="65"/>
  <c r="R68" i="65" s="1"/>
  <c r="N32" i="115"/>
  <c r="N32" i="65"/>
  <c r="O66" i="115"/>
  <c r="O66" i="65"/>
  <c r="L85" i="115"/>
  <c r="L87" i="115" s="1"/>
  <c r="L85" i="65"/>
  <c r="L87" i="65" s="1"/>
  <c r="I66" i="115"/>
  <c r="I66" i="65"/>
  <c r="G34" i="115"/>
  <c r="G34" i="65"/>
  <c r="BK68" i="60"/>
  <c r="BK71" i="60" s="1"/>
  <c r="H71" i="115"/>
  <c r="H71" i="65"/>
  <c r="K66" i="115"/>
  <c r="K66" i="65"/>
  <c r="I72" i="65"/>
  <c r="K69" i="115"/>
  <c r="K69" i="65"/>
  <c r="O86" i="115"/>
  <c r="O86" i="65"/>
  <c r="J34" i="115"/>
  <c r="J35" i="115" s="1"/>
  <c r="J34" i="65"/>
  <c r="BV83" i="60"/>
  <c r="P67" i="65"/>
  <c r="H87" i="115"/>
  <c r="L72" i="115"/>
  <c r="L82" i="115"/>
  <c r="L82" i="65"/>
  <c r="J66" i="115"/>
  <c r="J66" i="65"/>
  <c r="P70" i="65"/>
  <c r="D50" i="61" s="1"/>
  <c r="H96" i="115"/>
  <c r="I94" i="65"/>
  <c r="I94" i="115"/>
  <c r="I96" i="115" s="1"/>
  <c r="N85" i="115"/>
  <c r="N87" i="115" s="1"/>
  <c r="N85" i="65"/>
  <c r="D72" i="115"/>
  <c r="P70" i="115"/>
  <c r="Q70" i="115" s="1"/>
  <c r="G66" i="115"/>
  <c r="G66" i="65"/>
  <c r="G86" i="115"/>
  <c r="G86" i="65"/>
  <c r="K86" i="115"/>
  <c r="K86" i="65"/>
  <c r="D87" i="115"/>
  <c r="G52" i="115"/>
  <c r="P51" i="115"/>
  <c r="Q51" i="115" s="1"/>
  <c r="L52" i="115"/>
  <c r="P50" i="115"/>
  <c r="Q83" i="65"/>
  <c r="R83" i="65" s="1"/>
  <c r="N14" i="81"/>
  <c r="G14" i="81"/>
  <c r="H14" i="81"/>
  <c r="K14" i="81"/>
  <c r="BN10" i="113"/>
  <c r="BN8" i="60"/>
  <c r="BF4" i="80" s="1"/>
  <c r="AJ113" i="60"/>
  <c r="W113" i="60"/>
  <c r="S113" i="60"/>
  <c r="AC113" i="60"/>
  <c r="AW113" i="60"/>
  <c r="P113" i="60"/>
  <c r="AD113" i="60"/>
  <c r="AG113" i="60"/>
  <c r="B129" i="82"/>
  <c r="J128" i="82"/>
  <c r="CE46" i="113"/>
  <c r="P459" i="82"/>
  <c r="H459" i="82"/>
  <c r="BJ86" i="60"/>
  <c r="AX86" i="60"/>
  <c r="F28" i="91"/>
  <c r="O72" i="65"/>
  <c r="N72" i="65"/>
  <c r="M72" i="65"/>
  <c r="BK51" i="60"/>
  <c r="F52" i="65"/>
  <c r="R29" i="56"/>
  <c r="Q36" i="56"/>
  <c r="R36" i="56" s="1"/>
  <c r="Q37" i="56"/>
  <c r="R37" i="56" s="1"/>
  <c r="R30" i="56"/>
  <c r="R28" i="56"/>
  <c r="Q35" i="56"/>
  <c r="R35" i="56" s="1"/>
  <c r="AV34" i="60"/>
  <c r="AV113" i="60" s="1"/>
  <c r="F40" i="76"/>
  <c r="F17" i="91"/>
  <c r="F40" i="91" s="1"/>
  <c r="BL31" i="60"/>
  <c r="BX31" i="60" s="1"/>
  <c r="L35" i="65"/>
  <c r="BW31" i="60"/>
  <c r="BW34" i="60" s="1"/>
  <c r="BW113" i="60" s="1"/>
  <c r="M35" i="65"/>
  <c r="BH33" i="60"/>
  <c r="BT33" i="60" s="1"/>
  <c r="AP34" i="60"/>
  <c r="AP113" i="60" s="1"/>
  <c r="BK34" i="60"/>
  <c r="BK113" i="60" s="1"/>
  <c r="BI51" i="60"/>
  <c r="BB31" i="60"/>
  <c r="BW49" i="60"/>
  <c r="P33" i="65"/>
  <c r="D30" i="61" s="1"/>
  <c r="BJ34" i="60"/>
  <c r="BJ113" i="60" s="1"/>
  <c r="BA93" i="60"/>
  <c r="J52" i="65"/>
  <c r="BO67" i="60"/>
  <c r="BF51" i="60"/>
  <c r="BU68" i="60"/>
  <c r="BP81" i="60"/>
  <c r="BD34" i="60"/>
  <c r="BD113" i="60" s="1"/>
  <c r="CA70" i="60"/>
  <c r="H87" i="65"/>
  <c r="BH49" i="60"/>
  <c r="AV51" i="60"/>
  <c r="O52" i="65"/>
  <c r="L72" i="65"/>
  <c r="BA85" i="60"/>
  <c r="AO86" i="60"/>
  <c r="G52" i="65"/>
  <c r="L52" i="65"/>
  <c r="BO85" i="60"/>
  <c r="AS51" i="60"/>
  <c r="BE49" i="60"/>
  <c r="BY50" i="60"/>
  <c r="BV66" i="60"/>
  <c r="BC86" i="60"/>
  <c r="AQ33" i="60"/>
  <c r="AE34" i="60"/>
  <c r="BR85" i="60"/>
  <c r="BR86" i="60" s="1"/>
  <c r="BV65" i="60"/>
  <c r="BQ50" i="60"/>
  <c r="BC50" i="60"/>
  <c r="BC51" i="60" s="1"/>
  <c r="BE93" i="60"/>
  <c r="AS95" i="60"/>
  <c r="BR68" i="60"/>
  <c r="BC93" i="60"/>
  <c r="AQ95" i="60"/>
  <c r="BZ68" i="60"/>
  <c r="BY84" i="60"/>
  <c r="P50" i="65"/>
  <c r="AZ50" i="60"/>
  <c r="AN51" i="60"/>
  <c r="S36" i="60"/>
  <c r="BL68" i="60"/>
  <c r="BE69" i="60"/>
  <c r="BE71" i="60" s="1"/>
  <c r="D87" i="65"/>
  <c r="BG81" i="60"/>
  <c r="AB86" i="60"/>
  <c r="W36" i="78" s="1"/>
  <c r="AN85" i="60"/>
  <c r="AV65" i="60"/>
  <c r="BH69" i="60"/>
  <c r="BH71" i="60" s="1"/>
  <c r="BJ70" i="60"/>
  <c r="X38" i="78"/>
  <c r="AO70" i="60"/>
  <c r="AO71" i="60" s="1"/>
  <c r="P36" i="60"/>
  <c r="AR68" i="60"/>
  <c r="AR71" i="60" s="1"/>
  <c r="AW69" i="60"/>
  <c r="AW71" i="60" s="1"/>
  <c r="AI86" i="60"/>
  <c r="AU84" i="60"/>
  <c r="CD32" i="60"/>
  <c r="BR65" i="60"/>
  <c r="AD95" i="60"/>
  <c r="Y37" i="78" s="1"/>
  <c r="Y38" i="78" s="1"/>
  <c r="AP93" i="60"/>
  <c r="BI65" i="60"/>
  <c r="BJ68" i="60"/>
  <c r="BW65" i="60"/>
  <c r="BT70" i="60"/>
  <c r="AW84" i="60"/>
  <c r="AK86" i="60"/>
  <c r="AV85" i="60"/>
  <c r="AJ86" i="60"/>
  <c r="AZ66" i="60"/>
  <c r="AU31" i="60"/>
  <c r="AI34" i="60"/>
  <c r="BS70" i="60"/>
  <c r="AR65" i="60"/>
  <c r="F31" i="61"/>
  <c r="AQ65" i="60"/>
  <c r="AB81" i="60"/>
  <c r="AN65" i="60"/>
  <c r="BE32" i="60"/>
  <c r="CA69" i="60"/>
  <c r="AS81" i="60"/>
  <c r="AN33" i="60"/>
  <c r="AB34" i="60"/>
  <c r="CF66" i="60"/>
  <c r="D72" i="65"/>
  <c r="BT32" i="60"/>
  <c r="AR85" i="60"/>
  <c r="AF86" i="60"/>
  <c r="AA36" i="78" s="1"/>
  <c r="AS84" i="60"/>
  <c r="AG86" i="60"/>
  <c r="AP65" i="60"/>
  <c r="BR69" i="60"/>
  <c r="BS69" i="60"/>
  <c r="CB84" i="60"/>
  <c r="BS67" i="60"/>
  <c r="BZ70" i="60"/>
  <c r="CG33" i="60"/>
  <c r="BW85" i="60"/>
  <c r="BN81" i="60"/>
  <c r="BK95" i="60"/>
  <c r="BW93" i="60"/>
  <c r="AZ95" i="60"/>
  <c r="BL93" i="60"/>
  <c r="BU81" i="60"/>
  <c r="CA84" i="60"/>
  <c r="CH85" i="60"/>
  <c r="BY83" i="60"/>
  <c r="CG83" i="60"/>
  <c r="CD84" i="60"/>
  <c r="BZ84" i="60"/>
  <c r="BV86" i="60"/>
  <c r="CH84" i="60"/>
  <c r="BT81" i="60"/>
  <c r="BR82" i="60"/>
  <c r="BN86" i="60"/>
  <c r="BV81" i="60"/>
  <c r="BU82" i="60"/>
  <c r="CC67" i="60"/>
  <c r="BR66" i="60"/>
  <c r="BP66" i="60"/>
  <c r="CC66" i="60"/>
  <c r="R60" i="56"/>
  <c r="BO81" i="60"/>
  <c r="BP83" i="60"/>
  <c r="P16" i="65"/>
  <c r="U28" i="76" s="1"/>
  <c r="BU50" i="60"/>
  <c r="BU51" i="60" s="1"/>
  <c r="BL84" i="60"/>
  <c r="CI81" i="60"/>
  <c r="BN50" i="60"/>
  <c r="BN51" i="60" s="1"/>
  <c r="BB51" i="60"/>
  <c r="BY81" i="60"/>
  <c r="BQ31" i="60"/>
  <c r="CH69" i="60"/>
  <c r="BX70" i="60"/>
  <c r="BH95" i="60"/>
  <c r="BT93" i="60"/>
  <c r="BZ66" i="60"/>
  <c r="BP67" i="60"/>
  <c r="BR70" i="60"/>
  <c r="BW50" i="60"/>
  <c r="BQ70" i="60"/>
  <c r="CE85" i="60"/>
  <c r="CI69" i="60"/>
  <c r="BW82" i="60"/>
  <c r="BY65" i="60"/>
  <c r="CE93" i="60"/>
  <c r="BS95" i="60"/>
  <c r="BM32" i="60"/>
  <c r="BR81" i="60"/>
  <c r="BO83" i="60"/>
  <c r="CC83" i="60"/>
  <c r="BM33" i="60"/>
  <c r="BW83" i="60"/>
  <c r="BL69" i="60"/>
  <c r="BP50" i="60"/>
  <c r="BP51" i="60" s="1"/>
  <c r="BQ33" i="60"/>
  <c r="CF82" i="60"/>
  <c r="BT68" i="60"/>
  <c r="BL83" i="60"/>
  <c r="BR50" i="60"/>
  <c r="BR51" i="60" s="1"/>
  <c r="BK86" i="60"/>
  <c r="BW84" i="60"/>
  <c r="CG32" i="60"/>
  <c r="BT83" i="60"/>
  <c r="BY82" i="60"/>
  <c r="BN69" i="60"/>
  <c r="BN71" i="60" s="1"/>
  <c r="BY67" i="60"/>
  <c r="BQ82" i="60"/>
  <c r="BR93" i="60"/>
  <c r="BF95" i="60"/>
  <c r="CA82" i="60"/>
  <c r="CA31" i="60"/>
  <c r="CE65" i="60"/>
  <c r="CB49" i="60"/>
  <c r="BW67" i="60"/>
  <c r="CH67" i="60"/>
  <c r="BP70" i="60"/>
  <c r="BZ67" i="60"/>
  <c r="BO66" i="60"/>
  <c r="BV50" i="60"/>
  <c r="BU70" i="60"/>
  <c r="BT67" i="60"/>
  <c r="BU67" i="60"/>
  <c r="BS50" i="60"/>
  <c r="BP93" i="60"/>
  <c r="BD95" i="60"/>
  <c r="BS83" i="60"/>
  <c r="BX82" i="60"/>
  <c r="BZ83" i="60"/>
  <c r="CH82" i="60"/>
  <c r="BX67" i="60"/>
  <c r="BQ65" i="60"/>
  <c r="CF84" i="60"/>
  <c r="BM66" i="60"/>
  <c r="BW70" i="60"/>
  <c r="BR67" i="60"/>
  <c r="BJ51" i="60"/>
  <c r="BV49" i="60"/>
  <c r="CD49" i="60"/>
  <c r="CI33" i="60"/>
  <c r="BU31" i="60"/>
  <c r="BI34" i="60"/>
  <c r="BP33" i="60"/>
  <c r="CI32" i="60"/>
  <c r="CB31" i="60"/>
  <c r="BV32" i="60"/>
  <c r="BP32" i="60"/>
  <c r="BL32" i="60"/>
  <c r="BN32" i="60"/>
  <c r="BN33" i="60"/>
  <c r="CD33" i="60"/>
  <c r="K8" i="64"/>
  <c r="CE33" i="60"/>
  <c r="BR31" i="60"/>
  <c r="BF34" i="60"/>
  <c r="BF113" i="60" s="1"/>
  <c r="BO49" i="60"/>
  <c r="BU66" i="60"/>
  <c r="H35" i="65"/>
  <c r="BJ95" i="60"/>
  <c r="BV93" i="60"/>
  <c r="BO32" i="60"/>
  <c r="F32" i="61"/>
  <c r="BP82" i="60"/>
  <c r="BA31" i="60"/>
  <c r="AO34" i="60"/>
  <c r="AO113" i="60" s="1"/>
  <c r="BS82" i="60"/>
  <c r="CF50" i="60"/>
  <c r="BS49" i="60"/>
  <c r="BG51" i="60"/>
  <c r="BZ49" i="60"/>
  <c r="BM51" i="60"/>
  <c r="BY49" i="60"/>
  <c r="CG49" i="60"/>
  <c r="BX49" i="60"/>
  <c r="CH33" i="60"/>
  <c r="AD36" i="78" l="1"/>
  <c r="AD38" i="78" s="1"/>
  <c r="AE36" i="78"/>
  <c r="AE38" i="78" s="1"/>
  <c r="AB36" i="78"/>
  <c r="AB38" i="78" s="1"/>
  <c r="W38" i="78"/>
  <c r="BR71" i="60"/>
  <c r="BJ71" i="60"/>
  <c r="BL71" i="60"/>
  <c r="BS68" i="60"/>
  <c r="BS71" i="60" s="1"/>
  <c r="CA68" i="60"/>
  <c r="CA71" i="60" s="1"/>
  <c r="J51" i="80"/>
  <c r="K32" i="72" s="1"/>
  <c r="K48" i="80"/>
  <c r="O36" i="78"/>
  <c r="O38" i="78" s="1"/>
  <c r="T38" i="78"/>
  <c r="AA38" i="78"/>
  <c r="AF37" i="78"/>
  <c r="AG37" i="78" s="1"/>
  <c r="BE36" i="80"/>
  <c r="BE47" i="80" s="1"/>
  <c r="AS49" i="80" s="1"/>
  <c r="BD42" i="80"/>
  <c r="BD70" i="80" s="1"/>
  <c r="BD66" i="80"/>
  <c r="CG85" i="60"/>
  <c r="F50" i="61"/>
  <c r="CH83" i="60"/>
  <c r="K72" i="115"/>
  <c r="P69" i="115"/>
  <c r="Q69" i="115" s="1"/>
  <c r="P32" i="65"/>
  <c r="BW68" i="60"/>
  <c r="BW71" i="60" s="1"/>
  <c r="P85" i="115"/>
  <c r="P66" i="115"/>
  <c r="Q66" i="115" s="1"/>
  <c r="O87" i="115"/>
  <c r="P71" i="115"/>
  <c r="Q71" i="115" s="1"/>
  <c r="H72" i="115"/>
  <c r="Q50" i="115"/>
  <c r="P52" i="115"/>
  <c r="I70" i="44" s="1"/>
  <c r="K87" i="115"/>
  <c r="P66" i="65"/>
  <c r="P71" i="65"/>
  <c r="P34" i="115"/>
  <c r="Q34" i="115" s="1"/>
  <c r="G35" i="115"/>
  <c r="N35" i="115"/>
  <c r="P32" i="115"/>
  <c r="G82" i="115"/>
  <c r="P82" i="115" s="1"/>
  <c r="Q82" i="115" s="1"/>
  <c r="G82" i="65"/>
  <c r="Q33" i="65"/>
  <c r="T30" i="76"/>
  <c r="T40" i="76" s="1"/>
  <c r="Q67" i="65"/>
  <c r="R67" i="65" s="1"/>
  <c r="P86" i="115"/>
  <c r="Q86" i="115" s="1"/>
  <c r="G87" i="115"/>
  <c r="P94" i="115"/>
  <c r="P96" i="115" s="1"/>
  <c r="P69" i="65"/>
  <c r="D49" i="61" s="1"/>
  <c r="F49" i="61" s="1"/>
  <c r="F14" i="81"/>
  <c r="I14" i="81"/>
  <c r="M14" i="81"/>
  <c r="BO10" i="113"/>
  <c r="BO8" i="60"/>
  <c r="BG4" i="80" s="1"/>
  <c r="AI113" i="60"/>
  <c r="BI113" i="60"/>
  <c r="AB113" i="60"/>
  <c r="AE113" i="60"/>
  <c r="B130" i="82"/>
  <c r="J129" i="82"/>
  <c r="CF46" i="113"/>
  <c r="H461" i="82"/>
  <c r="F72" i="65"/>
  <c r="E87" i="65"/>
  <c r="J87" i="65"/>
  <c r="J72" i="65"/>
  <c r="H52" i="65"/>
  <c r="P51" i="65"/>
  <c r="Q51" i="65" s="1"/>
  <c r="R31" i="56"/>
  <c r="R38" i="56"/>
  <c r="BB34" i="60"/>
  <c r="BB113" i="60" s="1"/>
  <c r="BM93" i="60"/>
  <c r="BY93" i="60" s="1"/>
  <c r="F96" i="65"/>
  <c r="BA95" i="60"/>
  <c r="G96" i="65"/>
  <c r="L43" i="80"/>
  <c r="Q16" i="65"/>
  <c r="BN31" i="60"/>
  <c r="Q50" i="65"/>
  <c r="CI49" i="60"/>
  <c r="BW51" i="60"/>
  <c r="BH34" i="60"/>
  <c r="BH113" i="60" s="1"/>
  <c r="CI31" i="60"/>
  <c r="CA67" i="60"/>
  <c r="CG68" i="60"/>
  <c r="BZ86" i="60"/>
  <c r="CB81" i="60"/>
  <c r="BM85" i="60"/>
  <c r="BA86" i="60"/>
  <c r="BT49" i="60"/>
  <c r="BH51" i="60"/>
  <c r="CD68" i="60"/>
  <c r="BE95" i="60"/>
  <c r="BQ93" i="60"/>
  <c r="CH65" i="60"/>
  <c r="J35" i="65"/>
  <c r="CA85" i="60"/>
  <c r="CC50" i="60"/>
  <c r="F51" i="61"/>
  <c r="BE34" i="60"/>
  <c r="BE113" i="60" s="1"/>
  <c r="BX68" i="60"/>
  <c r="BL50" i="60"/>
  <c r="AZ51" i="60"/>
  <c r="BO93" i="60"/>
  <c r="BC95" i="60"/>
  <c r="BO50" i="60"/>
  <c r="CD85" i="60"/>
  <c r="BO86" i="60"/>
  <c r="P85" i="65"/>
  <c r="D52" i="61" s="1"/>
  <c r="AQ34" i="60"/>
  <c r="AQ113" i="60" s="1"/>
  <c r="BC33" i="60"/>
  <c r="CH66" i="60"/>
  <c r="BE51" i="60"/>
  <c r="BQ49" i="60"/>
  <c r="AZ33" i="60"/>
  <c r="AN34" i="60"/>
  <c r="AZ65" i="60"/>
  <c r="BH85" i="60"/>
  <c r="AV86" i="60"/>
  <c r="BB65" i="60"/>
  <c r="K87" i="65"/>
  <c r="CF32" i="60"/>
  <c r="F33" i="61"/>
  <c r="BL66" i="60"/>
  <c r="CF70" i="60"/>
  <c r="AU86" i="60"/>
  <c r="BG84" i="60"/>
  <c r="BV70" i="60"/>
  <c r="G87" i="65"/>
  <c r="BS81" i="60"/>
  <c r="BQ69" i="60"/>
  <c r="BQ71" i="60" s="1"/>
  <c r="AS86" i="60"/>
  <c r="BE84" i="60"/>
  <c r="G35" i="65"/>
  <c r="BQ32" i="60"/>
  <c r="BQ34" i="60" s="1"/>
  <c r="BQ113" i="60" s="1"/>
  <c r="AN81" i="60"/>
  <c r="BV68" i="60"/>
  <c r="BB93" i="60"/>
  <c r="AP95" i="60"/>
  <c r="BI69" i="60"/>
  <c r="BI71" i="60" s="1"/>
  <c r="BD68" i="60"/>
  <c r="BD71" i="60" s="1"/>
  <c r="BA70" i="60"/>
  <c r="BA71" i="60" s="1"/>
  <c r="BD65" i="60"/>
  <c r="BG31" i="60"/>
  <c r="AU34" i="60"/>
  <c r="AU113" i="60" s="1"/>
  <c r="K72" i="65"/>
  <c r="BT69" i="60"/>
  <c r="BT71" i="60" s="1"/>
  <c r="BH65" i="60"/>
  <c r="BE81" i="60"/>
  <c r="N35" i="65"/>
  <c r="BU65" i="60"/>
  <c r="AR86" i="60"/>
  <c r="BD85" i="60"/>
  <c r="BC65" i="60"/>
  <c r="CE70" i="60"/>
  <c r="O87" i="65"/>
  <c r="BI84" i="60"/>
  <c r="AW86" i="60"/>
  <c r="CI65" i="60"/>
  <c r="I96" i="65"/>
  <c r="P94" i="65"/>
  <c r="CD65" i="60"/>
  <c r="N87" i="65"/>
  <c r="H72" i="65"/>
  <c r="AN86" i="60"/>
  <c r="AZ85" i="60"/>
  <c r="CI85" i="60"/>
  <c r="CE69" i="60"/>
  <c r="BZ81" i="60"/>
  <c r="BP34" i="60"/>
  <c r="BP113" i="60" s="1"/>
  <c r="CE67" i="60"/>
  <c r="CD69" i="60"/>
  <c r="BW95" i="60"/>
  <c r="CI93" i="60"/>
  <c r="BL95" i="60"/>
  <c r="BX93" i="60"/>
  <c r="CG82" i="60"/>
  <c r="CD82" i="60"/>
  <c r="CF81" i="60"/>
  <c r="CG81" i="60"/>
  <c r="CH81" i="60"/>
  <c r="CH86" i="60"/>
  <c r="CD66" i="60"/>
  <c r="CB66" i="60"/>
  <c r="BX83" i="60"/>
  <c r="CF68" i="60"/>
  <c r="BY33" i="60"/>
  <c r="CI83" i="60"/>
  <c r="CA83" i="60"/>
  <c r="BY32" i="60"/>
  <c r="CE95" i="60"/>
  <c r="CC70" i="60"/>
  <c r="CG50" i="60"/>
  <c r="CC33" i="60"/>
  <c r="CD81" i="60"/>
  <c r="CD70" i="60"/>
  <c r="CB67" i="60"/>
  <c r="BW86" i="60"/>
  <c r="CI84" i="60"/>
  <c r="BX84" i="60"/>
  <c r="U37" i="76"/>
  <c r="CA81" i="60"/>
  <c r="CF83" i="60"/>
  <c r="CD50" i="60"/>
  <c r="CB50" i="60"/>
  <c r="BX69" i="60"/>
  <c r="CI82" i="60"/>
  <c r="CI50" i="60"/>
  <c r="BT95" i="60"/>
  <c r="CF93" i="60"/>
  <c r="CC31" i="60"/>
  <c r="BZ50" i="60"/>
  <c r="CB83" i="60"/>
  <c r="CE83" i="60"/>
  <c r="BP95" i="60"/>
  <c r="CB93" i="60"/>
  <c r="CG67" i="60"/>
  <c r="CI67" i="60"/>
  <c r="CC82" i="60"/>
  <c r="BZ69" i="60"/>
  <c r="BZ71" i="60" s="1"/>
  <c r="CE50" i="60"/>
  <c r="CH50" i="60"/>
  <c r="BR95" i="60"/>
  <c r="CD93" i="60"/>
  <c r="CD67" i="60"/>
  <c r="CI70" i="60"/>
  <c r="BY66" i="60"/>
  <c r="CG70" i="60"/>
  <c r="CF33" i="60"/>
  <c r="BT34" i="60"/>
  <c r="BT113" i="60" s="1"/>
  <c r="CC65" i="60"/>
  <c r="CF67" i="60"/>
  <c r="CA66" i="60"/>
  <c r="CB70" i="60"/>
  <c r="CH32" i="60"/>
  <c r="BZ32" i="60"/>
  <c r="CH49" i="60"/>
  <c r="BV51" i="60"/>
  <c r="CB32" i="60"/>
  <c r="BX32" i="60"/>
  <c r="CG31" i="60"/>
  <c r="BU34" i="60"/>
  <c r="BV34" i="60"/>
  <c r="BV113" i="60" s="1"/>
  <c r="BZ33" i="60"/>
  <c r="CB33" i="60"/>
  <c r="L8" i="64"/>
  <c r="CA49" i="60"/>
  <c r="CD31" i="60"/>
  <c r="BR34" i="60"/>
  <c r="BR113" i="60" s="1"/>
  <c r="CE49" i="60"/>
  <c r="BS51" i="60"/>
  <c r="CE82" i="60"/>
  <c r="BM31" i="60"/>
  <c r="BA34" i="60"/>
  <c r="BA113" i="60" s="1"/>
  <c r="CB82" i="60"/>
  <c r="CA32" i="60"/>
  <c r="BV95" i="60"/>
  <c r="CH93" i="60"/>
  <c r="CG66" i="60"/>
  <c r="BY51" i="60"/>
  <c r="BV71" i="60" l="1"/>
  <c r="BX71" i="60"/>
  <c r="CD71" i="60"/>
  <c r="CE68" i="60"/>
  <c r="CE71" i="60" s="1"/>
  <c r="AU47" i="80"/>
  <c r="AT47" i="80"/>
  <c r="AX47" i="80"/>
  <c r="AW47" i="80"/>
  <c r="AV47" i="80"/>
  <c r="K51" i="80"/>
  <c r="L32" i="72" s="1"/>
  <c r="AH37" i="78"/>
  <c r="AF36" i="78"/>
  <c r="BF36" i="80"/>
  <c r="BE42" i="80"/>
  <c r="BE70" i="80" s="1"/>
  <c r="BE66" i="80"/>
  <c r="P96" i="65"/>
  <c r="F53" i="61"/>
  <c r="O14" i="81"/>
  <c r="S30" i="76"/>
  <c r="S40" i="76" s="1"/>
  <c r="D29" i="61"/>
  <c r="F29" i="61" s="1"/>
  <c r="Q66" i="65"/>
  <c r="Q32" i="65"/>
  <c r="CI68" i="60"/>
  <c r="CI71" i="60" s="1"/>
  <c r="G44" i="44"/>
  <c r="P72" i="115"/>
  <c r="Q85" i="115"/>
  <c r="J44" i="44" s="1"/>
  <c r="P87" i="115"/>
  <c r="P82" i="65"/>
  <c r="Q82" i="65" s="1"/>
  <c r="R82" i="65" s="1"/>
  <c r="Q32" i="115"/>
  <c r="J41" i="44" s="1"/>
  <c r="P35" i="115"/>
  <c r="I72" i="44" s="1"/>
  <c r="BP10" i="113"/>
  <c r="BP8" i="60"/>
  <c r="BH4" i="80" s="1"/>
  <c r="B131" i="82"/>
  <c r="J130" i="82"/>
  <c r="P86" i="65"/>
  <c r="Q86" i="65" s="1"/>
  <c r="R86" i="65" s="1"/>
  <c r="AN113" i="60"/>
  <c r="BU113" i="60"/>
  <c r="CG46" i="113"/>
  <c r="P15" i="65"/>
  <c r="CA86" i="60"/>
  <c r="P52" i="65"/>
  <c r="BM95" i="60"/>
  <c r="Q71" i="65"/>
  <c r="R71" i="65" s="1"/>
  <c r="Q85" i="65"/>
  <c r="R85" i="65" s="1"/>
  <c r="I87" i="65"/>
  <c r="M87" i="65"/>
  <c r="Q70" i="65"/>
  <c r="R70" i="65" s="1"/>
  <c r="P34" i="65"/>
  <c r="U30" i="76" s="1"/>
  <c r="M43" i="80"/>
  <c r="F48" i="61"/>
  <c r="BN34" i="60"/>
  <c r="BN113" i="60" s="1"/>
  <c r="BZ31" i="60"/>
  <c r="F30" i="61"/>
  <c r="CI34" i="60"/>
  <c r="CI113" i="60" s="1"/>
  <c r="E35" i="65"/>
  <c r="CD86" i="60"/>
  <c r="CF49" i="60"/>
  <c r="BT51" i="60"/>
  <c r="BM86" i="60"/>
  <c r="BY85" i="60"/>
  <c r="CA50" i="60"/>
  <c r="P72" i="65"/>
  <c r="BQ51" i="60"/>
  <c r="CC49" i="60"/>
  <c r="BZ51" i="60"/>
  <c r="BC34" i="60"/>
  <c r="BC113" i="60" s="1"/>
  <c r="BO33" i="60"/>
  <c r="BO95" i="60"/>
  <c r="CA93" i="60"/>
  <c r="CC93" i="60"/>
  <c r="BQ95" i="60"/>
  <c r="CB51" i="60"/>
  <c r="BX50" i="60"/>
  <c r="BL51" i="60"/>
  <c r="BO51" i="60"/>
  <c r="BU84" i="60"/>
  <c r="BI86" i="60"/>
  <c r="CG65" i="60"/>
  <c r="BT65" i="60"/>
  <c r="F52" i="61"/>
  <c r="AZ81" i="60"/>
  <c r="CE81" i="60"/>
  <c r="CH70" i="60"/>
  <c r="BT85" i="60"/>
  <c r="BH86" i="60"/>
  <c r="BP65" i="60"/>
  <c r="BM70" i="60"/>
  <c r="BM71" i="60" s="1"/>
  <c r="CH68" i="60"/>
  <c r="BN65" i="60"/>
  <c r="AZ86" i="60"/>
  <c r="BL85" i="60"/>
  <c r="BQ81" i="60"/>
  <c r="CF69" i="60"/>
  <c r="CF71" i="60" s="1"/>
  <c r="BU69" i="60"/>
  <c r="BU71" i="60" s="1"/>
  <c r="BN93" i="60"/>
  <c r="BB95" i="60"/>
  <c r="BL65" i="60"/>
  <c r="BO65" i="60"/>
  <c r="BP68" i="60"/>
  <c r="BP71" i="60" s="1"/>
  <c r="CC32" i="60"/>
  <c r="BQ84" i="60"/>
  <c r="BE86" i="60"/>
  <c r="BP85" i="60"/>
  <c r="BD86" i="60"/>
  <c r="BS31" i="60"/>
  <c r="BG34" i="60"/>
  <c r="BG113" i="60" s="1"/>
  <c r="BX66" i="60"/>
  <c r="CC69" i="60"/>
  <c r="CC71" i="60" s="1"/>
  <c r="BG86" i="60"/>
  <c r="BS84" i="60"/>
  <c r="BL33" i="60"/>
  <c r="AZ34" i="60"/>
  <c r="CI95" i="60"/>
  <c r="BY95" i="60"/>
  <c r="BX95" i="60"/>
  <c r="CF95" i="60"/>
  <c r="CI86" i="60"/>
  <c r="CG51" i="60"/>
  <c r="CD51" i="60"/>
  <c r="CI51" i="60"/>
  <c r="CH34" i="60"/>
  <c r="CH113" i="60" s="1"/>
  <c r="CF34" i="60"/>
  <c r="CF113" i="60" s="1"/>
  <c r="CB34" i="60"/>
  <c r="CB113" i="60" s="1"/>
  <c r="CD95" i="60"/>
  <c r="CB95" i="60"/>
  <c r="CG34" i="60"/>
  <c r="CG113" i="60" s="1"/>
  <c r="CH51" i="60"/>
  <c r="M8" i="64"/>
  <c r="CD34" i="60"/>
  <c r="CD113" i="60" s="1"/>
  <c r="BY31" i="60"/>
  <c r="BM34" i="60"/>
  <c r="BM113" i="60" s="1"/>
  <c r="CH95" i="60"/>
  <c r="CE51" i="60"/>
  <c r="I76" i="44" l="1"/>
  <c r="CH71" i="60"/>
  <c r="R66" i="65"/>
  <c r="T28" i="76"/>
  <c r="T37" i="76" s="1"/>
  <c r="L48" i="80"/>
  <c r="AG36" i="78"/>
  <c r="AF38" i="78"/>
  <c r="AG38" i="78" s="1"/>
  <c r="AI37" i="78"/>
  <c r="BG36" i="80"/>
  <c r="BF66" i="80"/>
  <c r="F44" i="44"/>
  <c r="BQ10" i="113"/>
  <c r="BQ8" i="60"/>
  <c r="BI4" i="80" s="1"/>
  <c r="P87" i="65"/>
  <c r="B132" i="82"/>
  <c r="J131" i="82"/>
  <c r="AZ113" i="60"/>
  <c r="CH46" i="113"/>
  <c r="Q15" i="65"/>
  <c r="Q69" i="65"/>
  <c r="R69" i="65" s="1"/>
  <c r="U40" i="76"/>
  <c r="Q34" i="65"/>
  <c r="P35" i="65"/>
  <c r="K118" i="80"/>
  <c r="N43" i="80"/>
  <c r="BZ34" i="60"/>
  <c r="BZ113" i="60" s="1"/>
  <c r="CA51" i="60"/>
  <c r="BY86" i="60"/>
  <c r="CF51" i="60"/>
  <c r="BO34" i="60"/>
  <c r="BO113" i="60" s="1"/>
  <c r="CA33" i="60"/>
  <c r="CC51" i="60"/>
  <c r="BX51" i="60"/>
  <c r="CC95" i="60"/>
  <c r="CA95" i="60"/>
  <c r="CB85" i="60"/>
  <c r="BP86" i="60"/>
  <c r="CA65" i="60"/>
  <c r="BL86" i="60"/>
  <c r="BX85" i="60"/>
  <c r="CF85" i="60"/>
  <c r="BT86" i="60"/>
  <c r="BL81" i="60"/>
  <c r="BS86" i="60"/>
  <c r="CE84" i="60"/>
  <c r="CE31" i="60"/>
  <c r="BS34" i="60"/>
  <c r="BS113" i="60" s="1"/>
  <c r="CC34" i="60"/>
  <c r="CC113" i="60" s="1"/>
  <c r="BN95" i="60"/>
  <c r="BZ93" i="60"/>
  <c r="BZ65" i="60"/>
  <c r="CB65" i="60"/>
  <c r="BX33" i="60"/>
  <c r="BL34" i="60"/>
  <c r="CB68" i="60"/>
  <c r="CB71" i="60" s="1"/>
  <c r="CF65" i="60"/>
  <c r="CG84" i="60"/>
  <c r="BU86" i="60"/>
  <c r="CC84" i="60"/>
  <c r="BQ86" i="60"/>
  <c r="BX65" i="60"/>
  <c r="CG69" i="60"/>
  <c r="CG71" i="60" s="1"/>
  <c r="CC81" i="60"/>
  <c r="BY70" i="60"/>
  <c r="BY71" i="60" s="1"/>
  <c r="N8" i="64"/>
  <c r="BY34" i="60"/>
  <c r="BY113" i="60" s="1"/>
  <c r="I44" i="44" l="1"/>
  <c r="L51" i="80"/>
  <c r="M48" i="80"/>
  <c r="AH38" i="78"/>
  <c r="AJ37" i="78"/>
  <c r="AH36" i="78"/>
  <c r="BH36" i="80"/>
  <c r="BG66" i="80"/>
  <c r="H44" i="44"/>
  <c r="BR10" i="113"/>
  <c r="BR8" i="60"/>
  <c r="BJ4" i="80" s="1"/>
  <c r="BL113" i="60"/>
  <c r="B133" i="82"/>
  <c r="J132" i="82"/>
  <c r="I41" i="44"/>
  <c r="P74" i="44"/>
  <c r="Q74" i="44" s="1"/>
  <c r="J118" i="80"/>
  <c r="CA34" i="60"/>
  <c r="CA113" i="60" s="1"/>
  <c r="BZ95" i="60"/>
  <c r="CE34" i="60"/>
  <c r="CE113" i="60" s="1"/>
  <c r="BX81" i="60"/>
  <c r="BX86" i="60"/>
  <c r="CE86" i="60"/>
  <c r="CB86" i="60"/>
  <c r="CC86" i="60"/>
  <c r="BX34" i="60"/>
  <c r="CG86" i="60"/>
  <c r="CF86" i="60"/>
  <c r="O8" i="64"/>
  <c r="L118" i="80" l="1"/>
  <c r="M32" i="72"/>
  <c r="N48" i="80"/>
  <c r="M51" i="80"/>
  <c r="AI38" i="78"/>
  <c r="AK37" i="78"/>
  <c r="AI36" i="78"/>
  <c r="BI36" i="80"/>
  <c r="BH66" i="80"/>
  <c r="BS10" i="113"/>
  <c r="BS8" i="60"/>
  <c r="BK4" i="80" s="1"/>
  <c r="BX113" i="60"/>
  <c r="B134" i="82"/>
  <c r="J133" i="82"/>
  <c r="I118" i="80"/>
  <c r="P8" i="64"/>
  <c r="M118" i="80" l="1"/>
  <c r="N32" i="72"/>
  <c r="O48" i="80"/>
  <c r="P48" i="80" s="1"/>
  <c r="N51" i="80"/>
  <c r="AL37" i="78"/>
  <c r="AJ36" i="78"/>
  <c r="AJ38" i="78"/>
  <c r="BJ36" i="80"/>
  <c r="BI66" i="80"/>
  <c r="BT10" i="113"/>
  <c r="BT8" i="60"/>
  <c r="BL4" i="80" s="1"/>
  <c r="B135" i="82"/>
  <c r="J134" i="82"/>
  <c r="K44" i="44"/>
  <c r="O43" i="80"/>
  <c r="K41" i="44"/>
  <c r="Q8" i="64"/>
  <c r="N118" i="80" l="1"/>
  <c r="P32" i="72"/>
  <c r="O51" i="80"/>
  <c r="Q48" i="80"/>
  <c r="AK36" i="78"/>
  <c r="AK38" i="78"/>
  <c r="BK36" i="80"/>
  <c r="BK47" i="80" s="1"/>
  <c r="BJ66" i="80"/>
  <c r="BU10" i="113"/>
  <c r="BU8" i="60"/>
  <c r="BM4" i="80" s="1"/>
  <c r="B136" i="82"/>
  <c r="J135" i="82"/>
  <c r="P43" i="80"/>
  <c r="P51" i="80" s="1"/>
  <c r="T118" i="80"/>
  <c r="R8" i="64"/>
  <c r="O118" i="80" l="1"/>
  <c r="Q32" i="72"/>
  <c r="R32" i="72"/>
  <c r="R48" i="80"/>
  <c r="AL38" i="78"/>
  <c r="AL36" i="78"/>
  <c r="BL36" i="80"/>
  <c r="BL47" i="80" s="1"/>
  <c r="BK42" i="80"/>
  <c r="BK70" i="80" s="1"/>
  <c r="BK66" i="80"/>
  <c r="BV10" i="113"/>
  <c r="BV8" i="60"/>
  <c r="BN4" i="80" s="1"/>
  <c r="B137" i="82"/>
  <c r="J136" i="82"/>
  <c r="P118" i="80"/>
  <c r="Q43" i="80"/>
  <c r="S8" i="64"/>
  <c r="R50" i="80" l="1"/>
  <c r="S50" i="80" s="1"/>
  <c r="Q51" i="80"/>
  <c r="S48" i="80"/>
  <c r="BM36" i="80"/>
  <c r="BM47" i="80" s="1"/>
  <c r="BL42" i="80"/>
  <c r="BL70" i="80" s="1"/>
  <c r="BL66" i="80"/>
  <c r="BW10" i="113"/>
  <c r="BW8" i="60"/>
  <c r="BO4" i="80" s="1"/>
  <c r="B138" i="82"/>
  <c r="J137" i="82"/>
  <c r="R43" i="80"/>
  <c r="T8" i="64"/>
  <c r="T32" i="72" l="1"/>
  <c r="Q118" i="80"/>
  <c r="T48" i="80"/>
  <c r="R51" i="80"/>
  <c r="BN36" i="80"/>
  <c r="BN47" i="80" s="1"/>
  <c r="BM42" i="80"/>
  <c r="BM70" i="80" s="1"/>
  <c r="BM66" i="80"/>
  <c r="BX10" i="113"/>
  <c r="BX8" i="60"/>
  <c r="BP4" i="80" s="1"/>
  <c r="B139" i="82"/>
  <c r="J138" i="82"/>
  <c r="S43" i="80"/>
  <c r="U8" i="64"/>
  <c r="U32" i="72" l="1"/>
  <c r="R118" i="80"/>
  <c r="S51" i="80"/>
  <c r="U48" i="80"/>
  <c r="BO36" i="80"/>
  <c r="BO47" i="80" s="1"/>
  <c r="BN42" i="80"/>
  <c r="BN70" i="80" s="1"/>
  <c r="BN66" i="80"/>
  <c r="BY10" i="113"/>
  <c r="BY8" i="60"/>
  <c r="BQ4" i="80" s="1"/>
  <c r="B140" i="82"/>
  <c r="J139" i="82"/>
  <c r="T43" i="80"/>
  <c r="V8" i="64"/>
  <c r="T51" i="80" l="1"/>
  <c r="V32" i="72"/>
  <c r="S118" i="80"/>
  <c r="BP36" i="80"/>
  <c r="BP47" i="80" s="1"/>
  <c r="BO42" i="80"/>
  <c r="BO70" i="80" s="1"/>
  <c r="BO66" i="80"/>
  <c r="BZ10" i="113"/>
  <c r="BZ8" i="60"/>
  <c r="BR4" i="80" s="1"/>
  <c r="B141" i="82"/>
  <c r="J140" i="82"/>
  <c r="U43" i="80"/>
  <c r="W8" i="64"/>
  <c r="W32" i="72" l="1"/>
  <c r="U44" i="80"/>
  <c r="V42" i="80" s="1"/>
  <c r="V70" i="80" s="1"/>
  <c r="U51" i="80"/>
  <c r="BQ36" i="80"/>
  <c r="BQ47" i="80" s="1"/>
  <c r="BE49" i="80" s="1"/>
  <c r="BP42" i="80"/>
  <c r="BP70" i="80" s="1"/>
  <c r="BP66" i="80"/>
  <c r="CA10" i="113"/>
  <c r="CA8" i="60"/>
  <c r="BS4" i="80" s="1"/>
  <c r="B142" i="82"/>
  <c r="J141" i="82"/>
  <c r="X8" i="64"/>
  <c r="BF47" i="80" l="1"/>
  <c r="BH47" i="80"/>
  <c r="BJ47" i="80"/>
  <c r="BI47" i="80"/>
  <c r="BG47" i="80"/>
  <c r="V48" i="80"/>
  <c r="X32" i="72"/>
  <c r="X42" i="80"/>
  <c r="X70" i="80" s="1"/>
  <c r="Y42" i="80"/>
  <c r="Y70" i="80" s="1"/>
  <c r="W42" i="80"/>
  <c r="W70" i="80" s="1"/>
  <c r="Z42" i="80"/>
  <c r="Z70" i="80" s="1"/>
  <c r="BR36" i="80"/>
  <c r="BQ42" i="80"/>
  <c r="BQ70" i="80" s="1"/>
  <c r="BQ66" i="80"/>
  <c r="V43" i="80"/>
  <c r="CB10" i="113"/>
  <c r="CB8" i="60"/>
  <c r="BT4" i="80" s="1"/>
  <c r="B143" i="82"/>
  <c r="J142" i="82"/>
  <c r="Y8" i="64"/>
  <c r="W48" i="80" l="1"/>
  <c r="V51" i="80"/>
  <c r="W43" i="80"/>
  <c r="BS36" i="80"/>
  <c r="BR66" i="80"/>
  <c r="CC10" i="113"/>
  <c r="CC8" i="60"/>
  <c r="BU4" i="80" s="1"/>
  <c r="B144" i="82"/>
  <c r="J143" i="82"/>
  <c r="Z8" i="64"/>
  <c r="X48" i="80" l="1"/>
  <c r="W51" i="80"/>
  <c r="Y32" i="72"/>
  <c r="X43" i="80"/>
  <c r="BT36" i="80"/>
  <c r="BS66" i="80"/>
  <c r="CD10" i="113"/>
  <c r="CD8" i="60"/>
  <c r="BV4" i="80" s="1"/>
  <c r="B145" i="82"/>
  <c r="J144" i="82"/>
  <c r="AA8" i="64"/>
  <c r="Y48" i="80" l="1"/>
  <c r="Y43" i="80"/>
  <c r="Z32" i="72"/>
  <c r="X51" i="80"/>
  <c r="BU36" i="80"/>
  <c r="BT66" i="80"/>
  <c r="CE10" i="113"/>
  <c r="CE8" i="60"/>
  <c r="BW4" i="80" s="1"/>
  <c r="B146" i="82"/>
  <c r="J145" i="82"/>
  <c r="AB8" i="64"/>
  <c r="Z48" i="80" l="1"/>
  <c r="AA32" i="72"/>
  <c r="Y51" i="80"/>
  <c r="BV36" i="80"/>
  <c r="BU66" i="80"/>
  <c r="CF10" i="113"/>
  <c r="CF8" i="60"/>
  <c r="BX4" i="80" s="1"/>
  <c r="B147" i="82"/>
  <c r="J146" i="82"/>
  <c r="AC8" i="64"/>
  <c r="AA48" i="80" l="1"/>
  <c r="AB32" i="72"/>
  <c r="BW36" i="80"/>
  <c r="BW47" i="80" s="1"/>
  <c r="BV66" i="80"/>
  <c r="CG10" i="113"/>
  <c r="CG8" i="60"/>
  <c r="BY4" i="80" s="1"/>
  <c r="AD8" i="64"/>
  <c r="B148" i="82"/>
  <c r="J147" i="82"/>
  <c r="AB48" i="80" l="1"/>
  <c r="AC48" i="80" s="1"/>
  <c r="AD48" i="80" s="1"/>
  <c r="BX36" i="80"/>
  <c r="BX47" i="80" s="1"/>
  <c r="BW42" i="80"/>
  <c r="BW70" i="80" s="1"/>
  <c r="BW66" i="80"/>
  <c r="CH10" i="113"/>
  <c r="CI8" i="60" s="1"/>
  <c r="CH8" i="60"/>
  <c r="BZ4" i="80" s="1"/>
  <c r="AE8" i="64"/>
  <c r="B149" i="82"/>
  <c r="J148" i="82"/>
  <c r="CA4" i="80" l="1"/>
  <c r="CB4" i="80" s="1"/>
  <c r="CC4" i="80" s="1"/>
  <c r="CD4" i="80" s="1"/>
  <c r="AE48" i="80"/>
  <c r="BY36" i="80"/>
  <c r="BY47" i="80" s="1"/>
  <c r="BX42" i="80"/>
  <c r="BX70" i="80" s="1"/>
  <c r="BX66" i="80"/>
  <c r="AF8" i="64"/>
  <c r="B150" i="82"/>
  <c r="J149" i="82"/>
  <c r="AF48" i="80" l="1"/>
  <c r="BZ36" i="80"/>
  <c r="BZ47" i="80" s="1"/>
  <c r="BY42" i="80"/>
  <c r="BY70" i="80" s="1"/>
  <c r="BY66" i="80"/>
  <c r="AG8" i="64"/>
  <c r="B151" i="82"/>
  <c r="J150" i="82"/>
  <c r="AH8" i="64"/>
  <c r="AG48" i="80" l="1"/>
  <c r="CA36" i="80"/>
  <c r="CA47" i="80" s="1"/>
  <c r="BZ42" i="80"/>
  <c r="BZ70" i="80" s="1"/>
  <c r="BZ66" i="80"/>
  <c r="B152" i="82"/>
  <c r="J151" i="82"/>
  <c r="AI8" i="64"/>
  <c r="CB36" i="80" l="1"/>
  <c r="CB47" i="80" s="1"/>
  <c r="CA42" i="80"/>
  <c r="CA70" i="80" s="1"/>
  <c r="CA66" i="80"/>
  <c r="B153" i="82"/>
  <c r="J152" i="82"/>
  <c r="AJ8" i="64"/>
  <c r="AH48" i="80" l="1"/>
  <c r="CC36" i="80"/>
  <c r="CC47" i="80" s="1"/>
  <c r="CB66" i="80"/>
  <c r="CB42" i="80"/>
  <c r="CB70" i="80" s="1"/>
  <c r="B154" i="82"/>
  <c r="J153" i="82"/>
  <c r="AK8" i="64"/>
  <c r="CC49" i="80" l="1"/>
  <c r="BQ49" i="80"/>
  <c r="AI48" i="80"/>
  <c r="CD36" i="80"/>
  <c r="CC66" i="80"/>
  <c r="CC42" i="80"/>
  <c r="CC70" i="80" s="1"/>
  <c r="B155" i="82"/>
  <c r="J154" i="82"/>
  <c r="AL8" i="64"/>
  <c r="AJ48" i="80" l="1"/>
  <c r="CD66" i="80"/>
  <c r="B156" i="82"/>
  <c r="J155" i="82"/>
  <c r="AK48" i="80" l="1"/>
  <c r="AL48" i="80" s="1"/>
  <c r="B157" i="82"/>
  <c r="J156" i="82"/>
  <c r="AN8" i="64"/>
  <c r="AM8" i="64"/>
  <c r="AM48" i="80" l="1"/>
  <c r="AO8" i="64"/>
  <c r="B158" i="82"/>
  <c r="J157" i="82"/>
  <c r="AP8" i="64"/>
  <c r="AN48" i="80" l="1"/>
  <c r="B159" i="82"/>
  <c r="J158" i="82"/>
  <c r="AQ8" i="64"/>
  <c r="AO48" i="80" l="1"/>
  <c r="B160" i="82"/>
  <c r="J159" i="82"/>
  <c r="AR8" i="64"/>
  <c r="AP48" i="80" l="1"/>
  <c r="B161" i="82"/>
  <c r="J160" i="82"/>
  <c r="AS8" i="64"/>
  <c r="AQ48" i="80" l="1"/>
  <c r="B162" i="82"/>
  <c r="J161" i="82"/>
  <c r="AT8" i="64"/>
  <c r="AR48" i="80" l="1"/>
  <c r="B163" i="82"/>
  <c r="J162" i="82"/>
  <c r="AU8" i="64"/>
  <c r="AS48" i="80" l="1"/>
  <c r="B164" i="82"/>
  <c r="J163" i="82"/>
  <c r="AV8" i="64"/>
  <c r="B165" i="82" l="1"/>
  <c r="J164" i="82"/>
  <c r="AW8" i="64"/>
  <c r="AT48" i="80" l="1"/>
  <c r="B166" i="82"/>
  <c r="J165" i="82"/>
  <c r="AX8" i="64"/>
  <c r="AU48" i="80" l="1"/>
  <c r="B167" i="82"/>
  <c r="J166" i="82"/>
  <c r="AV48" i="80" l="1"/>
  <c r="AZ8" i="64"/>
  <c r="AY8" i="64"/>
  <c r="B168" i="82"/>
  <c r="J167" i="82"/>
  <c r="BA8" i="64"/>
  <c r="AW48" i="80" l="1"/>
  <c r="B169" i="82"/>
  <c r="J168" i="82"/>
  <c r="BB8" i="64"/>
  <c r="AX48" i="80" l="1"/>
  <c r="B170" i="82"/>
  <c r="J169" i="82"/>
  <c r="BC8" i="64"/>
  <c r="AY48" i="80" l="1"/>
  <c r="B171" i="82"/>
  <c r="J170" i="82"/>
  <c r="BD8" i="64"/>
  <c r="AZ48" i="80" l="1"/>
  <c r="BA48" i="80" s="1"/>
  <c r="B172" i="82"/>
  <c r="J171" i="82"/>
  <c r="BE8" i="64"/>
  <c r="BB48" i="80" l="1"/>
  <c r="B173" i="82"/>
  <c r="J172" i="82"/>
  <c r="BF8" i="64"/>
  <c r="BC48" i="80" l="1"/>
  <c r="B174" i="82"/>
  <c r="J173" i="82"/>
  <c r="BG8" i="64"/>
  <c r="BD48" i="80" l="1"/>
  <c r="B175" i="82"/>
  <c r="J174" i="82"/>
  <c r="BH8" i="64"/>
  <c r="BE48" i="80" l="1"/>
  <c r="B176" i="82"/>
  <c r="J175" i="82"/>
  <c r="BI8" i="64"/>
  <c r="B177" i="82" l="1"/>
  <c r="J176" i="82"/>
  <c r="BJ8" i="64"/>
  <c r="BF48" i="80" l="1"/>
  <c r="B178" i="82"/>
  <c r="J177" i="82"/>
  <c r="BK8" i="64"/>
  <c r="BG48" i="80" l="1"/>
  <c r="B179" i="82"/>
  <c r="J178" i="82"/>
  <c r="BL8" i="64"/>
  <c r="BH48" i="80" l="1"/>
  <c r="B180" i="82"/>
  <c r="J179" i="82"/>
  <c r="BM8" i="64"/>
  <c r="BI48" i="80" l="1"/>
  <c r="B181" i="82"/>
  <c r="J180" i="82"/>
  <c r="BN8" i="64"/>
  <c r="BJ48" i="80" l="1"/>
  <c r="B182" i="82"/>
  <c r="J181" i="82"/>
  <c r="BO8" i="64"/>
  <c r="BK48" i="80" l="1"/>
  <c r="B183" i="82"/>
  <c r="J182" i="82"/>
  <c r="BP8" i="64"/>
  <c r="BL48" i="80" l="1"/>
  <c r="B184" i="82"/>
  <c r="J183" i="82"/>
  <c r="BQ8" i="64"/>
  <c r="AH68" i="72"/>
  <c r="BM48" i="80" l="1"/>
  <c r="B185" i="82"/>
  <c r="J184" i="82"/>
  <c r="BR8" i="64"/>
  <c r="BN48" i="80" l="1"/>
  <c r="BO48" i="80" s="1"/>
  <c r="B186" i="82"/>
  <c r="J185" i="82"/>
  <c r="BS8" i="64"/>
  <c r="BP48" i="80" l="1"/>
  <c r="B187" i="82"/>
  <c r="J186" i="82"/>
  <c r="BT8" i="64"/>
  <c r="BQ48" i="80" l="1"/>
  <c r="B188" i="82"/>
  <c r="J187" i="82"/>
  <c r="BU8" i="64"/>
  <c r="BS47" i="80" l="1"/>
  <c r="BV47" i="80"/>
  <c r="BR47" i="80"/>
  <c r="BU47" i="80"/>
  <c r="BT47" i="80"/>
  <c r="B189" i="82"/>
  <c r="J188" i="82"/>
  <c r="BV8" i="64"/>
  <c r="BR48" i="80" l="1"/>
  <c r="B190" i="82"/>
  <c r="J189" i="82"/>
  <c r="BW8" i="64"/>
  <c r="BS48" i="80" l="1"/>
  <c r="B191" i="82"/>
  <c r="J190" i="82"/>
  <c r="BX8" i="64"/>
  <c r="BT48" i="80" l="1"/>
  <c r="B192" i="82"/>
  <c r="J191" i="82"/>
  <c r="BY8" i="64"/>
  <c r="BU48" i="80" l="1"/>
  <c r="B193" i="82"/>
  <c r="J192" i="82"/>
  <c r="BZ8" i="64"/>
  <c r="BV48" i="80" l="1"/>
  <c r="B194" i="82"/>
  <c r="J193" i="82"/>
  <c r="CA8" i="64"/>
  <c r="BW48" i="80" l="1"/>
  <c r="B195" i="82"/>
  <c r="J194" i="82"/>
  <c r="CB8" i="64"/>
  <c r="BX48" i="80" l="1"/>
  <c r="B196" i="82"/>
  <c r="J195" i="82"/>
  <c r="CC8" i="64"/>
  <c r="AI68" i="72"/>
  <c r="BY48" i="80" l="1"/>
  <c r="B197" i="82"/>
  <c r="J196" i="82"/>
  <c r="CD8" i="64"/>
  <c r="BZ48" i="80" l="1"/>
  <c r="CA48" i="80" s="1"/>
  <c r="B198" i="82"/>
  <c r="J197" i="82"/>
  <c r="CE8" i="64"/>
  <c r="CB48" i="80" l="1"/>
  <c r="B199" i="82"/>
  <c r="J198" i="82"/>
  <c r="CF8" i="64"/>
  <c r="CC48" i="80" l="1"/>
  <c r="B200" i="82"/>
  <c r="J199" i="82"/>
  <c r="CG8" i="64"/>
  <c r="CD47" i="80" l="1"/>
  <c r="B201" i="82"/>
  <c r="J200" i="82"/>
  <c r="CH8" i="64"/>
  <c r="CD48" i="80" l="1"/>
  <c r="B202" i="82"/>
  <c r="J201" i="82"/>
  <c r="CI8" i="64"/>
  <c r="B203" i="82" l="1"/>
  <c r="J202" i="82"/>
  <c r="AJ68" i="72"/>
  <c r="B204" i="82" l="1"/>
  <c r="J203" i="82"/>
  <c r="AK68" i="72"/>
  <c r="B205" i="82" l="1"/>
  <c r="J204" i="82"/>
  <c r="D57" i="113"/>
  <c r="P57" i="113" s="1"/>
  <c r="E57" i="113"/>
  <c r="Q57" i="113" s="1"/>
  <c r="F57" i="113"/>
  <c r="R57" i="113" s="1"/>
  <c r="G57" i="113"/>
  <c r="H57" i="113"/>
  <c r="T57" i="113" s="1"/>
  <c r="I57" i="113"/>
  <c r="U57" i="113" s="1"/>
  <c r="J57" i="113"/>
  <c r="V57" i="113" s="1"/>
  <c r="K57" i="113"/>
  <c r="W57" i="113" s="1"/>
  <c r="L57" i="113"/>
  <c r="X57" i="113" s="1"/>
  <c r="M57" i="113"/>
  <c r="N57" i="113"/>
  <c r="E30" i="60"/>
  <c r="F30" i="60"/>
  <c r="G30" i="60"/>
  <c r="H30" i="60"/>
  <c r="I30" i="60"/>
  <c r="J30" i="60"/>
  <c r="K30" i="60"/>
  <c r="L30" i="60"/>
  <c r="M30" i="60"/>
  <c r="N30" i="60"/>
  <c r="O30" i="60"/>
  <c r="D84" i="113"/>
  <c r="E84" i="113"/>
  <c r="F84" i="113"/>
  <c r="G84" i="113"/>
  <c r="H84" i="113"/>
  <c r="I84" i="113"/>
  <c r="J84" i="113"/>
  <c r="K84" i="113"/>
  <c r="L84" i="113"/>
  <c r="M84" i="113"/>
  <c r="N84" i="113"/>
  <c r="E48" i="60"/>
  <c r="F48" i="60"/>
  <c r="G48" i="60"/>
  <c r="H48" i="60"/>
  <c r="I48" i="60"/>
  <c r="J48" i="60"/>
  <c r="C12" i="78" s="1"/>
  <c r="K48" i="60"/>
  <c r="D12" i="78" s="1"/>
  <c r="L48" i="60"/>
  <c r="E12" i="78" s="1"/>
  <c r="M48" i="60"/>
  <c r="N48" i="60"/>
  <c r="O48" i="60"/>
  <c r="C57" i="113"/>
  <c r="C84" i="113"/>
  <c r="Y57" i="113" l="1"/>
  <c r="Z21" i="60" s="1"/>
  <c r="C55" i="113"/>
  <c r="C82" i="113"/>
  <c r="N39" i="60"/>
  <c r="G14" i="78" s="1"/>
  <c r="Y84" i="113"/>
  <c r="J39" i="60"/>
  <c r="C14" i="78" s="1"/>
  <c r="U84" i="113"/>
  <c r="F39" i="60"/>
  <c r="Q84" i="113"/>
  <c r="X21" i="60"/>
  <c r="AI57" i="113"/>
  <c r="S57" i="113"/>
  <c r="O57" i="113"/>
  <c r="M39" i="60"/>
  <c r="F14" i="78" s="1"/>
  <c r="X84" i="113"/>
  <c r="I39" i="60"/>
  <c r="T84" i="113"/>
  <c r="E39" i="60"/>
  <c r="P84" i="113"/>
  <c r="Z57" i="113"/>
  <c r="W21" i="60"/>
  <c r="AH57" i="113"/>
  <c r="S21" i="60"/>
  <c r="AD57" i="113"/>
  <c r="L39" i="60"/>
  <c r="E14" i="78" s="1"/>
  <c r="W84" i="113"/>
  <c r="H39" i="60"/>
  <c r="S84" i="113"/>
  <c r="AK57" i="113"/>
  <c r="V21" i="60"/>
  <c r="AG57" i="113"/>
  <c r="R21" i="60"/>
  <c r="AC57" i="113"/>
  <c r="D39" i="60"/>
  <c r="O84" i="113"/>
  <c r="O39" i="60"/>
  <c r="H14" i="78" s="1"/>
  <c r="Z84" i="113"/>
  <c r="K39" i="60"/>
  <c r="D14" i="78" s="1"/>
  <c r="V84" i="113"/>
  <c r="G39" i="60"/>
  <c r="R84" i="113"/>
  <c r="Y21" i="60"/>
  <c r="AJ57" i="113"/>
  <c r="U21" i="60"/>
  <c r="AF57" i="113"/>
  <c r="Q21" i="60"/>
  <c r="AB57" i="113"/>
  <c r="B206" i="82"/>
  <c r="J205" i="82"/>
  <c r="X48" i="60"/>
  <c r="L47" i="60"/>
  <c r="T48" i="60"/>
  <c r="H47" i="60"/>
  <c r="Z30" i="60"/>
  <c r="N29" i="60"/>
  <c r="AA48" i="60"/>
  <c r="O47" i="60"/>
  <c r="S48" i="60"/>
  <c r="G47" i="60"/>
  <c r="M29" i="60"/>
  <c r="Y30" i="60"/>
  <c r="Q30" i="60"/>
  <c r="E29" i="60"/>
  <c r="O34" i="20"/>
  <c r="Z48" i="60"/>
  <c r="N47" i="60"/>
  <c r="V48" i="60"/>
  <c r="J47" i="60"/>
  <c r="R48" i="60"/>
  <c r="F47" i="60"/>
  <c r="X30" i="60"/>
  <c r="L29" i="60"/>
  <c r="H29" i="60"/>
  <c r="T30" i="60"/>
  <c r="O20" i="20"/>
  <c r="J29" i="60"/>
  <c r="V30" i="60"/>
  <c r="R30" i="60"/>
  <c r="F29" i="60"/>
  <c r="K47" i="60"/>
  <c r="W48" i="60"/>
  <c r="I29" i="60"/>
  <c r="U30" i="60"/>
  <c r="Y48" i="60"/>
  <c r="M47" i="60"/>
  <c r="U48" i="60"/>
  <c r="I47" i="60"/>
  <c r="Q48" i="60"/>
  <c r="E47" i="60"/>
  <c r="AA30" i="60"/>
  <c r="O29" i="60"/>
  <c r="W30" i="60"/>
  <c r="K29" i="60"/>
  <c r="S30" i="60"/>
  <c r="G29" i="60"/>
  <c r="D49" i="115" l="1"/>
  <c r="D49" i="65"/>
  <c r="E49" i="115"/>
  <c r="E48" i="115" s="1"/>
  <c r="E49" i="65"/>
  <c r="D13" i="81"/>
  <c r="E31" i="115"/>
  <c r="E30" i="115" s="1"/>
  <c r="E31" i="65"/>
  <c r="E13" i="81"/>
  <c r="F31" i="115"/>
  <c r="F30" i="115" s="1"/>
  <c r="F31" i="65"/>
  <c r="C13" i="81"/>
  <c r="D31" i="115"/>
  <c r="D31" i="65"/>
  <c r="F49" i="115"/>
  <c r="F48" i="115" s="1"/>
  <c r="F49" i="65"/>
  <c r="E22" i="115"/>
  <c r="E22" i="65"/>
  <c r="D22" i="115"/>
  <c r="D22" i="65"/>
  <c r="N12" i="78"/>
  <c r="K12" i="78"/>
  <c r="U12" i="78"/>
  <c r="Q12" i="78"/>
  <c r="R12" i="78"/>
  <c r="J12" i="78"/>
  <c r="T12" i="78"/>
  <c r="P12" i="78"/>
  <c r="L12" i="78"/>
  <c r="B207" i="82"/>
  <c r="J206" i="82"/>
  <c r="S39" i="60"/>
  <c r="L14" i="78" s="1"/>
  <c r="AD84" i="113"/>
  <c r="T39" i="60"/>
  <c r="M14" i="78" s="1"/>
  <c r="AE84" i="113"/>
  <c r="Q39" i="60"/>
  <c r="AB84" i="113"/>
  <c r="P21" i="60"/>
  <c r="AA57" i="113"/>
  <c r="AJ21" i="60"/>
  <c r="AU57" i="113"/>
  <c r="R39" i="60"/>
  <c r="K14" i="78" s="1"/>
  <c r="AC84" i="113"/>
  <c r="AC21" i="60"/>
  <c r="AN57" i="113"/>
  <c r="AK21" i="60"/>
  <c r="AV57" i="113"/>
  <c r="P39" i="60"/>
  <c r="I14" i="78" s="1"/>
  <c r="AA84" i="113"/>
  <c r="AH21" i="60"/>
  <c r="AS57" i="113"/>
  <c r="AE21" i="60"/>
  <c r="AP57" i="113"/>
  <c r="AA39" i="60"/>
  <c r="AL84" i="113"/>
  <c r="AA21" i="60"/>
  <c r="AL57" i="113"/>
  <c r="Y39" i="60"/>
  <c r="AJ84" i="113"/>
  <c r="D55" i="113"/>
  <c r="O55" i="113"/>
  <c r="C50" i="113"/>
  <c r="C51" i="113" s="1"/>
  <c r="C52" i="113" s="1"/>
  <c r="AK84" i="113"/>
  <c r="Z39" i="60"/>
  <c r="D9" i="81" s="1"/>
  <c r="AG21" i="60"/>
  <c r="AR57" i="113"/>
  <c r="AH84" i="113"/>
  <c r="W39" i="60"/>
  <c r="Q14" i="78" s="1"/>
  <c r="AD21" i="60"/>
  <c r="AO57" i="113"/>
  <c r="AL21" i="60"/>
  <c r="AW57" i="113"/>
  <c r="D82" i="113"/>
  <c r="C77" i="113"/>
  <c r="C78" i="113" s="1"/>
  <c r="C79" i="113" s="1"/>
  <c r="X39" i="60"/>
  <c r="R14" i="78" s="1"/>
  <c r="AI84" i="113"/>
  <c r="AI21" i="60"/>
  <c r="AT57" i="113"/>
  <c r="U39" i="60"/>
  <c r="N14" i="78" s="1"/>
  <c r="AF84" i="113"/>
  <c r="T21" i="60"/>
  <c r="M12" i="78" s="1"/>
  <c r="AE57" i="113"/>
  <c r="V39" i="60"/>
  <c r="P14" i="78" s="1"/>
  <c r="AG84" i="113"/>
  <c r="I30" i="113"/>
  <c r="D30" i="113"/>
  <c r="M30" i="113"/>
  <c r="K30" i="113"/>
  <c r="H30" i="113"/>
  <c r="F30" i="113"/>
  <c r="G30" i="113"/>
  <c r="C30" i="113"/>
  <c r="J30" i="113"/>
  <c r="L30" i="113"/>
  <c r="F11" i="78" s="1"/>
  <c r="E30" i="113"/>
  <c r="N30" i="113"/>
  <c r="H11" i="78" s="1"/>
  <c r="AC30" i="60"/>
  <c r="Q29" i="60"/>
  <c r="AI30" i="60"/>
  <c r="W29" i="60"/>
  <c r="AK48" i="60"/>
  <c r="Y47" i="60"/>
  <c r="AF30" i="60"/>
  <c r="T29" i="60"/>
  <c r="AL48" i="60"/>
  <c r="Z47" i="60"/>
  <c r="AK30" i="60"/>
  <c r="Y29" i="60"/>
  <c r="G12" i="78"/>
  <c r="AE30" i="60"/>
  <c r="S29" i="60"/>
  <c r="AI48" i="60"/>
  <c r="W47" i="60"/>
  <c r="AH30" i="60"/>
  <c r="V29" i="60"/>
  <c r="AJ30" i="60"/>
  <c r="X29" i="60"/>
  <c r="V47" i="60"/>
  <c r="AH48" i="60"/>
  <c r="Z29" i="60"/>
  <c r="AL30" i="60"/>
  <c r="AD30" i="60"/>
  <c r="R29" i="60"/>
  <c r="O38" i="20"/>
  <c r="R34" i="20"/>
  <c r="R38" i="20" s="1"/>
  <c r="AF48" i="60"/>
  <c r="T47" i="60"/>
  <c r="AG48" i="60"/>
  <c r="U47" i="60"/>
  <c r="AM30" i="60"/>
  <c r="AA29" i="60"/>
  <c r="AC48" i="60"/>
  <c r="Q47" i="60"/>
  <c r="O27" i="20"/>
  <c r="D16" i="76" s="1"/>
  <c r="D30" i="60"/>
  <c r="O13" i="20"/>
  <c r="U29" i="60"/>
  <c r="AG30" i="60"/>
  <c r="O24" i="20"/>
  <c r="R20" i="20"/>
  <c r="R24" i="20" s="1"/>
  <c r="H12" i="78"/>
  <c r="R47" i="60"/>
  <c r="AD48" i="60"/>
  <c r="AE48" i="60"/>
  <c r="S47" i="60"/>
  <c r="AM48" i="60"/>
  <c r="AA47" i="60"/>
  <c r="D48" i="60"/>
  <c r="O41" i="20"/>
  <c r="F12" i="78"/>
  <c r="AJ48" i="60"/>
  <c r="X47" i="60"/>
  <c r="H24" i="81" l="1"/>
  <c r="E9" i="81"/>
  <c r="I49" i="115"/>
  <c r="I48" i="115" s="1"/>
  <c r="I49" i="65"/>
  <c r="J13" i="81"/>
  <c r="K31" i="115"/>
  <c r="K30" i="115" s="1"/>
  <c r="K31" i="65"/>
  <c r="J49" i="115"/>
  <c r="J48" i="115" s="1"/>
  <c r="J49" i="65"/>
  <c r="K49" i="115"/>
  <c r="K48" i="115" s="1"/>
  <c r="K49" i="65"/>
  <c r="N49" i="115"/>
  <c r="N48" i="115" s="1"/>
  <c r="N49" i="65"/>
  <c r="D48" i="115"/>
  <c r="K13" i="81"/>
  <c r="L31" i="115"/>
  <c r="L30" i="115" s="1"/>
  <c r="L31" i="65"/>
  <c r="N13" i="81"/>
  <c r="O31" i="115"/>
  <c r="O30" i="115" s="1"/>
  <c r="O31" i="65"/>
  <c r="M13" i="81"/>
  <c r="N31" i="115"/>
  <c r="N30" i="115" s="1"/>
  <c r="N31" i="65"/>
  <c r="D30" i="115"/>
  <c r="I13" i="81"/>
  <c r="J31" i="115"/>
  <c r="J30" i="115" s="1"/>
  <c r="J31" i="65"/>
  <c r="O49" i="115"/>
  <c r="O48" i="115" s="1"/>
  <c r="O49" i="65"/>
  <c r="H49" i="115"/>
  <c r="H48" i="115" s="1"/>
  <c r="H49" i="65"/>
  <c r="L49" i="115"/>
  <c r="L48" i="115" s="1"/>
  <c r="L49" i="65"/>
  <c r="H13" i="81"/>
  <c r="I31" i="115"/>
  <c r="I30" i="115" s="1"/>
  <c r="I31" i="65"/>
  <c r="M49" i="115"/>
  <c r="M48" i="115" s="1"/>
  <c r="M49" i="65"/>
  <c r="L13" i="81"/>
  <c r="M31" i="115"/>
  <c r="M30" i="115" s="1"/>
  <c r="M31" i="65"/>
  <c r="G13" i="81"/>
  <c r="H31" i="115"/>
  <c r="H30" i="115" s="1"/>
  <c r="H31" i="65"/>
  <c r="N22" i="115"/>
  <c r="N22" i="65"/>
  <c r="T14" i="78"/>
  <c r="D40" i="115"/>
  <c r="D40" i="65"/>
  <c r="V14" i="78"/>
  <c r="F40" i="115"/>
  <c r="F40" i="65"/>
  <c r="M22" i="115"/>
  <c r="M22" i="65"/>
  <c r="U14" i="78"/>
  <c r="E40" i="115"/>
  <c r="E40" i="65"/>
  <c r="V12" i="78"/>
  <c r="F22" i="115"/>
  <c r="F22" i="65"/>
  <c r="J22" i="115"/>
  <c r="J22" i="65"/>
  <c r="H22" i="115"/>
  <c r="H22" i="65"/>
  <c r="O22" i="115"/>
  <c r="O22" i="65"/>
  <c r="J14" i="78"/>
  <c r="O14" i="78" s="1"/>
  <c r="I22" i="115"/>
  <c r="I22" i="65"/>
  <c r="L22" i="115"/>
  <c r="L22" i="65"/>
  <c r="C9" i="81"/>
  <c r="Z12" i="78"/>
  <c r="X12" i="78"/>
  <c r="AE12" i="78"/>
  <c r="AD12" i="78"/>
  <c r="AC12" i="78"/>
  <c r="Y12" i="78"/>
  <c r="AB12" i="78"/>
  <c r="G11" i="78"/>
  <c r="C28" i="113"/>
  <c r="AH39" i="60"/>
  <c r="L9" i="81" s="1"/>
  <c r="AS84" i="113"/>
  <c r="AU21" i="60"/>
  <c r="BF57" i="113"/>
  <c r="AX21" i="60"/>
  <c r="BI57" i="113"/>
  <c r="P55" i="113"/>
  <c r="D50" i="113"/>
  <c r="D51" i="113" s="1"/>
  <c r="D52" i="113" s="1"/>
  <c r="E55" i="113"/>
  <c r="AM21" i="60"/>
  <c r="AX57" i="113"/>
  <c r="AT21" i="60"/>
  <c r="BE57" i="113"/>
  <c r="AB39" i="60"/>
  <c r="AM84" i="113"/>
  <c r="AO21" i="60"/>
  <c r="AZ57" i="113"/>
  <c r="AD39" i="60"/>
  <c r="H9" i="81" s="1"/>
  <c r="AO84" i="113"/>
  <c r="AC39" i="60"/>
  <c r="AN84" i="113"/>
  <c r="AF39" i="60"/>
  <c r="AQ84" i="113"/>
  <c r="AL39" i="60"/>
  <c r="AW84" i="113"/>
  <c r="AM39" i="60"/>
  <c r="AX84" i="113"/>
  <c r="AB21" i="60"/>
  <c r="AM57" i="113"/>
  <c r="AE39" i="60"/>
  <c r="I9" i="81" s="1"/>
  <c r="AP84" i="113"/>
  <c r="B208" i="82"/>
  <c r="J207" i="82"/>
  <c r="AF21" i="60"/>
  <c r="J9" i="81" s="1"/>
  <c r="AQ57" i="113"/>
  <c r="AG39" i="60"/>
  <c r="K9" i="81" s="1"/>
  <c r="AR84" i="113"/>
  <c r="E82" i="113"/>
  <c r="D77" i="113"/>
  <c r="D78" i="113" s="1"/>
  <c r="D79" i="113" s="1"/>
  <c r="AP21" i="60"/>
  <c r="BA57" i="113"/>
  <c r="AI39" i="60"/>
  <c r="M9" i="81" s="1"/>
  <c r="AT84" i="113"/>
  <c r="AK39" i="60"/>
  <c r="AV84" i="113"/>
  <c r="AQ21" i="60"/>
  <c r="BB57" i="113"/>
  <c r="AW21" i="60"/>
  <c r="BH57" i="113"/>
  <c r="AV21" i="60"/>
  <c r="BG57" i="113"/>
  <c r="AJ39" i="60"/>
  <c r="N9" i="81" s="1"/>
  <c r="AU84" i="113"/>
  <c r="AS21" i="60"/>
  <c r="BD57" i="113"/>
  <c r="O50" i="113"/>
  <c r="AA55" i="113"/>
  <c r="R30" i="113"/>
  <c r="S12" i="60" s="1"/>
  <c r="L11" i="78" s="1"/>
  <c r="P30" i="113"/>
  <c r="Q12" i="60" s="1"/>
  <c r="V30" i="113"/>
  <c r="W12" i="60" s="1"/>
  <c r="Q11" i="78" s="1"/>
  <c r="Y30" i="113"/>
  <c r="Z12" i="60" s="1"/>
  <c r="Q30" i="113"/>
  <c r="R12" i="60" s="1"/>
  <c r="K11" i="78" s="1"/>
  <c r="T30" i="113"/>
  <c r="U12" i="60" s="1"/>
  <c r="N11" i="78" s="1"/>
  <c r="U30" i="113"/>
  <c r="V12" i="60" s="1"/>
  <c r="P11" i="78" s="1"/>
  <c r="Z30" i="113"/>
  <c r="AA12" i="60" s="1"/>
  <c r="O30" i="113"/>
  <c r="P12" i="60" s="1"/>
  <c r="X30" i="113"/>
  <c r="Y12" i="60" s="1"/>
  <c r="W30" i="113"/>
  <c r="X12" i="60" s="1"/>
  <c r="R11" i="78" s="1"/>
  <c r="S30" i="113"/>
  <c r="T12" i="60" s="1"/>
  <c r="M11" i="78" s="1"/>
  <c r="AO48" i="60"/>
  <c r="AC47" i="60"/>
  <c r="AT48" i="60"/>
  <c r="AH47" i="60"/>
  <c r="AK29" i="60"/>
  <c r="AW30" i="60"/>
  <c r="AV48" i="60"/>
  <c r="AJ47" i="60"/>
  <c r="AY48" i="60"/>
  <c r="AM47" i="60"/>
  <c r="AQ48" i="60"/>
  <c r="AE47" i="60"/>
  <c r="AD47" i="60"/>
  <c r="AP48" i="60"/>
  <c r="AP30" i="60"/>
  <c r="AD29" i="60"/>
  <c r="AT30" i="60"/>
  <c r="AH29" i="60"/>
  <c r="AU48" i="60"/>
  <c r="AI47" i="60"/>
  <c r="AU30" i="60"/>
  <c r="AI29" i="60"/>
  <c r="AO30" i="60"/>
  <c r="AC29" i="60"/>
  <c r="D47" i="60"/>
  <c r="P48" i="60"/>
  <c r="P30" i="60"/>
  <c r="D29" i="60"/>
  <c r="AS48" i="60"/>
  <c r="AG47" i="60"/>
  <c r="AX30" i="60"/>
  <c r="AL29" i="60"/>
  <c r="AV30" i="60"/>
  <c r="AJ29" i="60"/>
  <c r="AX48" i="60"/>
  <c r="AL47" i="60"/>
  <c r="R13" i="20"/>
  <c r="R17" i="20" s="1"/>
  <c r="O17" i="20"/>
  <c r="D15" i="76"/>
  <c r="AM29" i="60"/>
  <c r="AY30" i="60"/>
  <c r="O44" i="20"/>
  <c r="R41" i="20"/>
  <c r="R44" i="20" s="1"/>
  <c r="D16" i="91"/>
  <c r="P16" i="76"/>
  <c r="AG29" i="60"/>
  <c r="AS30" i="60"/>
  <c r="O31" i="20"/>
  <c r="R27" i="20"/>
  <c r="R31" i="20" s="1"/>
  <c r="AR48" i="60"/>
  <c r="AF47" i="60"/>
  <c r="AQ30" i="60"/>
  <c r="AE29" i="60"/>
  <c r="AR30" i="60"/>
  <c r="AF29" i="60"/>
  <c r="AW48" i="60"/>
  <c r="AK47" i="60"/>
  <c r="G9" i="81" l="1"/>
  <c r="P16" i="91"/>
  <c r="Q16" i="91"/>
  <c r="F9" i="81"/>
  <c r="O9" i="81" s="1"/>
  <c r="AD14" i="78"/>
  <c r="N40" i="115"/>
  <c r="N40" i="65"/>
  <c r="I11" i="78"/>
  <c r="AE14" i="78"/>
  <c r="O40" i="115"/>
  <c r="O40" i="65"/>
  <c r="AC14" i="78"/>
  <c r="M40" i="115"/>
  <c r="M40" i="65"/>
  <c r="D13" i="115"/>
  <c r="D13" i="65"/>
  <c r="J11" i="78"/>
  <c r="AA12" i="78"/>
  <c r="K22" i="115"/>
  <c r="K22" i="65"/>
  <c r="Z14" i="78"/>
  <c r="J40" i="115"/>
  <c r="J40" i="65"/>
  <c r="AA14" i="78"/>
  <c r="K40" i="115"/>
  <c r="K40" i="65"/>
  <c r="Y14" i="78"/>
  <c r="I40" i="115"/>
  <c r="I40" i="65"/>
  <c r="W14" i="78"/>
  <c r="G40" i="115"/>
  <c r="G40" i="65"/>
  <c r="F13" i="115"/>
  <c r="F13" i="65"/>
  <c r="E13" i="115"/>
  <c r="E13" i="65"/>
  <c r="AB14" i="78"/>
  <c r="L40" i="115"/>
  <c r="L40" i="65"/>
  <c r="G22" i="115"/>
  <c r="G22" i="65"/>
  <c r="J21" i="61" s="1"/>
  <c r="X14" i="78"/>
  <c r="H40" i="115"/>
  <c r="H40" i="65"/>
  <c r="V11" i="78"/>
  <c r="E5" i="81"/>
  <c r="U11" i="78"/>
  <c r="D5" i="81"/>
  <c r="T11" i="78"/>
  <c r="C5" i="81"/>
  <c r="I12" i="78"/>
  <c r="BE21" i="60"/>
  <c r="BP57" i="113"/>
  <c r="AW39" i="60"/>
  <c r="BH84" i="113"/>
  <c r="AU39" i="60"/>
  <c r="BF84" i="113"/>
  <c r="AS39" i="60"/>
  <c r="BD84" i="113"/>
  <c r="AQ39" i="60"/>
  <c r="BB84" i="113"/>
  <c r="AY39" i="60"/>
  <c r="BJ84" i="113"/>
  <c r="AP39" i="60"/>
  <c r="BA84" i="113"/>
  <c r="BF21" i="60"/>
  <c r="BQ57" i="113"/>
  <c r="BH21" i="60"/>
  <c r="BS57" i="113"/>
  <c r="BC21" i="60"/>
  <c r="BN57" i="113"/>
  <c r="AO39" i="60"/>
  <c r="AZ84" i="113"/>
  <c r="F55" i="113"/>
  <c r="Q55" i="113"/>
  <c r="E50" i="113"/>
  <c r="E51" i="113" s="1"/>
  <c r="E52" i="113" s="1"/>
  <c r="BJ21" i="60"/>
  <c r="BU57" i="113"/>
  <c r="AM55" i="113"/>
  <c r="AA50" i="113"/>
  <c r="AV39" i="60"/>
  <c r="BG84" i="113"/>
  <c r="BB21" i="60"/>
  <c r="BM57" i="113"/>
  <c r="F82" i="113"/>
  <c r="E77" i="113"/>
  <c r="E78" i="113" s="1"/>
  <c r="E79" i="113" s="1"/>
  <c r="AR21" i="60"/>
  <c r="BC57" i="113"/>
  <c r="B209" i="82"/>
  <c r="J208" i="82"/>
  <c r="AR39" i="60"/>
  <c r="BC84" i="113"/>
  <c r="BA21" i="60"/>
  <c r="BL57" i="113"/>
  <c r="AN39" i="60"/>
  <c r="AY84" i="113"/>
  <c r="BI21" i="60"/>
  <c r="BT57" i="113"/>
  <c r="AN21" i="60"/>
  <c r="AY57" i="113"/>
  <c r="AX39" i="60"/>
  <c r="BI84" i="113"/>
  <c r="AY21" i="60"/>
  <c r="BJ57" i="113"/>
  <c r="P50" i="113"/>
  <c r="AB55" i="113"/>
  <c r="BG21" i="60"/>
  <c r="BR57" i="113"/>
  <c r="AT39" i="60"/>
  <c r="BE84" i="113"/>
  <c r="AJ30" i="113"/>
  <c r="AK12" i="60" s="1"/>
  <c r="AF30" i="113"/>
  <c r="AG12" i="60" s="1"/>
  <c r="AB30" i="113"/>
  <c r="AC12" i="60" s="1"/>
  <c r="AE30" i="113"/>
  <c r="AF12" i="60" s="1"/>
  <c r="AI30" i="113"/>
  <c r="AJ12" i="60" s="1"/>
  <c r="AA30" i="113"/>
  <c r="AB12" i="60" s="1"/>
  <c r="AG30" i="113"/>
  <c r="AH12" i="60" s="1"/>
  <c r="AC30" i="113"/>
  <c r="AD12" i="60" s="1"/>
  <c r="AH30" i="113"/>
  <c r="AI12" i="60" s="1"/>
  <c r="AD30" i="113"/>
  <c r="AE12" i="60" s="1"/>
  <c r="AL30" i="113"/>
  <c r="AM12" i="60" s="1"/>
  <c r="AK30" i="113"/>
  <c r="AL12" i="60" s="1"/>
  <c r="C23" i="113"/>
  <c r="C24" i="113" s="1"/>
  <c r="C25" i="113" s="1"/>
  <c r="D28" i="113"/>
  <c r="AS29" i="60"/>
  <c r="BE30" i="60"/>
  <c r="AB48" i="60"/>
  <c r="P47" i="60"/>
  <c r="BJ30" i="60"/>
  <c r="AX29" i="60"/>
  <c r="BD30" i="60"/>
  <c r="AR29" i="60"/>
  <c r="BG30" i="60"/>
  <c r="AU29" i="60"/>
  <c r="BF30" i="60"/>
  <c r="AT29" i="60"/>
  <c r="D30" i="65"/>
  <c r="BK48" i="60"/>
  <c r="AY47" i="60"/>
  <c r="BC30" i="60"/>
  <c r="AQ29" i="60"/>
  <c r="BJ48" i="60"/>
  <c r="AX47" i="60"/>
  <c r="BH30" i="60"/>
  <c r="AV29" i="60"/>
  <c r="AB30" i="60"/>
  <c r="P29" i="60"/>
  <c r="BC48" i="60"/>
  <c r="AQ47" i="60"/>
  <c r="BA48" i="60"/>
  <c r="AO47" i="60"/>
  <c r="BD48" i="60"/>
  <c r="AR47" i="60"/>
  <c r="BB48" i="60"/>
  <c r="AP47" i="60"/>
  <c r="AW29" i="60"/>
  <c r="BI30" i="60"/>
  <c r="BB30" i="60"/>
  <c r="AP29" i="60"/>
  <c r="BI48" i="60"/>
  <c r="AW47" i="60"/>
  <c r="AY29" i="60"/>
  <c r="BK30" i="60"/>
  <c r="D15" i="91"/>
  <c r="BE48" i="60"/>
  <c r="AS47" i="60"/>
  <c r="D48" i="65"/>
  <c r="BA30" i="60"/>
  <c r="AO29" i="60"/>
  <c r="BG48" i="60"/>
  <c r="AU47" i="60"/>
  <c r="BH48" i="60"/>
  <c r="AV47" i="60"/>
  <c r="BF48" i="60"/>
  <c r="AT47" i="60"/>
  <c r="O12" i="78" l="1"/>
  <c r="O11" i="78"/>
  <c r="G31" i="115"/>
  <c r="G31" i="65"/>
  <c r="J28" i="61" s="1"/>
  <c r="J34" i="61" s="1"/>
  <c r="G49" i="115"/>
  <c r="G49" i="65"/>
  <c r="I13" i="115"/>
  <c r="I13" i="65"/>
  <c r="K13" i="115"/>
  <c r="K13" i="65"/>
  <c r="J13" i="115"/>
  <c r="J13" i="65"/>
  <c r="G13" i="115"/>
  <c r="G13" i="65"/>
  <c r="L13" i="115"/>
  <c r="L13" i="65"/>
  <c r="P22" i="115"/>
  <c r="Q22" i="115" s="1"/>
  <c r="P40" i="115"/>
  <c r="Q40" i="115" s="1"/>
  <c r="M13" i="115"/>
  <c r="M13" i="65"/>
  <c r="H13" i="115"/>
  <c r="H13" i="65"/>
  <c r="N13" i="115"/>
  <c r="N13" i="65"/>
  <c r="O13" i="115"/>
  <c r="O13" i="65"/>
  <c r="AA11" i="78"/>
  <c r="J5" i="81"/>
  <c r="F13" i="81"/>
  <c r="O13" i="81" s="1"/>
  <c r="W12" i="78"/>
  <c r="AC11" i="78"/>
  <c r="L5" i="81"/>
  <c r="X11" i="78"/>
  <c r="G5" i="81"/>
  <c r="Y11" i="78"/>
  <c r="H5" i="81"/>
  <c r="Z11" i="78"/>
  <c r="I5" i="81"/>
  <c r="W11" i="78"/>
  <c r="F5" i="81"/>
  <c r="AB11" i="78"/>
  <c r="K5" i="81"/>
  <c r="AD11" i="78"/>
  <c r="M5" i="81"/>
  <c r="AE11" i="78"/>
  <c r="N5" i="81"/>
  <c r="AN55" i="113"/>
  <c r="AB50" i="113"/>
  <c r="AZ21" i="60"/>
  <c r="BK57" i="113"/>
  <c r="AZ39" i="60"/>
  <c r="BK84" i="113"/>
  <c r="F77" i="113"/>
  <c r="F78" i="113" s="1"/>
  <c r="F79" i="113" s="1"/>
  <c r="G82" i="113"/>
  <c r="AY55" i="113"/>
  <c r="AM50" i="113"/>
  <c r="BA39" i="60"/>
  <c r="BL84" i="113"/>
  <c r="BO21" i="60"/>
  <c r="BZ57" i="113"/>
  <c r="CA21" i="60" s="1"/>
  <c r="BI39" i="60"/>
  <c r="BT84" i="113"/>
  <c r="BJ39" i="60"/>
  <c r="BU84" i="113"/>
  <c r="BD39" i="60"/>
  <c r="BO84" i="113"/>
  <c r="BD21" i="60"/>
  <c r="BO57" i="113"/>
  <c r="BH39" i="60"/>
  <c r="BS84" i="113"/>
  <c r="Q50" i="113"/>
  <c r="AC55" i="113"/>
  <c r="BK39" i="60"/>
  <c r="BV84" i="113"/>
  <c r="BC39" i="60"/>
  <c r="BN84" i="113"/>
  <c r="BG39" i="60"/>
  <c r="BR84" i="113"/>
  <c r="BF39" i="60"/>
  <c r="BQ84" i="113"/>
  <c r="B210" i="82"/>
  <c r="J209" i="82"/>
  <c r="BE39" i="60"/>
  <c r="BP84" i="113"/>
  <c r="BQ21" i="60"/>
  <c r="CB57" i="113"/>
  <c r="CC21" i="60" s="1"/>
  <c r="BS21" i="60"/>
  <c r="CD57" i="113"/>
  <c r="CE21" i="60" s="1"/>
  <c r="BK21" i="60"/>
  <c r="BV57" i="113"/>
  <c r="BU21" i="60"/>
  <c r="CF57" i="113"/>
  <c r="CG21" i="60" s="1"/>
  <c r="BM21" i="60"/>
  <c r="BX57" i="113"/>
  <c r="BY21" i="60" s="1"/>
  <c r="BN21" i="60"/>
  <c r="BY57" i="113"/>
  <c r="BZ21" i="60" s="1"/>
  <c r="BV21" i="60"/>
  <c r="CG57" i="113"/>
  <c r="CH21" i="60" s="1"/>
  <c r="F50" i="113"/>
  <c r="F51" i="113" s="1"/>
  <c r="F52" i="113" s="1"/>
  <c r="G55" i="113"/>
  <c r="R55" i="113"/>
  <c r="BT21" i="60"/>
  <c r="CE57" i="113"/>
  <c r="CF21" i="60" s="1"/>
  <c r="BB39" i="60"/>
  <c r="BM84" i="113"/>
  <c r="BR21" i="60"/>
  <c r="CC57" i="113"/>
  <c r="CD21" i="60" s="1"/>
  <c r="AP30" i="113"/>
  <c r="AQ12" i="60" s="1"/>
  <c r="AM30" i="113"/>
  <c r="AN12" i="60" s="1"/>
  <c r="AR30" i="113"/>
  <c r="AS12" i="60" s="1"/>
  <c r="AW30" i="113"/>
  <c r="AX12" i="60" s="1"/>
  <c r="AO30" i="113"/>
  <c r="AP12" i="60" s="1"/>
  <c r="AQ30" i="113"/>
  <c r="AR12" i="60" s="1"/>
  <c r="AX30" i="113"/>
  <c r="AY12" i="60" s="1"/>
  <c r="AT30" i="113"/>
  <c r="AU12" i="60" s="1"/>
  <c r="AS30" i="113"/>
  <c r="AT12" i="60" s="1"/>
  <c r="AU30" i="113"/>
  <c r="AV12" i="60" s="1"/>
  <c r="AN30" i="113"/>
  <c r="AO12" i="60" s="1"/>
  <c r="AV30" i="113"/>
  <c r="AW12" i="60" s="1"/>
  <c r="D23" i="113"/>
  <c r="D24" i="113" s="1"/>
  <c r="D25" i="113" s="1"/>
  <c r="E28" i="113"/>
  <c r="H48" i="65"/>
  <c r="BN48" i="60"/>
  <c r="BB47" i="60"/>
  <c r="BP48" i="60"/>
  <c r="BD47" i="60"/>
  <c r="N30" i="65"/>
  <c r="M48" i="65"/>
  <c r="AN30" i="60"/>
  <c r="AB29" i="60"/>
  <c r="O30" i="65"/>
  <c r="BS30" i="60"/>
  <c r="BG29" i="60"/>
  <c r="J48" i="65"/>
  <c r="BP30" i="60"/>
  <c r="BD29" i="60"/>
  <c r="I48" i="65"/>
  <c r="BM30" i="60"/>
  <c r="BA29" i="60"/>
  <c r="BK29" i="60"/>
  <c r="BW30" i="60"/>
  <c r="BN30" i="60"/>
  <c r="BB29" i="60"/>
  <c r="F48" i="65"/>
  <c r="BA47" i="60"/>
  <c r="BM48" i="60"/>
  <c r="K30" i="65"/>
  <c r="L48" i="65"/>
  <c r="BO30" i="60"/>
  <c r="BC29" i="60"/>
  <c r="I30" i="65"/>
  <c r="BW48" i="60"/>
  <c r="BK47" i="60"/>
  <c r="F30" i="65"/>
  <c r="BV30" i="60"/>
  <c r="BJ29" i="60"/>
  <c r="BE29" i="60"/>
  <c r="BQ30" i="60"/>
  <c r="BU48" i="60"/>
  <c r="BI47" i="60"/>
  <c r="BF47" i="60"/>
  <c r="BR48" i="60"/>
  <c r="L30" i="65"/>
  <c r="M30" i="65"/>
  <c r="O48" i="65"/>
  <c r="H30" i="65"/>
  <c r="K48" i="65"/>
  <c r="BT30" i="60"/>
  <c r="BH29" i="60"/>
  <c r="N48" i="65"/>
  <c r="BR30" i="60"/>
  <c r="BF29" i="60"/>
  <c r="AN48" i="60"/>
  <c r="AB47" i="60"/>
  <c r="BT48" i="60"/>
  <c r="BH47" i="60"/>
  <c r="BS48" i="60"/>
  <c r="BG47" i="60"/>
  <c r="BQ48" i="60"/>
  <c r="BE47" i="60"/>
  <c r="J30" i="65"/>
  <c r="BU30" i="60"/>
  <c r="BI29" i="60"/>
  <c r="BO48" i="60"/>
  <c r="BC47" i="60"/>
  <c r="BV48" i="60"/>
  <c r="BJ47" i="60"/>
  <c r="G30" i="65" l="1"/>
  <c r="J13" i="61"/>
  <c r="G48" i="65"/>
  <c r="G48" i="115"/>
  <c r="P48" i="115" s="1"/>
  <c r="P49" i="115"/>
  <c r="Q49" i="115" s="1"/>
  <c r="Q52" i="115" s="1"/>
  <c r="G30" i="115"/>
  <c r="P30" i="115" s="1"/>
  <c r="P31" i="115"/>
  <c r="Q31" i="115" s="1"/>
  <c r="D42" i="44"/>
  <c r="D40" i="44"/>
  <c r="P13" i="115"/>
  <c r="Q13" i="115" s="1"/>
  <c r="R50" i="113"/>
  <c r="AD55" i="113"/>
  <c r="G50" i="113"/>
  <c r="G51" i="113" s="1"/>
  <c r="G52" i="113" s="1"/>
  <c r="S55" i="113"/>
  <c r="H55" i="113"/>
  <c r="BW39" i="60"/>
  <c r="CH84" i="113"/>
  <c r="CI39" i="60" s="1"/>
  <c r="BP39" i="60"/>
  <c r="CA84" i="113"/>
  <c r="CB39" i="60" s="1"/>
  <c r="BU39" i="60"/>
  <c r="CF84" i="113"/>
  <c r="CG39" i="60" s="1"/>
  <c r="BK55" i="113"/>
  <c r="AY50" i="113"/>
  <c r="AZ55" i="113"/>
  <c r="AN50" i="113"/>
  <c r="BN39" i="60"/>
  <c r="BY84" i="113"/>
  <c r="BZ39" i="60" s="1"/>
  <c r="BQ39" i="60"/>
  <c r="CB84" i="113"/>
  <c r="CC39" i="60" s="1"/>
  <c r="BO39" i="60"/>
  <c r="BZ84" i="113"/>
  <c r="CA39" i="60" s="1"/>
  <c r="BT39" i="60"/>
  <c r="CE84" i="113"/>
  <c r="CF39" i="60" s="1"/>
  <c r="BP21" i="60"/>
  <c r="CA57" i="113"/>
  <c r="CB21" i="60" s="1"/>
  <c r="BV39" i="60"/>
  <c r="CG84" i="113"/>
  <c r="CH39" i="60" s="1"/>
  <c r="BM39" i="60"/>
  <c r="BX84" i="113"/>
  <c r="BY39" i="60" s="1"/>
  <c r="H82" i="113"/>
  <c r="G77" i="113"/>
  <c r="G78" i="113" s="1"/>
  <c r="G79" i="113" s="1"/>
  <c r="BL21" i="60"/>
  <c r="BW57" i="113"/>
  <c r="BW21" i="60"/>
  <c r="CH57" i="113"/>
  <c r="CI21" i="60" s="1"/>
  <c r="B211" i="82"/>
  <c r="J210" i="82"/>
  <c r="BR39" i="60"/>
  <c r="CC84" i="113"/>
  <c r="CD39" i="60" s="1"/>
  <c r="BS39" i="60"/>
  <c r="CD84" i="113"/>
  <c r="CE39" i="60" s="1"/>
  <c r="AO55" i="113"/>
  <c r="AC50" i="113"/>
  <c r="BL39" i="60"/>
  <c r="BW84" i="113"/>
  <c r="BG30" i="113"/>
  <c r="BH12" i="60" s="1"/>
  <c r="BC30" i="113"/>
  <c r="BD12" i="60" s="1"/>
  <c r="AY30" i="113"/>
  <c r="AZ12" i="60" s="1"/>
  <c r="BH30" i="113"/>
  <c r="BI12" i="60" s="1"/>
  <c r="BF30" i="113"/>
  <c r="BG12" i="60" s="1"/>
  <c r="BI30" i="113"/>
  <c r="BJ12" i="60" s="1"/>
  <c r="AZ30" i="113"/>
  <c r="BA12" i="60" s="1"/>
  <c r="BE30" i="113"/>
  <c r="BF12" i="60" s="1"/>
  <c r="BJ30" i="113"/>
  <c r="BK12" i="60" s="1"/>
  <c r="BA30" i="113"/>
  <c r="BB12" i="60" s="1"/>
  <c r="BD30" i="113"/>
  <c r="BE12" i="60" s="1"/>
  <c r="BB30" i="113"/>
  <c r="BC12" i="60" s="1"/>
  <c r="F28" i="113"/>
  <c r="E23" i="113"/>
  <c r="E24" i="113" s="1"/>
  <c r="E25" i="113" s="1"/>
  <c r="AF12" i="78"/>
  <c r="AF14" i="78"/>
  <c r="CF48" i="60"/>
  <c r="BT47" i="60"/>
  <c r="CA30" i="60"/>
  <c r="BO29" i="60"/>
  <c r="BY48" i="60"/>
  <c r="BM47" i="60"/>
  <c r="CE30" i="60"/>
  <c r="BS29" i="60"/>
  <c r="BZ48" i="60"/>
  <c r="BN47" i="60"/>
  <c r="CC48" i="60"/>
  <c r="BQ47" i="60"/>
  <c r="CG48" i="60"/>
  <c r="BU47" i="60"/>
  <c r="CI48" i="60"/>
  <c r="BW47" i="60"/>
  <c r="BW29" i="60"/>
  <c r="CI30" i="60"/>
  <c r="BY30" i="60"/>
  <c r="BM29" i="60"/>
  <c r="CB30" i="60"/>
  <c r="BP29" i="60"/>
  <c r="CH48" i="60"/>
  <c r="BV47" i="60"/>
  <c r="AZ48" i="60"/>
  <c r="AN47" i="60"/>
  <c r="BR29" i="60"/>
  <c r="CD30" i="60"/>
  <c r="CH30" i="60"/>
  <c r="BV29" i="60"/>
  <c r="BZ30" i="60"/>
  <c r="BN29" i="60"/>
  <c r="CA48" i="60"/>
  <c r="BO47" i="60"/>
  <c r="CG30" i="60"/>
  <c r="BU29" i="60"/>
  <c r="CE48" i="60"/>
  <c r="BS47" i="60"/>
  <c r="CF30" i="60"/>
  <c r="BT29" i="60"/>
  <c r="CD48" i="60"/>
  <c r="BR47" i="60"/>
  <c r="CC30" i="60"/>
  <c r="BQ29" i="60"/>
  <c r="AZ30" i="60"/>
  <c r="AN29" i="60"/>
  <c r="CB48" i="60"/>
  <c r="BP47" i="60"/>
  <c r="D41" i="44" l="1"/>
  <c r="Q35" i="115"/>
  <c r="D39" i="44"/>
  <c r="AE55" i="113"/>
  <c r="S50" i="113"/>
  <c r="BX21" i="60"/>
  <c r="H77" i="113"/>
  <c r="H78" i="113" s="1"/>
  <c r="H79" i="113" s="1"/>
  <c r="I82" i="113"/>
  <c r="BW55" i="113"/>
  <c r="BW50" i="113" s="1"/>
  <c r="BK50" i="113"/>
  <c r="BX39" i="60"/>
  <c r="BA55" i="113"/>
  <c r="AO50" i="113"/>
  <c r="B212" i="82"/>
  <c r="J211" i="82"/>
  <c r="BL55" i="113"/>
  <c r="AZ50" i="113"/>
  <c r="I55" i="113"/>
  <c r="T55" i="113"/>
  <c r="H50" i="113"/>
  <c r="H51" i="113" s="1"/>
  <c r="H52" i="113" s="1"/>
  <c r="AP55" i="113"/>
  <c r="AD50" i="113"/>
  <c r="BM30" i="113"/>
  <c r="BN12" i="60" s="1"/>
  <c r="BU30" i="113"/>
  <c r="BV12" i="60" s="1"/>
  <c r="BT30" i="113"/>
  <c r="BU12" i="60" s="1"/>
  <c r="BN30" i="113"/>
  <c r="BO12" i="60" s="1"/>
  <c r="BQ30" i="113"/>
  <c r="BR12" i="60" s="1"/>
  <c r="BO30" i="113"/>
  <c r="BP12" i="60" s="1"/>
  <c r="BP30" i="113"/>
  <c r="BQ12" i="60" s="1"/>
  <c r="BV30" i="113"/>
  <c r="BW12" i="60" s="1"/>
  <c r="BL30" i="113"/>
  <c r="BM12" i="60" s="1"/>
  <c r="BR30" i="113"/>
  <c r="BS12" i="60" s="1"/>
  <c r="BK30" i="113"/>
  <c r="BL12" i="60" s="1"/>
  <c r="BS30" i="113"/>
  <c r="BT12" i="60" s="1"/>
  <c r="G28" i="113"/>
  <c r="F23" i="113"/>
  <c r="F24" i="113" s="1"/>
  <c r="F25" i="113" s="1"/>
  <c r="AF11" i="78"/>
  <c r="P22" i="65"/>
  <c r="BL30" i="60"/>
  <c r="AZ29" i="60"/>
  <c r="CF29" i="60"/>
  <c r="BZ29" i="60"/>
  <c r="CI29" i="60"/>
  <c r="CA29" i="60"/>
  <c r="CE47" i="60"/>
  <c r="BL48" i="60"/>
  <c r="AZ47" i="60"/>
  <c r="CA47" i="60"/>
  <c r="P40" i="65"/>
  <c r="BY29" i="60"/>
  <c r="CC47" i="60"/>
  <c r="E30" i="65"/>
  <c r="P30" i="65" s="1"/>
  <c r="C27" i="61" s="1"/>
  <c r="P31" i="65"/>
  <c r="D28" i="61" s="1"/>
  <c r="CG29" i="60"/>
  <c r="BZ47" i="60"/>
  <c r="CE29" i="60"/>
  <c r="CD47" i="60"/>
  <c r="CH47" i="60"/>
  <c r="CB29" i="60"/>
  <c r="CI47" i="60"/>
  <c r="CG47" i="60"/>
  <c r="BY47" i="60"/>
  <c r="CB47" i="60"/>
  <c r="CC29" i="60"/>
  <c r="E48" i="65"/>
  <c r="P48" i="65" s="1"/>
  <c r="P49" i="65"/>
  <c r="CH29" i="60"/>
  <c r="CD29" i="60"/>
  <c r="H25" i="81"/>
  <c r="CF47" i="60"/>
  <c r="D21" i="61" l="1"/>
  <c r="F28" i="61"/>
  <c r="D34" i="61"/>
  <c r="BX55" i="113"/>
  <c r="BX50" i="113" s="1"/>
  <c r="BL50" i="113"/>
  <c r="BM55" i="113"/>
  <c r="BA50" i="113"/>
  <c r="BB55" i="113"/>
  <c r="AP50" i="113"/>
  <c r="AQ55" i="113"/>
  <c r="AE50" i="113"/>
  <c r="AF55" i="113"/>
  <c r="T50" i="113"/>
  <c r="J55" i="113"/>
  <c r="U55" i="113"/>
  <c r="I50" i="113"/>
  <c r="I51" i="113" s="1"/>
  <c r="I52" i="113" s="1"/>
  <c r="B213" i="82"/>
  <c r="J212" i="82"/>
  <c r="J82" i="113"/>
  <c r="I77" i="113"/>
  <c r="I78" i="113" s="1"/>
  <c r="I79" i="113" s="1"/>
  <c r="CD30" i="113"/>
  <c r="CE12" i="60" s="1"/>
  <c r="CA30" i="113"/>
  <c r="CB12" i="60" s="1"/>
  <c r="CG30" i="113"/>
  <c r="CH12" i="60" s="1"/>
  <c r="BX30" i="113"/>
  <c r="BY12" i="60" s="1"/>
  <c r="CE30" i="113"/>
  <c r="CF12" i="60" s="1"/>
  <c r="CH30" i="113"/>
  <c r="CI12" i="60" s="1"/>
  <c r="BZ30" i="113"/>
  <c r="CA12" i="60" s="1"/>
  <c r="BW30" i="113"/>
  <c r="BX12" i="60" s="1"/>
  <c r="CB30" i="113"/>
  <c r="CC12" i="60" s="1"/>
  <c r="CC30" i="113"/>
  <c r="CD12" i="60" s="1"/>
  <c r="CF30" i="113"/>
  <c r="CG12" i="60" s="1"/>
  <c r="BY30" i="113"/>
  <c r="BZ12" i="60" s="1"/>
  <c r="H28" i="113"/>
  <c r="G23" i="113"/>
  <c r="G24" i="113" s="1"/>
  <c r="G25" i="113" s="1"/>
  <c r="G69" i="44"/>
  <c r="L69" i="44" s="1"/>
  <c r="Q22" i="65"/>
  <c r="C40" i="44" s="1"/>
  <c r="P70" i="44"/>
  <c r="Q70" i="44" s="1"/>
  <c r="P13" i="65"/>
  <c r="D13" i="61" s="1"/>
  <c r="Q49" i="65"/>
  <c r="G70" i="44"/>
  <c r="P73" i="44"/>
  <c r="Q73" i="44" s="1"/>
  <c r="F27" i="61"/>
  <c r="C34" i="61"/>
  <c r="O5" i="81"/>
  <c r="Q31" i="65"/>
  <c r="P71" i="44"/>
  <c r="Q71" i="44" s="1"/>
  <c r="G72" i="44"/>
  <c r="P72" i="44"/>
  <c r="Q72" i="44" s="1"/>
  <c r="Q40" i="65"/>
  <c r="G75" i="44"/>
  <c r="L71" i="44" s="1"/>
  <c r="BX30" i="60"/>
  <c r="BL29" i="60"/>
  <c r="H26" i="81"/>
  <c r="H27" i="81"/>
  <c r="BX48" i="60"/>
  <c r="BL47" i="60"/>
  <c r="F34" i="61" l="1"/>
  <c r="Q13" i="65"/>
  <c r="J15" i="76"/>
  <c r="B214" i="82"/>
  <c r="J213" i="82"/>
  <c r="AR55" i="113"/>
  <c r="AF50" i="113"/>
  <c r="BN55" i="113"/>
  <c r="BB50" i="113"/>
  <c r="K82" i="113"/>
  <c r="J77" i="113"/>
  <c r="J78" i="113" s="1"/>
  <c r="J79" i="113" s="1"/>
  <c r="K55" i="113"/>
  <c r="J50" i="113"/>
  <c r="J51" i="113" s="1"/>
  <c r="J52" i="113" s="1"/>
  <c r="V55" i="113"/>
  <c r="U50" i="113"/>
  <c r="AG55" i="113"/>
  <c r="BC55" i="113"/>
  <c r="AQ50" i="113"/>
  <c r="BY55" i="113"/>
  <c r="BY50" i="113" s="1"/>
  <c r="BM50" i="113"/>
  <c r="I28" i="113"/>
  <c r="H23" i="113"/>
  <c r="H24" i="113" s="1"/>
  <c r="H25" i="113" s="1"/>
  <c r="G68" i="44"/>
  <c r="L68" i="44" s="1"/>
  <c r="P69" i="44"/>
  <c r="Q69" i="44" s="1"/>
  <c r="Q76" i="44" s="1"/>
  <c r="G71" i="44"/>
  <c r="G83" i="44" s="1"/>
  <c r="C42" i="44"/>
  <c r="C41" i="44"/>
  <c r="L41" i="44" s="1"/>
  <c r="Q35" i="65"/>
  <c r="P41" i="44" s="1"/>
  <c r="Q52" i="65"/>
  <c r="BX47" i="60"/>
  <c r="BX29" i="60"/>
  <c r="L70" i="44"/>
  <c r="P15" i="76" l="1"/>
  <c r="J15" i="91"/>
  <c r="C39" i="44"/>
  <c r="E39" i="44" s="1"/>
  <c r="BO55" i="113"/>
  <c r="BC50" i="113"/>
  <c r="L82" i="113"/>
  <c r="K77" i="113"/>
  <c r="K78" i="113" s="1"/>
  <c r="K79" i="113" s="1"/>
  <c r="B215" i="82"/>
  <c r="J214" i="82"/>
  <c r="AH55" i="113"/>
  <c r="V50" i="113"/>
  <c r="BD55" i="113"/>
  <c r="AR50" i="113"/>
  <c r="BZ55" i="113"/>
  <c r="BZ50" i="113" s="1"/>
  <c r="BN50" i="113"/>
  <c r="AS55" i="113"/>
  <c r="AG50" i="113"/>
  <c r="W55" i="113"/>
  <c r="L55" i="113"/>
  <c r="K50" i="113"/>
  <c r="K51" i="113" s="1"/>
  <c r="K52" i="113" s="1"/>
  <c r="I23" i="113"/>
  <c r="I24" i="113" s="1"/>
  <c r="I25" i="113" s="1"/>
  <c r="J28" i="113"/>
  <c r="G81" i="44"/>
  <c r="E42" i="44"/>
  <c r="C58" i="44"/>
  <c r="R71" i="44"/>
  <c r="E40" i="44"/>
  <c r="E41" i="44"/>
  <c r="M41" i="44"/>
  <c r="Q15" i="91" l="1"/>
  <c r="P15" i="91"/>
  <c r="M82" i="113"/>
  <c r="L77" i="113"/>
  <c r="L78" i="113" s="1"/>
  <c r="L79" i="113" s="1"/>
  <c r="AI55" i="113"/>
  <c r="W50" i="113"/>
  <c r="BE55" i="113"/>
  <c r="AS50" i="113"/>
  <c r="BP55" i="113"/>
  <c r="BD50" i="113"/>
  <c r="X55" i="113"/>
  <c r="L50" i="113"/>
  <c r="L51" i="113" s="1"/>
  <c r="L52" i="113" s="1"/>
  <c r="M55" i="113"/>
  <c r="AT55" i="113"/>
  <c r="AH50" i="113"/>
  <c r="B216" i="82"/>
  <c r="J215" i="82"/>
  <c r="CA55" i="113"/>
  <c r="CA50" i="113" s="1"/>
  <c r="BO50" i="113"/>
  <c r="K28" i="113"/>
  <c r="J23" i="113"/>
  <c r="J24" i="113" s="1"/>
  <c r="J25" i="113" s="1"/>
  <c r="D58" i="44"/>
  <c r="O41" i="44"/>
  <c r="N41" i="44"/>
  <c r="X50" i="113" l="1"/>
  <c r="AJ55" i="113"/>
  <c r="CB55" i="113"/>
  <c r="CB50" i="113" s="1"/>
  <c r="BP50" i="113"/>
  <c r="AU55" i="113"/>
  <c r="AI50" i="113"/>
  <c r="BF55" i="113"/>
  <c r="AT50" i="113"/>
  <c r="Y55" i="113"/>
  <c r="N55" i="113"/>
  <c r="M50" i="113"/>
  <c r="M51" i="113" s="1"/>
  <c r="M52" i="113" s="1"/>
  <c r="BQ55" i="113"/>
  <c r="BE50" i="113"/>
  <c r="N82" i="113"/>
  <c r="M77" i="113"/>
  <c r="M78" i="113" s="1"/>
  <c r="M79" i="113" s="1"/>
  <c r="B217" i="82"/>
  <c r="J216" i="82"/>
  <c r="K23" i="113"/>
  <c r="K24" i="113" s="1"/>
  <c r="K25" i="113" s="1"/>
  <c r="L28" i="113"/>
  <c r="B218" i="82" l="1"/>
  <c r="J217" i="82"/>
  <c r="CC55" i="113"/>
  <c r="CC50" i="113" s="1"/>
  <c r="BQ50" i="113"/>
  <c r="Z55" i="113"/>
  <c r="N50" i="113"/>
  <c r="N51" i="113" s="1"/>
  <c r="N52" i="113" s="1"/>
  <c r="AV55" i="113"/>
  <c r="AJ50" i="113"/>
  <c r="N77" i="113"/>
  <c r="N78" i="113" s="1"/>
  <c r="N79" i="113" s="1"/>
  <c r="Y50" i="113"/>
  <c r="AK55" i="113"/>
  <c r="BR55" i="113"/>
  <c r="BF50" i="113"/>
  <c r="BG55" i="113"/>
  <c r="AU50" i="113"/>
  <c r="M28" i="113"/>
  <c r="L23" i="113"/>
  <c r="L24" i="113" s="1"/>
  <c r="L25" i="113" s="1"/>
  <c r="CD55" i="113" l="1"/>
  <c r="CD50" i="113" s="1"/>
  <c r="BR50" i="113"/>
  <c r="AL55" i="113"/>
  <c r="Z50" i="113"/>
  <c r="B219" i="82"/>
  <c r="J218" i="82"/>
  <c r="AW55" i="113"/>
  <c r="AK50" i="113"/>
  <c r="BS55" i="113"/>
  <c r="BG50" i="113"/>
  <c r="BH55" i="113"/>
  <c r="AV50" i="113"/>
  <c r="N28" i="113"/>
  <c r="M23" i="113"/>
  <c r="M24" i="113" s="1"/>
  <c r="M25" i="113" s="1"/>
  <c r="BT55" i="113" l="1"/>
  <c r="BH50" i="113"/>
  <c r="CE55" i="113"/>
  <c r="CE50" i="113" s="1"/>
  <c r="BS50" i="113"/>
  <c r="BI55" i="113"/>
  <c r="AW50" i="113"/>
  <c r="AX55" i="113"/>
  <c r="AL50" i="113"/>
  <c r="B220" i="82"/>
  <c r="J219" i="82"/>
  <c r="N23" i="113"/>
  <c r="N24" i="113" s="1"/>
  <c r="N25" i="113" s="1"/>
  <c r="B221" i="82" l="1"/>
  <c r="J220" i="82"/>
  <c r="BJ55" i="113"/>
  <c r="AX50" i="113"/>
  <c r="BU55" i="113"/>
  <c r="BI50" i="113"/>
  <c r="CF55" i="113"/>
  <c r="CF50" i="113" s="1"/>
  <c r="BT50" i="113"/>
  <c r="CG55" i="113" l="1"/>
  <c r="CG50" i="113" s="1"/>
  <c r="BU50" i="113"/>
  <c r="B222" i="82"/>
  <c r="J221" i="82"/>
  <c r="BV55" i="113"/>
  <c r="BJ50" i="113"/>
  <c r="B223" i="82" l="1"/>
  <c r="J222" i="82"/>
  <c r="CH55" i="113"/>
  <c r="CH50" i="113" s="1"/>
  <c r="BV50" i="113"/>
  <c r="B224" i="82" l="1"/>
  <c r="J223" i="82"/>
  <c r="B225" i="82" l="1"/>
  <c r="J224" i="82"/>
  <c r="B226" i="82" l="1"/>
  <c r="J225" i="82"/>
  <c r="B227" i="82" l="1"/>
  <c r="J226" i="82"/>
  <c r="B228" i="82" l="1"/>
  <c r="J227" i="82"/>
  <c r="B229" i="82" l="1"/>
  <c r="J228" i="82"/>
  <c r="B230" i="82" l="1"/>
  <c r="J229" i="82"/>
  <c r="B231" i="82" l="1"/>
  <c r="J230" i="82"/>
  <c r="B232" i="82" l="1"/>
  <c r="J231" i="82"/>
  <c r="B233" i="82" l="1"/>
  <c r="J232" i="82"/>
  <c r="B234" i="82" l="1"/>
  <c r="J233" i="82"/>
  <c r="B235" i="82" l="1"/>
  <c r="J234" i="82"/>
  <c r="B236" i="82" l="1"/>
  <c r="J235" i="82"/>
  <c r="B237" i="82" l="1"/>
  <c r="J236" i="82"/>
  <c r="B238" i="82" l="1"/>
  <c r="J237" i="82"/>
  <c r="B239" i="82" l="1"/>
  <c r="J238" i="82"/>
  <c r="B240" i="82" l="1"/>
  <c r="J239" i="82"/>
  <c r="B241" i="82" l="1"/>
  <c r="J240" i="82"/>
  <c r="B242" i="82" l="1"/>
  <c r="J241" i="82"/>
  <c r="B243" i="82" l="1"/>
  <c r="J242" i="82"/>
  <c r="B244" i="82" l="1"/>
  <c r="J243" i="82"/>
  <c r="B245" i="82" l="1"/>
  <c r="J244" i="82"/>
  <c r="B246" i="82" l="1"/>
  <c r="J245" i="82"/>
  <c r="B247" i="82" l="1"/>
  <c r="J246" i="82"/>
  <c r="B248" i="82" l="1"/>
  <c r="J247" i="82"/>
  <c r="B249" i="82" l="1"/>
  <c r="J248" i="82"/>
  <c r="B250" i="82" l="1"/>
  <c r="J249" i="82"/>
  <c r="B251" i="82" l="1"/>
  <c r="J250" i="82"/>
  <c r="B252" i="82" l="1"/>
  <c r="J251" i="82"/>
  <c r="B253" i="82" l="1"/>
  <c r="J252" i="82"/>
  <c r="B254" i="82" l="1"/>
  <c r="J253" i="82"/>
  <c r="B255" i="82" l="1"/>
  <c r="J254" i="82"/>
  <c r="B256" i="82" l="1"/>
  <c r="J255" i="82"/>
  <c r="B257" i="82" l="1"/>
  <c r="J256" i="82"/>
  <c r="B258" i="82" l="1"/>
  <c r="J257" i="82"/>
  <c r="B259" i="82" l="1"/>
  <c r="J258" i="82"/>
  <c r="B260" i="82" l="1"/>
  <c r="J259" i="82"/>
  <c r="B261" i="82" l="1"/>
  <c r="J260" i="82"/>
  <c r="B262" i="82" l="1"/>
  <c r="J261" i="82"/>
  <c r="B263" i="82" l="1"/>
  <c r="J262" i="82"/>
  <c r="B264" i="82" l="1"/>
  <c r="J263" i="82"/>
  <c r="B265" i="82" l="1"/>
  <c r="J264" i="82"/>
  <c r="B266" i="82" l="1"/>
  <c r="J265" i="82"/>
  <c r="B267" i="82" l="1"/>
  <c r="J266" i="82"/>
  <c r="B268" i="82" l="1"/>
  <c r="J267" i="82"/>
  <c r="B269" i="82" l="1"/>
  <c r="J268" i="82"/>
  <c r="B270" i="82" l="1"/>
  <c r="J269" i="82"/>
  <c r="B271" i="82" l="1"/>
  <c r="J270" i="82"/>
  <c r="B272" i="82" l="1"/>
  <c r="J271" i="82"/>
  <c r="B273" i="82" l="1"/>
  <c r="J272" i="82"/>
  <c r="B274" i="82" l="1"/>
  <c r="J273" i="82"/>
  <c r="B275" i="82" l="1"/>
  <c r="J274" i="82"/>
  <c r="B276" i="82" l="1"/>
  <c r="J275" i="82"/>
  <c r="B277" i="82" l="1"/>
  <c r="J276" i="82"/>
  <c r="B278" i="82" l="1"/>
  <c r="J277" i="82"/>
  <c r="B279" i="82" l="1"/>
  <c r="J278" i="82"/>
  <c r="B280" i="82" l="1"/>
  <c r="J279" i="82"/>
  <c r="B281" i="82" l="1"/>
  <c r="J280" i="82"/>
  <c r="B282" i="82" l="1"/>
  <c r="J281" i="82"/>
  <c r="B283" i="82" l="1"/>
  <c r="J282" i="82"/>
  <c r="B284" i="82" l="1"/>
  <c r="J283" i="82"/>
  <c r="B285" i="82" l="1"/>
  <c r="J284" i="82"/>
  <c r="B286" i="82" l="1"/>
  <c r="J285" i="82"/>
  <c r="B287" i="82" l="1"/>
  <c r="J286" i="82"/>
  <c r="B288" i="82" l="1"/>
  <c r="J287" i="82"/>
  <c r="B289" i="82" l="1"/>
  <c r="J288" i="82"/>
  <c r="B290" i="82" l="1"/>
  <c r="J289" i="82"/>
  <c r="B291" i="82" l="1"/>
  <c r="J290" i="82"/>
  <c r="B292" i="82" l="1"/>
  <c r="J291" i="82"/>
  <c r="B293" i="82" l="1"/>
  <c r="J292" i="82"/>
  <c r="B294" i="82" l="1"/>
  <c r="J293" i="82"/>
  <c r="B295" i="82" l="1"/>
  <c r="J294" i="82"/>
  <c r="B296" i="82" l="1"/>
  <c r="J295" i="82"/>
  <c r="B297" i="82" l="1"/>
  <c r="J296" i="82"/>
  <c r="B298" i="82" l="1"/>
  <c r="J297" i="82"/>
  <c r="B299" i="82" l="1"/>
  <c r="J298" i="82"/>
  <c r="B300" i="82" l="1"/>
  <c r="J299" i="82"/>
  <c r="B301" i="82" l="1"/>
  <c r="J300" i="82"/>
  <c r="B302" i="82" l="1"/>
  <c r="J301" i="82"/>
  <c r="B303" i="82" l="1"/>
  <c r="J302" i="82"/>
  <c r="B304" i="82" l="1"/>
  <c r="J303" i="82"/>
  <c r="B305" i="82" l="1"/>
  <c r="J304" i="82"/>
  <c r="B306" i="82" l="1"/>
  <c r="J305" i="82"/>
  <c r="B307" i="82" l="1"/>
  <c r="J306" i="82"/>
  <c r="Q13" i="64"/>
  <c r="AC13" i="64" s="1"/>
  <c r="AO13" i="64" s="1"/>
  <c r="BA13" i="64" s="1"/>
  <c r="BM13" i="64" s="1"/>
  <c r="BY13" i="64" s="1"/>
  <c r="S13" i="64"/>
  <c r="AE13" i="64" s="1"/>
  <c r="AQ13" i="64" s="1"/>
  <c r="BC13" i="64" s="1"/>
  <c r="BO13" i="64" s="1"/>
  <c r="CA13" i="64" s="1"/>
  <c r="U13" i="64"/>
  <c r="AG13" i="64" s="1"/>
  <c r="AS13" i="64" s="1"/>
  <c r="BE13" i="64" s="1"/>
  <c r="BQ13" i="64" s="1"/>
  <c r="CC13" i="64" s="1"/>
  <c r="W13" i="64"/>
  <c r="AI13" i="64" s="1"/>
  <c r="AU13" i="64" s="1"/>
  <c r="BG13" i="64" s="1"/>
  <c r="BS13" i="64" s="1"/>
  <c r="CE13" i="64" s="1"/>
  <c r="Y13" i="64"/>
  <c r="AK13" i="64" s="1"/>
  <c r="AW13" i="64" s="1"/>
  <c r="BI13" i="64" s="1"/>
  <c r="BU13" i="64" s="1"/>
  <c r="CG13" i="64" s="1"/>
  <c r="AA13" i="64"/>
  <c r="AM13" i="64" s="1"/>
  <c r="Q19" i="64"/>
  <c r="AC19" i="64" s="1"/>
  <c r="AO19" i="64" s="1"/>
  <c r="BA19" i="64" s="1"/>
  <c r="BM19" i="64" s="1"/>
  <c r="BY19" i="64" s="1"/>
  <c r="S19" i="64"/>
  <c r="AE19" i="64" s="1"/>
  <c r="AQ19" i="64" s="1"/>
  <c r="BC19" i="64" s="1"/>
  <c r="BO19" i="64" s="1"/>
  <c r="CA19" i="64" s="1"/>
  <c r="U19" i="64"/>
  <c r="AG19" i="64" s="1"/>
  <c r="AS19" i="64" s="1"/>
  <c r="BE19" i="64" s="1"/>
  <c r="BQ19" i="64" s="1"/>
  <c r="CC19" i="64" s="1"/>
  <c r="W19" i="64"/>
  <c r="AI19" i="64" s="1"/>
  <c r="AU19" i="64" s="1"/>
  <c r="BG19" i="64" s="1"/>
  <c r="BS19" i="64" s="1"/>
  <c r="CE19" i="64" s="1"/>
  <c r="Y19" i="64"/>
  <c r="AK19" i="64" s="1"/>
  <c r="AW19" i="64" s="1"/>
  <c r="BI19" i="64" s="1"/>
  <c r="BU19" i="64" s="1"/>
  <c r="CG19" i="64" s="1"/>
  <c r="AA19" i="64"/>
  <c r="AM19" i="64" s="1"/>
  <c r="AY19" i="64" s="1"/>
  <c r="BK19" i="64" s="1"/>
  <c r="BW19" i="64" s="1"/>
  <c r="CI19" i="64" s="1"/>
  <c r="Q25" i="64"/>
  <c r="AC25" i="64" s="1"/>
  <c r="AO25" i="64" s="1"/>
  <c r="BA25" i="64" s="1"/>
  <c r="BM25" i="64" s="1"/>
  <c r="BY25" i="64" s="1"/>
  <c r="S25" i="64"/>
  <c r="AE25" i="64" s="1"/>
  <c r="AQ25" i="64" s="1"/>
  <c r="BC25" i="64" s="1"/>
  <c r="BO25" i="64" s="1"/>
  <c r="CA25" i="64" s="1"/>
  <c r="U25" i="64"/>
  <c r="AG25" i="64" s="1"/>
  <c r="AS25" i="64" s="1"/>
  <c r="BE25" i="64" s="1"/>
  <c r="BQ25" i="64" s="1"/>
  <c r="CC25" i="64" s="1"/>
  <c r="W25" i="64"/>
  <c r="AI25" i="64" s="1"/>
  <c r="AU25" i="64" s="1"/>
  <c r="BG25" i="64" s="1"/>
  <c r="BS25" i="64" s="1"/>
  <c r="CE25" i="64" s="1"/>
  <c r="Y25" i="64"/>
  <c r="AK25" i="64" s="1"/>
  <c r="AW25" i="64" s="1"/>
  <c r="BI25" i="64" s="1"/>
  <c r="BU25" i="64" s="1"/>
  <c r="CG25" i="64" s="1"/>
  <c r="AA25" i="64"/>
  <c r="AM25" i="64" s="1"/>
  <c r="AY25" i="64" s="1"/>
  <c r="BK25" i="64" s="1"/>
  <c r="Q31" i="64"/>
  <c r="AC31" i="64" s="1"/>
  <c r="AO31" i="64" s="1"/>
  <c r="BA31" i="64" s="1"/>
  <c r="BM31" i="64" s="1"/>
  <c r="BY31" i="64" s="1"/>
  <c r="S31" i="64"/>
  <c r="AE31" i="64" s="1"/>
  <c r="AQ31" i="64" s="1"/>
  <c r="BC31" i="64" s="1"/>
  <c r="BO31" i="64" s="1"/>
  <c r="CA31" i="64" s="1"/>
  <c r="U31" i="64"/>
  <c r="AG31" i="64" s="1"/>
  <c r="AS31" i="64" s="1"/>
  <c r="BE31" i="64" s="1"/>
  <c r="BQ31" i="64" s="1"/>
  <c r="CC31" i="64" s="1"/>
  <c r="W31" i="64"/>
  <c r="AI31" i="64" s="1"/>
  <c r="AU31" i="64" s="1"/>
  <c r="BG31" i="64" s="1"/>
  <c r="BS31" i="64" s="1"/>
  <c r="CE31" i="64" s="1"/>
  <c r="Y31" i="64"/>
  <c r="AK31" i="64" s="1"/>
  <c r="AW31" i="64" s="1"/>
  <c r="BI31" i="64" s="1"/>
  <c r="BU31" i="64" s="1"/>
  <c r="CG31" i="64" s="1"/>
  <c r="AA31" i="64"/>
  <c r="AM31" i="64" s="1"/>
  <c r="AY31" i="64" s="1"/>
  <c r="BK31" i="64" s="1"/>
  <c r="BW31" i="64" s="1"/>
  <c r="CI31" i="64" s="1"/>
  <c r="Q37" i="64"/>
  <c r="AC37" i="64" s="1"/>
  <c r="AO37" i="64" s="1"/>
  <c r="BA37" i="64" s="1"/>
  <c r="BM37" i="64" s="1"/>
  <c r="BY37" i="64" s="1"/>
  <c r="S37" i="64"/>
  <c r="AE37" i="64" s="1"/>
  <c r="AQ37" i="64" s="1"/>
  <c r="BC37" i="64" s="1"/>
  <c r="BO37" i="64" s="1"/>
  <c r="CA37" i="64" s="1"/>
  <c r="U37" i="64"/>
  <c r="AG37" i="64" s="1"/>
  <c r="AS37" i="64" s="1"/>
  <c r="BE37" i="64" s="1"/>
  <c r="BQ37" i="64" s="1"/>
  <c r="CC37" i="64" s="1"/>
  <c r="W37" i="64"/>
  <c r="AI37" i="64" s="1"/>
  <c r="AU37" i="64" s="1"/>
  <c r="BG37" i="64" s="1"/>
  <c r="BS37" i="64" s="1"/>
  <c r="CE37" i="64" s="1"/>
  <c r="Y37" i="64"/>
  <c r="AK37" i="64" s="1"/>
  <c r="AW37" i="64" s="1"/>
  <c r="BI37" i="64" s="1"/>
  <c r="BU37" i="64" s="1"/>
  <c r="CG37" i="64" s="1"/>
  <c r="AA37" i="64"/>
  <c r="AM37" i="64" s="1"/>
  <c r="AY37" i="64" s="1"/>
  <c r="BK37" i="64" s="1"/>
  <c r="BW37" i="64" s="1"/>
  <c r="CI37" i="64" s="1"/>
  <c r="Q43" i="64"/>
  <c r="AC43" i="64" s="1"/>
  <c r="AO43" i="64" s="1"/>
  <c r="BA43" i="64" s="1"/>
  <c r="BM43" i="64" s="1"/>
  <c r="BY43" i="64" s="1"/>
  <c r="S43" i="64"/>
  <c r="AE43" i="64" s="1"/>
  <c r="AQ43" i="64" s="1"/>
  <c r="BC43" i="64" s="1"/>
  <c r="BO43" i="64" s="1"/>
  <c r="CA43" i="64" s="1"/>
  <c r="U43" i="64"/>
  <c r="AG43" i="64" s="1"/>
  <c r="AS43" i="64" s="1"/>
  <c r="BE43" i="64" s="1"/>
  <c r="BQ43" i="64" s="1"/>
  <c r="CC43" i="64" s="1"/>
  <c r="W43" i="64"/>
  <c r="AI43" i="64" s="1"/>
  <c r="AU43" i="64" s="1"/>
  <c r="BG43" i="64" s="1"/>
  <c r="BS43" i="64" s="1"/>
  <c r="CE43" i="64" s="1"/>
  <c r="Y43" i="64"/>
  <c r="AK43" i="64" s="1"/>
  <c r="AW43" i="64" s="1"/>
  <c r="BI43" i="64" s="1"/>
  <c r="BU43" i="64" s="1"/>
  <c r="CG43" i="64" s="1"/>
  <c r="AA43" i="64"/>
  <c r="AM43" i="64" s="1"/>
  <c r="AY43" i="64" s="1"/>
  <c r="BK43" i="64" s="1"/>
  <c r="BW43" i="64" s="1"/>
  <c r="CI43" i="64" s="1"/>
  <c r="R13" i="64"/>
  <c r="AD13" i="64" s="1"/>
  <c r="AP13" i="64" s="1"/>
  <c r="BB13" i="64" s="1"/>
  <c r="BN13" i="64" s="1"/>
  <c r="BZ13" i="64" s="1"/>
  <c r="V13" i="64"/>
  <c r="AH13" i="64" s="1"/>
  <c r="AT13" i="64" s="1"/>
  <c r="BF13" i="64" s="1"/>
  <c r="BR13" i="64" s="1"/>
  <c r="CD13" i="64" s="1"/>
  <c r="Z13" i="64"/>
  <c r="AL13" i="64" s="1"/>
  <c r="AX13" i="64" s="1"/>
  <c r="BJ13" i="64" s="1"/>
  <c r="BV13" i="64" s="1"/>
  <c r="CH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Z19" i="64"/>
  <c r="AL19" i="64" s="1"/>
  <c r="AX19" i="64" s="1"/>
  <c r="BJ19" i="64" s="1"/>
  <c r="BV19" i="64" s="1"/>
  <c r="CH19" i="64" s="1"/>
  <c r="R25" i="64"/>
  <c r="AD25" i="64" s="1"/>
  <c r="AP25" i="64" s="1"/>
  <c r="BB25" i="64" s="1"/>
  <c r="BN25" i="64" s="1"/>
  <c r="BZ25" i="64" s="1"/>
  <c r="V25" i="64"/>
  <c r="AH25" i="64" s="1"/>
  <c r="AT25" i="64" s="1"/>
  <c r="BF25" i="64" s="1"/>
  <c r="BR25" i="64" s="1"/>
  <c r="CD25" i="64" s="1"/>
  <c r="Z25" i="64"/>
  <c r="AL25" i="64" s="1"/>
  <c r="AX25" i="64" s="1"/>
  <c r="BJ25" i="64" s="1"/>
  <c r="BV25" i="64" s="1"/>
  <c r="CH25" i="64" s="1"/>
  <c r="R31" i="64"/>
  <c r="AD31" i="64" s="1"/>
  <c r="AP31" i="64" s="1"/>
  <c r="BB31" i="64" s="1"/>
  <c r="BN31" i="64" s="1"/>
  <c r="BZ31" i="64" s="1"/>
  <c r="V31" i="64"/>
  <c r="AH31" i="64" s="1"/>
  <c r="AT31" i="64" s="1"/>
  <c r="BF31" i="64" s="1"/>
  <c r="BR31" i="64" s="1"/>
  <c r="CD31" i="64" s="1"/>
  <c r="Z31" i="64"/>
  <c r="AL31" i="64" s="1"/>
  <c r="AX31" i="64" s="1"/>
  <c r="BJ31" i="64" s="1"/>
  <c r="BV31" i="64" s="1"/>
  <c r="CH31" i="64" s="1"/>
  <c r="R37" i="64"/>
  <c r="AD37" i="64" s="1"/>
  <c r="AP37" i="64" s="1"/>
  <c r="BB37" i="64" s="1"/>
  <c r="BN37" i="64" s="1"/>
  <c r="BZ37" i="64" s="1"/>
  <c r="V37" i="64"/>
  <c r="AH37" i="64" s="1"/>
  <c r="AT37" i="64" s="1"/>
  <c r="BF37" i="64" s="1"/>
  <c r="BR37" i="64" s="1"/>
  <c r="CD37" i="64" s="1"/>
  <c r="Z37" i="64"/>
  <c r="AL37" i="64" s="1"/>
  <c r="AX37" i="64" s="1"/>
  <c r="BJ37" i="64" s="1"/>
  <c r="BV37" i="64" s="1"/>
  <c r="CH37" i="64" s="1"/>
  <c r="R43" i="64"/>
  <c r="AD43" i="64" s="1"/>
  <c r="AP43" i="64" s="1"/>
  <c r="BB43" i="64" s="1"/>
  <c r="BN43" i="64" s="1"/>
  <c r="BZ43" i="64" s="1"/>
  <c r="V43" i="64"/>
  <c r="AH43" i="64" s="1"/>
  <c r="AT43" i="64" s="1"/>
  <c r="BF43" i="64" s="1"/>
  <c r="BR43" i="64" s="1"/>
  <c r="CD43" i="64" s="1"/>
  <c r="Z43" i="64"/>
  <c r="AL43" i="64" s="1"/>
  <c r="AX43" i="64" s="1"/>
  <c r="BJ43" i="64" s="1"/>
  <c r="BV43" i="64" s="1"/>
  <c r="CH43" i="64" s="1"/>
  <c r="R50" i="64"/>
  <c r="AD50" i="64" s="1"/>
  <c r="AP50" i="64" s="1"/>
  <c r="BB50" i="64" s="1"/>
  <c r="BN50" i="64" s="1"/>
  <c r="BZ50" i="64" s="1"/>
  <c r="T50" i="64"/>
  <c r="AF50" i="64" s="1"/>
  <c r="AR50" i="64" s="1"/>
  <c r="BD50" i="64" s="1"/>
  <c r="BP50" i="64" s="1"/>
  <c r="CB50" i="64" s="1"/>
  <c r="V50" i="64"/>
  <c r="AH50" i="64" s="1"/>
  <c r="AT50" i="64" s="1"/>
  <c r="BF50" i="64" s="1"/>
  <c r="BR50" i="64" s="1"/>
  <c r="CD50" i="64" s="1"/>
  <c r="X50" i="64"/>
  <c r="AJ50" i="64" s="1"/>
  <c r="AV50" i="64" s="1"/>
  <c r="BH50" i="64" s="1"/>
  <c r="BT50" i="64" s="1"/>
  <c r="CF50" i="64" s="1"/>
  <c r="Z50" i="64"/>
  <c r="AL50" i="64" s="1"/>
  <c r="AX50" i="64" s="1"/>
  <c r="BJ50" i="64" s="1"/>
  <c r="BV50" i="64" s="1"/>
  <c r="CH50" i="64" s="1"/>
  <c r="T13" i="64"/>
  <c r="AF13" i="64" s="1"/>
  <c r="AR13" i="64" s="1"/>
  <c r="BD13" i="64" s="1"/>
  <c r="BP13" i="64" s="1"/>
  <c r="CB13" i="64" s="1"/>
  <c r="X13" i="64"/>
  <c r="AJ13" i="64" s="1"/>
  <c r="AV13" i="64" s="1"/>
  <c r="BH13" i="64" s="1"/>
  <c r="BT13" i="64" s="1"/>
  <c r="CF13" i="64" s="1"/>
  <c r="T19" i="64"/>
  <c r="AF19" i="64" s="1"/>
  <c r="AR19" i="64" s="1"/>
  <c r="BD19" i="64" s="1"/>
  <c r="BP19" i="64" s="1"/>
  <c r="CB19" i="64" s="1"/>
  <c r="X19" i="64"/>
  <c r="AJ19" i="64" s="1"/>
  <c r="AV19" i="64" s="1"/>
  <c r="BH19" i="64" s="1"/>
  <c r="BT19" i="64" s="1"/>
  <c r="CF19" i="64" s="1"/>
  <c r="T25" i="64"/>
  <c r="AF25" i="64" s="1"/>
  <c r="AR25" i="64" s="1"/>
  <c r="BD25" i="64" s="1"/>
  <c r="BP25" i="64" s="1"/>
  <c r="CB25" i="64" s="1"/>
  <c r="X25" i="64"/>
  <c r="AJ25" i="64" s="1"/>
  <c r="AV25" i="64" s="1"/>
  <c r="BH25" i="64" s="1"/>
  <c r="BT25" i="64" s="1"/>
  <c r="CF25" i="64" s="1"/>
  <c r="T31" i="64"/>
  <c r="AF31" i="64" s="1"/>
  <c r="AR31" i="64" s="1"/>
  <c r="BD31" i="64" s="1"/>
  <c r="BP31" i="64" s="1"/>
  <c r="CB31" i="64" s="1"/>
  <c r="X31" i="64"/>
  <c r="AJ31" i="64" s="1"/>
  <c r="AV31" i="64" s="1"/>
  <c r="BH31" i="64" s="1"/>
  <c r="BT31" i="64" s="1"/>
  <c r="CF31" i="64" s="1"/>
  <c r="T37" i="64"/>
  <c r="AF37" i="64" s="1"/>
  <c r="AR37" i="64" s="1"/>
  <c r="BD37" i="64" s="1"/>
  <c r="BP37" i="64" s="1"/>
  <c r="CB37" i="64" s="1"/>
  <c r="X37" i="64"/>
  <c r="AJ37" i="64" s="1"/>
  <c r="AV37" i="64" s="1"/>
  <c r="BH37" i="64" s="1"/>
  <c r="BT37" i="64" s="1"/>
  <c r="CF37" i="64" s="1"/>
  <c r="T43" i="64"/>
  <c r="AF43" i="64" s="1"/>
  <c r="AR43" i="64" s="1"/>
  <c r="BD43" i="64" s="1"/>
  <c r="BP43" i="64" s="1"/>
  <c r="CB43" i="64" s="1"/>
  <c r="X43" i="64"/>
  <c r="AJ43" i="64" s="1"/>
  <c r="AV43" i="64" s="1"/>
  <c r="BH43" i="64" s="1"/>
  <c r="BT43" i="64" s="1"/>
  <c r="CF43" i="64" s="1"/>
  <c r="Q50" i="64"/>
  <c r="AC50" i="64" s="1"/>
  <c r="AO50" i="64" s="1"/>
  <c r="BA50" i="64" s="1"/>
  <c r="BM50" i="64" s="1"/>
  <c r="BY50" i="64" s="1"/>
  <c r="S50" i="64"/>
  <c r="AE50" i="64" s="1"/>
  <c r="AQ50" i="64" s="1"/>
  <c r="BC50" i="64" s="1"/>
  <c r="BO50" i="64" s="1"/>
  <c r="CA50" i="64" s="1"/>
  <c r="U50" i="64"/>
  <c r="AG50" i="64" s="1"/>
  <c r="AS50" i="64" s="1"/>
  <c r="BE50" i="64" s="1"/>
  <c r="BQ50" i="64" s="1"/>
  <c r="CC50" i="64" s="1"/>
  <c r="W50" i="64"/>
  <c r="AI50" i="64" s="1"/>
  <c r="AU50" i="64" s="1"/>
  <c r="BG50" i="64" s="1"/>
  <c r="BS50" i="64" s="1"/>
  <c r="CE50" i="64" s="1"/>
  <c r="Y50" i="64"/>
  <c r="AK50" i="64" s="1"/>
  <c r="AW50" i="64" s="1"/>
  <c r="BI50" i="64" s="1"/>
  <c r="BU50" i="64" s="1"/>
  <c r="CG50" i="64" s="1"/>
  <c r="AA50" i="64"/>
  <c r="AM50" i="64" s="1"/>
  <c r="AY50" i="64" s="1"/>
  <c r="BK50" i="64" s="1"/>
  <c r="BW50" i="64" s="1"/>
  <c r="CI50" i="64" s="1"/>
  <c r="P50" i="64"/>
  <c r="AB50" i="64" s="1"/>
  <c r="AN50" i="64" s="1"/>
  <c r="AZ50" i="64" s="1"/>
  <c r="BL50" i="64" s="1"/>
  <c r="BX50" i="64" s="1"/>
  <c r="P43" i="64"/>
  <c r="AB43" i="64" s="1"/>
  <c r="AN43" i="64" s="1"/>
  <c r="AZ43" i="64" s="1"/>
  <c r="BL43" i="64" s="1"/>
  <c r="BX43" i="64" s="1"/>
  <c r="P37" i="64"/>
  <c r="AB37" i="64" s="1"/>
  <c r="AN37" i="64" s="1"/>
  <c r="AZ37" i="64" s="1"/>
  <c r="BL37" i="64" s="1"/>
  <c r="BX37" i="64" s="1"/>
  <c r="P31" i="64"/>
  <c r="AB31" i="64" s="1"/>
  <c r="AN31" i="64" s="1"/>
  <c r="AZ31" i="64" s="1"/>
  <c r="BL31" i="64" s="1"/>
  <c r="BX31" i="64" s="1"/>
  <c r="P25" i="64"/>
  <c r="AB25" i="64" s="1"/>
  <c r="AN25" i="64" s="1"/>
  <c r="AZ25" i="64" s="1"/>
  <c r="BL25" i="64" s="1"/>
  <c r="BX25" i="64" s="1"/>
  <c r="P19" i="64"/>
  <c r="AB19" i="64" s="1"/>
  <c r="AN19" i="64" s="1"/>
  <c r="AZ19" i="64" s="1"/>
  <c r="BL19" i="64" s="1"/>
  <c r="BX19" i="64" s="1"/>
  <c r="P13" i="64"/>
  <c r="AB13" i="64" s="1"/>
  <c r="AN13" i="64" s="1"/>
  <c r="AZ13" i="64" s="1"/>
  <c r="BL13" i="64" s="1"/>
  <c r="BX13" i="64" s="1"/>
  <c r="B308" i="82" l="1"/>
  <c r="J307" i="82"/>
  <c r="L44" i="64"/>
  <c r="X42" i="64"/>
  <c r="L45" i="64"/>
  <c r="D44" i="64"/>
  <c r="P42" i="64"/>
  <c r="D45" i="64"/>
  <c r="F45" i="64"/>
  <c r="R42" i="64"/>
  <c r="F44" i="64"/>
  <c r="AA42" i="64"/>
  <c r="O45" i="64"/>
  <c r="O44" i="64"/>
  <c r="S42" i="64"/>
  <c r="G45" i="64"/>
  <c r="G44" i="64"/>
  <c r="H44" i="64"/>
  <c r="T42" i="64"/>
  <c r="H45" i="64"/>
  <c r="Y42" i="64"/>
  <c r="M45" i="64"/>
  <c r="M44" i="64"/>
  <c r="Q42" i="64"/>
  <c r="E45" i="64"/>
  <c r="E44" i="64"/>
  <c r="N45" i="64"/>
  <c r="Z42" i="64"/>
  <c r="N44" i="64"/>
  <c r="W42" i="64"/>
  <c r="K45" i="64"/>
  <c r="K44" i="64"/>
  <c r="BW25" i="64"/>
  <c r="AY13" i="64"/>
  <c r="BK13" i="64" s="1"/>
  <c r="BW13" i="64" s="1"/>
  <c r="CI13" i="64" s="1"/>
  <c r="J45" i="64"/>
  <c r="V42" i="64"/>
  <c r="J44" i="64"/>
  <c r="U42" i="64"/>
  <c r="I45" i="64"/>
  <c r="I44" i="64"/>
  <c r="B309" i="82" l="1"/>
  <c r="J308" i="82"/>
  <c r="M15" i="64"/>
  <c r="M14" i="64"/>
  <c r="Y12" i="64"/>
  <c r="E26" i="64"/>
  <c r="Q24" i="64"/>
  <c r="E27" i="64"/>
  <c r="U30" i="64"/>
  <c r="I32" i="64"/>
  <c r="I33" i="64"/>
  <c r="M39" i="64"/>
  <c r="M38" i="64"/>
  <c r="Y36" i="64"/>
  <c r="V24" i="64"/>
  <c r="J27" i="64"/>
  <c r="J26" i="64"/>
  <c r="X49" i="64"/>
  <c r="L51" i="64"/>
  <c r="L52" i="64"/>
  <c r="L33" i="64"/>
  <c r="L32" i="64"/>
  <c r="X30" i="64"/>
  <c r="S18" i="64"/>
  <c r="G21" i="64"/>
  <c r="G20" i="64"/>
  <c r="N21" i="64"/>
  <c r="Z18" i="64"/>
  <c r="N20" i="64"/>
  <c r="H33" i="64"/>
  <c r="H32" i="64"/>
  <c r="T30" i="64"/>
  <c r="K27" i="64"/>
  <c r="W24" i="64"/>
  <c r="K26" i="64"/>
  <c r="R12" i="64"/>
  <c r="F14" i="64"/>
  <c r="F15" i="64"/>
  <c r="V49" i="64"/>
  <c r="J52" i="64"/>
  <c r="J51" i="64"/>
  <c r="O27" i="64"/>
  <c r="AA24" i="64"/>
  <c r="O26" i="64"/>
  <c r="Z12" i="64"/>
  <c r="N14" i="64"/>
  <c r="N15" i="64"/>
  <c r="R49" i="64"/>
  <c r="F52" i="64"/>
  <c r="F51" i="64"/>
  <c r="V45" i="64"/>
  <c r="V44" i="64"/>
  <c r="AH42" i="64"/>
  <c r="CI25" i="64"/>
  <c r="AI42" i="64"/>
  <c r="W45" i="64"/>
  <c r="W44" i="64"/>
  <c r="R44" i="64"/>
  <c r="AD42" i="64"/>
  <c r="R45" i="64"/>
  <c r="D33" i="64"/>
  <c r="D32" i="64"/>
  <c r="P30" i="64"/>
  <c r="Q18" i="64"/>
  <c r="E21" i="64"/>
  <c r="E20" i="64"/>
  <c r="I26" i="64"/>
  <c r="U24" i="64"/>
  <c r="I27" i="64"/>
  <c r="Y30" i="64"/>
  <c r="M32" i="64"/>
  <c r="M33" i="64"/>
  <c r="E51" i="64"/>
  <c r="Q49" i="64"/>
  <c r="E52" i="64"/>
  <c r="V30" i="64"/>
  <c r="J33" i="64"/>
  <c r="J32" i="64"/>
  <c r="X12" i="64"/>
  <c r="L14" i="64"/>
  <c r="L15" i="64"/>
  <c r="X36" i="64"/>
  <c r="L38" i="64"/>
  <c r="L39" i="64"/>
  <c r="W18" i="64"/>
  <c r="K21" i="64"/>
  <c r="K20" i="64"/>
  <c r="T12" i="64"/>
  <c r="H14" i="64"/>
  <c r="H15" i="64"/>
  <c r="T36" i="64"/>
  <c r="H38" i="64"/>
  <c r="H39" i="64"/>
  <c r="S30" i="64"/>
  <c r="G33" i="64"/>
  <c r="G32" i="64"/>
  <c r="R24" i="64"/>
  <c r="F27" i="64"/>
  <c r="F26" i="64"/>
  <c r="K52" i="64"/>
  <c r="W49" i="64"/>
  <c r="K51" i="64"/>
  <c r="W30" i="64"/>
  <c r="K33" i="64"/>
  <c r="K32" i="64"/>
  <c r="Z24" i="64"/>
  <c r="N27" i="64"/>
  <c r="N26" i="64"/>
  <c r="Z49" i="64"/>
  <c r="N52" i="64"/>
  <c r="N51" i="64"/>
  <c r="Y44" i="64"/>
  <c r="AK42" i="64"/>
  <c r="Y45" i="64"/>
  <c r="P36" i="64"/>
  <c r="D38" i="64"/>
  <c r="D39" i="64"/>
  <c r="E15" i="64"/>
  <c r="E14" i="64"/>
  <c r="Q12" i="64"/>
  <c r="U18" i="64"/>
  <c r="I21" i="64"/>
  <c r="I20" i="64"/>
  <c r="M26" i="64"/>
  <c r="Y24" i="64"/>
  <c r="M27" i="64"/>
  <c r="E39" i="64"/>
  <c r="E38" i="64"/>
  <c r="Q36" i="64"/>
  <c r="V12" i="64"/>
  <c r="J14" i="64"/>
  <c r="J15" i="64"/>
  <c r="V36" i="64"/>
  <c r="J38" i="64"/>
  <c r="J39" i="64"/>
  <c r="L20" i="64"/>
  <c r="X18" i="64"/>
  <c r="L21" i="64"/>
  <c r="I51" i="64"/>
  <c r="U49" i="64"/>
  <c r="I52" i="64"/>
  <c r="AA18" i="64"/>
  <c r="O21" i="64"/>
  <c r="O20" i="64"/>
  <c r="H20" i="64"/>
  <c r="T18" i="64"/>
  <c r="H21" i="64"/>
  <c r="S12" i="64"/>
  <c r="G15" i="64"/>
  <c r="G14" i="64"/>
  <c r="AA30" i="64"/>
  <c r="O33" i="64"/>
  <c r="O32" i="64"/>
  <c r="Z30" i="64"/>
  <c r="N33" i="64"/>
  <c r="N32" i="64"/>
  <c r="W12" i="64"/>
  <c r="K15" i="64"/>
  <c r="K14" i="64"/>
  <c r="S36" i="64"/>
  <c r="G39" i="64"/>
  <c r="G38" i="64"/>
  <c r="R30" i="64"/>
  <c r="F33" i="64"/>
  <c r="F32" i="64"/>
  <c r="G52" i="64"/>
  <c r="S49" i="64"/>
  <c r="G51" i="64"/>
  <c r="AG42" i="64"/>
  <c r="U45" i="64"/>
  <c r="U44" i="64"/>
  <c r="AL42" i="64"/>
  <c r="Z44" i="64"/>
  <c r="Z45" i="64"/>
  <c r="AC42" i="64"/>
  <c r="Q44" i="64"/>
  <c r="Q45" i="64"/>
  <c r="AM42" i="64"/>
  <c r="AA45" i="64"/>
  <c r="AA44" i="64"/>
  <c r="AJ42" i="64"/>
  <c r="X45" i="64"/>
  <c r="X44" i="64"/>
  <c r="P12" i="64"/>
  <c r="D14" i="64"/>
  <c r="D15" i="64"/>
  <c r="I15" i="64"/>
  <c r="I14" i="64"/>
  <c r="U12" i="64"/>
  <c r="Y18" i="64"/>
  <c r="M21" i="64"/>
  <c r="M20" i="64"/>
  <c r="Q30" i="64"/>
  <c r="E32" i="64"/>
  <c r="E33" i="64"/>
  <c r="I39" i="64"/>
  <c r="I38" i="64"/>
  <c r="U36" i="64"/>
  <c r="J21" i="64"/>
  <c r="V18" i="64"/>
  <c r="J20" i="64"/>
  <c r="T49" i="64"/>
  <c r="H51" i="64"/>
  <c r="H52" i="64"/>
  <c r="X24" i="64"/>
  <c r="L26" i="64"/>
  <c r="L27" i="64"/>
  <c r="M51" i="64"/>
  <c r="Y49" i="64"/>
  <c r="M52" i="64"/>
  <c r="F21" i="64"/>
  <c r="R18" i="64"/>
  <c r="F20" i="64"/>
  <c r="T24" i="64"/>
  <c r="H26" i="64"/>
  <c r="H27" i="64"/>
  <c r="AA12" i="64"/>
  <c r="O15" i="64"/>
  <c r="O14" i="64"/>
  <c r="W36" i="64"/>
  <c r="K39" i="64"/>
  <c r="K38" i="64"/>
  <c r="R36" i="64"/>
  <c r="F38" i="64"/>
  <c r="F39" i="64"/>
  <c r="G27" i="64"/>
  <c r="S24" i="64"/>
  <c r="G26" i="64"/>
  <c r="AA36" i="64"/>
  <c r="O39" i="64"/>
  <c r="O38" i="64"/>
  <c r="Z36" i="64"/>
  <c r="N38" i="64"/>
  <c r="N39" i="64"/>
  <c r="O52" i="64"/>
  <c r="AA49" i="64"/>
  <c r="O51" i="64"/>
  <c r="AF42" i="64"/>
  <c r="T44" i="64"/>
  <c r="T45" i="64"/>
  <c r="AE42" i="64"/>
  <c r="S45" i="64"/>
  <c r="S44" i="64"/>
  <c r="AB42" i="64"/>
  <c r="P44" i="64"/>
  <c r="P45" i="64"/>
  <c r="B310" i="82" l="1"/>
  <c r="J309" i="82"/>
  <c r="AE44" i="64"/>
  <c r="AE45" i="64"/>
  <c r="AQ42" i="64"/>
  <c r="AM36" i="64"/>
  <c r="AA39" i="64"/>
  <c r="AA38" i="64"/>
  <c r="AM12" i="64"/>
  <c r="AA15" i="64"/>
  <c r="AA14" i="64"/>
  <c r="Y52" i="64"/>
  <c r="AK49" i="64"/>
  <c r="Y51" i="64"/>
  <c r="AJ24" i="64"/>
  <c r="X27" i="64"/>
  <c r="X26" i="64"/>
  <c r="AC30" i="64"/>
  <c r="Q33" i="64"/>
  <c r="Q32" i="64"/>
  <c r="AG12" i="64"/>
  <c r="U15" i="64"/>
  <c r="U14" i="64"/>
  <c r="AJ45" i="64"/>
  <c r="AJ44" i="64"/>
  <c r="AV42" i="64"/>
  <c r="AS42" i="64"/>
  <c r="AG45" i="64"/>
  <c r="AG44" i="64"/>
  <c r="AI12" i="64"/>
  <c r="W15" i="64"/>
  <c r="W14" i="64"/>
  <c r="G54" i="64"/>
  <c r="X21" i="64"/>
  <c r="X20" i="64"/>
  <c r="AJ18" i="64"/>
  <c r="AH36" i="64"/>
  <c r="V39" i="64"/>
  <c r="V38" i="64"/>
  <c r="AC36" i="64"/>
  <c r="Q38" i="64"/>
  <c r="Q39" i="64"/>
  <c r="AK24" i="64"/>
  <c r="Y26" i="64"/>
  <c r="Y27" i="64"/>
  <c r="U20" i="64"/>
  <c r="U21" i="64"/>
  <c r="AG18" i="64"/>
  <c r="AK45" i="64"/>
  <c r="AW42" i="64"/>
  <c r="AK44" i="64"/>
  <c r="AL49" i="64"/>
  <c r="Z51" i="64"/>
  <c r="Z52" i="64"/>
  <c r="W52" i="64"/>
  <c r="AI49" i="64"/>
  <c r="W51" i="64"/>
  <c r="AD24" i="64"/>
  <c r="R27" i="64"/>
  <c r="R26" i="64"/>
  <c r="AI18" i="64"/>
  <c r="W21" i="64"/>
  <c r="W20" i="64"/>
  <c r="L54" i="64"/>
  <c r="F54" i="64"/>
  <c r="AI24" i="64"/>
  <c r="W27" i="64"/>
  <c r="W26" i="64"/>
  <c r="AJ49" i="64"/>
  <c r="X52" i="64"/>
  <c r="X51" i="64"/>
  <c r="AK36" i="64"/>
  <c r="Y39" i="64"/>
  <c r="Y38" i="64"/>
  <c r="D20" i="64"/>
  <c r="P18" i="64"/>
  <c r="D21" i="64"/>
  <c r="AN42" i="64"/>
  <c r="AB44" i="64"/>
  <c r="AB45" i="64"/>
  <c r="AA51" i="64"/>
  <c r="AM49" i="64"/>
  <c r="AA52" i="64"/>
  <c r="AL36" i="64"/>
  <c r="Z38" i="64"/>
  <c r="Z39" i="64"/>
  <c r="AI36" i="64"/>
  <c r="W38" i="64"/>
  <c r="W39" i="64"/>
  <c r="AD18" i="64"/>
  <c r="R21" i="64"/>
  <c r="R20" i="64"/>
  <c r="V21" i="64"/>
  <c r="V20" i="64"/>
  <c r="AH18" i="64"/>
  <c r="AB12" i="64"/>
  <c r="P15" i="64"/>
  <c r="P14" i="64"/>
  <c r="AL44" i="64"/>
  <c r="AX42" i="64"/>
  <c r="AL45" i="64"/>
  <c r="AE36" i="64"/>
  <c r="S38" i="64"/>
  <c r="S39" i="64"/>
  <c r="S15" i="64"/>
  <c r="AE12" i="64"/>
  <c r="S14" i="64"/>
  <c r="AG49" i="64"/>
  <c r="U51" i="64"/>
  <c r="U52" i="64"/>
  <c r="J54" i="64"/>
  <c r="Q14" i="64"/>
  <c r="AC12" i="64"/>
  <c r="Q15" i="64"/>
  <c r="AF12" i="64"/>
  <c r="T14" i="64"/>
  <c r="T15" i="64"/>
  <c r="AH30" i="64"/>
  <c r="V33" i="64"/>
  <c r="V32" i="64"/>
  <c r="AG24" i="64"/>
  <c r="U26" i="64"/>
  <c r="U27" i="64"/>
  <c r="Q21" i="64"/>
  <c r="Q20" i="64"/>
  <c r="AC18" i="64"/>
  <c r="AH44" i="64"/>
  <c r="AT42" i="64"/>
  <c r="AH45" i="64"/>
  <c r="Z14" i="64"/>
  <c r="Z15" i="64"/>
  <c r="AL12" i="64"/>
  <c r="AG30" i="64"/>
  <c r="U33" i="64"/>
  <c r="U32" i="64"/>
  <c r="Y15" i="64"/>
  <c r="Y14" i="64"/>
  <c r="AK12" i="64"/>
  <c r="P49" i="64"/>
  <c r="D51" i="64"/>
  <c r="D52" i="64"/>
  <c r="AE24" i="64"/>
  <c r="S27" i="64"/>
  <c r="S26" i="64"/>
  <c r="AD36" i="64"/>
  <c r="R38" i="64"/>
  <c r="R39" i="64"/>
  <c r="I54" i="64"/>
  <c r="AC45" i="64"/>
  <c r="AC44" i="64"/>
  <c r="AO42" i="64"/>
  <c r="AE49" i="64"/>
  <c r="S51" i="64"/>
  <c r="S52" i="64"/>
  <c r="AD30" i="64"/>
  <c r="R33" i="64"/>
  <c r="R32" i="64"/>
  <c r="AM30" i="64"/>
  <c r="AA32" i="64"/>
  <c r="AA33" i="64"/>
  <c r="AB36" i="64"/>
  <c r="P38" i="64"/>
  <c r="P39" i="64"/>
  <c r="AI30" i="64"/>
  <c r="W33" i="64"/>
  <c r="W32" i="64"/>
  <c r="AF36" i="64"/>
  <c r="T39" i="64"/>
  <c r="T38" i="64"/>
  <c r="AJ12" i="64"/>
  <c r="X15" i="64"/>
  <c r="X14" i="64"/>
  <c r="AB30" i="64"/>
  <c r="P33" i="64"/>
  <c r="P32" i="64"/>
  <c r="AP42" i="64"/>
  <c r="AD45" i="64"/>
  <c r="AD44" i="64"/>
  <c r="AI44" i="64"/>
  <c r="AU42" i="64"/>
  <c r="AI45" i="64"/>
  <c r="AD49" i="64"/>
  <c r="R52" i="64"/>
  <c r="R51" i="64"/>
  <c r="AD12" i="64"/>
  <c r="R15" i="64"/>
  <c r="R14" i="64"/>
  <c r="AF30" i="64"/>
  <c r="T33" i="64"/>
  <c r="T32" i="64"/>
  <c r="AL18" i="64"/>
  <c r="Z21" i="64"/>
  <c r="Z20" i="64"/>
  <c r="AE18" i="64"/>
  <c r="S20" i="64"/>
  <c r="S21" i="64"/>
  <c r="P24" i="64"/>
  <c r="D26" i="64"/>
  <c r="D27" i="64"/>
  <c r="AR42" i="64"/>
  <c r="AF45" i="64"/>
  <c r="AF44" i="64"/>
  <c r="O54" i="64"/>
  <c r="AF24" i="64"/>
  <c r="T26" i="64"/>
  <c r="T27" i="64"/>
  <c r="AF49" i="64"/>
  <c r="T52" i="64"/>
  <c r="T51" i="64"/>
  <c r="AG36" i="64"/>
  <c r="U39" i="64"/>
  <c r="U38" i="64"/>
  <c r="AK18" i="64"/>
  <c r="Y20" i="64"/>
  <c r="Y21" i="64"/>
  <c r="AY42" i="64"/>
  <c r="AM44" i="64"/>
  <c r="AM45" i="64"/>
  <c r="K54" i="64"/>
  <c r="AL30" i="64"/>
  <c r="Z33" i="64"/>
  <c r="Z32" i="64"/>
  <c r="AF18" i="64"/>
  <c r="T20" i="64"/>
  <c r="T21" i="64"/>
  <c r="AM18" i="64"/>
  <c r="AA21" i="64"/>
  <c r="AA20" i="64"/>
  <c r="V15" i="64"/>
  <c r="AH12" i="64"/>
  <c r="V14" i="64"/>
  <c r="E54" i="64"/>
  <c r="AL24" i="64"/>
  <c r="Z27" i="64"/>
  <c r="Z26" i="64"/>
  <c r="S32" i="64"/>
  <c r="AE30" i="64"/>
  <c r="S33" i="64"/>
  <c r="H54" i="64"/>
  <c r="AJ36" i="64"/>
  <c r="X38" i="64"/>
  <c r="X39" i="64"/>
  <c r="AC49" i="64"/>
  <c r="Q52" i="64"/>
  <c r="Q51" i="64"/>
  <c r="AK30" i="64"/>
  <c r="Y32" i="64"/>
  <c r="Y33" i="64"/>
  <c r="N54" i="64"/>
  <c r="AM24" i="64"/>
  <c r="AA26" i="64"/>
  <c r="AA27" i="64"/>
  <c r="AH49" i="64"/>
  <c r="V52" i="64"/>
  <c r="V51" i="64"/>
  <c r="AJ30" i="64"/>
  <c r="X32" i="64"/>
  <c r="X33" i="64"/>
  <c r="V26" i="64"/>
  <c r="AH24" i="64"/>
  <c r="V27" i="64"/>
  <c r="AC24" i="64"/>
  <c r="Q27" i="64"/>
  <c r="Q26" i="64"/>
  <c r="M54" i="64"/>
  <c r="B311" i="82" l="1"/>
  <c r="J310" i="82"/>
  <c r="D54" i="64"/>
  <c r="V54" i="64"/>
  <c r="V98" i="60" s="1"/>
  <c r="P19" i="72" s="1"/>
  <c r="R54" i="64"/>
  <c r="AV30" i="64"/>
  <c r="AJ32" i="64"/>
  <c r="AJ33" i="64"/>
  <c r="AE32" i="64"/>
  <c r="AQ30" i="64"/>
  <c r="AE33" i="64"/>
  <c r="AL26" i="64"/>
  <c r="AL27" i="64"/>
  <c r="AX24" i="64"/>
  <c r="AS36" i="64"/>
  <c r="AG38" i="64"/>
  <c r="AG39" i="64"/>
  <c r="AQ18" i="64"/>
  <c r="AE20" i="64"/>
  <c r="AE21" i="64"/>
  <c r="AD52" i="64"/>
  <c r="AP49" i="64"/>
  <c r="AD51" i="64"/>
  <c r="AV12" i="64"/>
  <c r="AJ15" i="64"/>
  <c r="AJ14" i="64"/>
  <c r="AY30" i="64"/>
  <c r="AM32" i="64"/>
  <c r="AM33" i="64"/>
  <c r="AQ24" i="64"/>
  <c r="AE26" i="64"/>
  <c r="AE27" i="64"/>
  <c r="AW12" i="64"/>
  <c r="AK15" i="64"/>
  <c r="AK14" i="64"/>
  <c r="AC21" i="64"/>
  <c r="AO18" i="64"/>
  <c r="AC20" i="64"/>
  <c r="AT30" i="64"/>
  <c r="AH33" i="64"/>
  <c r="AH32" i="64"/>
  <c r="Q54" i="64"/>
  <c r="AE14" i="64"/>
  <c r="AQ12" i="64"/>
  <c r="AE15" i="64"/>
  <c r="AQ36" i="64"/>
  <c r="AE39" i="64"/>
  <c r="AE38" i="64"/>
  <c r="AP18" i="64"/>
  <c r="AD20" i="64"/>
  <c r="AD21" i="64"/>
  <c r="AY49" i="64"/>
  <c r="AM52" i="64"/>
  <c r="AM51" i="64"/>
  <c r="AN45" i="64"/>
  <c r="AZ42" i="64"/>
  <c r="AN44" i="64"/>
  <c r="AI26" i="64"/>
  <c r="AI27" i="64"/>
  <c r="AU24" i="64"/>
  <c r="AD26" i="64"/>
  <c r="AD27" i="64"/>
  <c r="AP24" i="64"/>
  <c r="AW44" i="64"/>
  <c r="AW45" i="64"/>
  <c r="BI42" i="64"/>
  <c r="AI15" i="64"/>
  <c r="AU12" i="64"/>
  <c r="AI14" i="64"/>
  <c r="AV44" i="64"/>
  <c r="BH42" i="64"/>
  <c r="AV45" i="64"/>
  <c r="U54" i="64"/>
  <c r="AO30" i="64"/>
  <c r="AC33" i="64"/>
  <c r="AC32" i="64"/>
  <c r="AA54" i="64"/>
  <c r="AY36" i="64"/>
  <c r="AM39" i="64"/>
  <c r="AM38" i="64"/>
  <c r="E98" i="60"/>
  <c r="AX30" i="64"/>
  <c r="AL33" i="64"/>
  <c r="AL32" i="64"/>
  <c r="AY45" i="64"/>
  <c r="BK42" i="64"/>
  <c r="AY44" i="64"/>
  <c r="AW18" i="64"/>
  <c r="AK21" i="64"/>
  <c r="AK20" i="64"/>
  <c r="AB24" i="64"/>
  <c r="P27" i="64"/>
  <c r="P26" i="64"/>
  <c r="AP12" i="64"/>
  <c r="AD14" i="64"/>
  <c r="AD15" i="64"/>
  <c r="AN30" i="64"/>
  <c r="AB32" i="64"/>
  <c r="AB33" i="64"/>
  <c r="AN36" i="64"/>
  <c r="AB38" i="64"/>
  <c r="AB39" i="64"/>
  <c r="AD38" i="64"/>
  <c r="AD39" i="64"/>
  <c r="AP36" i="64"/>
  <c r="AG33" i="64"/>
  <c r="AS30" i="64"/>
  <c r="AG32" i="64"/>
  <c r="AS24" i="64"/>
  <c r="AG26" i="64"/>
  <c r="AG27" i="64"/>
  <c r="T54" i="64"/>
  <c r="AO12" i="64"/>
  <c r="AC15" i="64"/>
  <c r="AC14" i="64"/>
  <c r="S54" i="64"/>
  <c r="AJ51" i="64"/>
  <c r="AV49" i="64"/>
  <c r="AJ52" i="64"/>
  <c r="F98" i="60"/>
  <c r="AI21" i="64"/>
  <c r="AI20" i="64"/>
  <c r="AU18" i="64"/>
  <c r="AT36" i="64"/>
  <c r="AH39" i="64"/>
  <c r="AH38" i="64"/>
  <c r="G98" i="60"/>
  <c r="AS12" i="64"/>
  <c r="AG14" i="64"/>
  <c r="AG15" i="64"/>
  <c r="AK51" i="64"/>
  <c r="AK52" i="64"/>
  <c r="AW49" i="64"/>
  <c r="AY12" i="64"/>
  <c r="AM14" i="64"/>
  <c r="AM15" i="64"/>
  <c r="AQ44" i="64"/>
  <c r="AQ45" i="64"/>
  <c r="BC42" i="64"/>
  <c r="AH27" i="64"/>
  <c r="AH26" i="64"/>
  <c r="AT24" i="64"/>
  <c r="AO24" i="64"/>
  <c r="AC27" i="64"/>
  <c r="AC26" i="64"/>
  <c r="AY24" i="64"/>
  <c r="AM26" i="64"/>
  <c r="AM27" i="64"/>
  <c r="AO49" i="64"/>
  <c r="AC51" i="64"/>
  <c r="AC52" i="64"/>
  <c r="H98" i="60"/>
  <c r="AF21" i="64"/>
  <c r="AF20" i="64"/>
  <c r="AR18" i="64"/>
  <c r="K98" i="60"/>
  <c r="D19" i="72" s="1"/>
  <c r="AR24" i="64"/>
  <c r="AF26" i="64"/>
  <c r="AF27" i="64"/>
  <c r="BD42" i="64"/>
  <c r="AR45" i="64"/>
  <c r="AR44" i="64"/>
  <c r="AR30" i="64"/>
  <c r="AF32" i="64"/>
  <c r="AF33" i="64"/>
  <c r="AU45" i="64"/>
  <c r="AU44" i="64"/>
  <c r="BG42" i="64"/>
  <c r="BB42" i="64"/>
  <c r="AP44" i="64"/>
  <c r="AP45" i="64"/>
  <c r="AU30" i="64"/>
  <c r="AI33" i="64"/>
  <c r="AI32" i="64"/>
  <c r="AE52" i="64"/>
  <c r="AQ49" i="64"/>
  <c r="AE51" i="64"/>
  <c r="I98" i="60"/>
  <c r="Y54" i="64"/>
  <c r="AX12" i="64"/>
  <c r="AL14" i="64"/>
  <c r="AL15" i="64"/>
  <c r="AT45" i="64"/>
  <c r="BF42" i="64"/>
  <c r="AT44" i="64"/>
  <c r="AS49" i="64"/>
  <c r="AG51" i="64"/>
  <c r="AG52" i="64"/>
  <c r="AX45" i="64"/>
  <c r="BJ42" i="64"/>
  <c r="AX44" i="64"/>
  <c r="AB14" i="64"/>
  <c r="AN12" i="64"/>
  <c r="AB15" i="64"/>
  <c r="AX36" i="64"/>
  <c r="AL39" i="64"/>
  <c r="AL38" i="64"/>
  <c r="P21" i="64"/>
  <c r="P20" i="64"/>
  <c r="AB18" i="64"/>
  <c r="AK38" i="64"/>
  <c r="AK39" i="64"/>
  <c r="AW36" i="64"/>
  <c r="L98" i="60"/>
  <c r="E19" i="72" s="1"/>
  <c r="AI51" i="64"/>
  <c r="AU49" i="64"/>
  <c r="AI52" i="64"/>
  <c r="AX49" i="64"/>
  <c r="AL52" i="64"/>
  <c r="AL51" i="64"/>
  <c r="AS18" i="64"/>
  <c r="AG20" i="64"/>
  <c r="AG21" i="64"/>
  <c r="AC39" i="64"/>
  <c r="AC38" i="64"/>
  <c r="AO36" i="64"/>
  <c r="AV18" i="64"/>
  <c r="AJ21" i="64"/>
  <c r="AJ20" i="64"/>
  <c r="AJ39" i="64"/>
  <c r="AJ38" i="64"/>
  <c r="AV36" i="64"/>
  <c r="M98" i="60"/>
  <c r="F19" i="72" s="1"/>
  <c r="AT49" i="64"/>
  <c r="AH52" i="64"/>
  <c r="AH51" i="64"/>
  <c r="N98" i="60"/>
  <c r="G19" i="72" s="1"/>
  <c r="AK32" i="64"/>
  <c r="AK33" i="64"/>
  <c r="AW30" i="64"/>
  <c r="AT12" i="64"/>
  <c r="AH14" i="64"/>
  <c r="AH15" i="64"/>
  <c r="AM21" i="64"/>
  <c r="AM20" i="64"/>
  <c r="AY18" i="64"/>
  <c r="AR49" i="64"/>
  <c r="AF52" i="64"/>
  <c r="AF51" i="64"/>
  <c r="O98" i="60"/>
  <c r="H19" i="72" s="1"/>
  <c r="AL20" i="64"/>
  <c r="AL21" i="64"/>
  <c r="AX18" i="64"/>
  <c r="X54" i="64"/>
  <c r="AR36" i="64"/>
  <c r="AF38" i="64"/>
  <c r="AF39" i="64"/>
  <c r="AD32" i="64"/>
  <c r="AP30" i="64"/>
  <c r="AD33" i="64"/>
  <c r="AO44" i="64"/>
  <c r="BA42" i="64"/>
  <c r="AO45" i="64"/>
  <c r="P51" i="64"/>
  <c r="P52" i="64"/>
  <c r="AB49" i="64"/>
  <c r="Z54" i="64"/>
  <c r="AR12" i="64"/>
  <c r="AF15" i="64"/>
  <c r="AF14" i="64"/>
  <c r="J98" i="60"/>
  <c r="C19" i="72" s="1"/>
  <c r="AH21" i="64"/>
  <c r="AT18" i="64"/>
  <c r="AH20" i="64"/>
  <c r="AU36" i="64"/>
  <c r="AI39" i="64"/>
  <c r="AI38" i="64"/>
  <c r="AK27" i="64"/>
  <c r="AK26" i="64"/>
  <c r="AW24" i="64"/>
  <c r="W54" i="64"/>
  <c r="AS44" i="64"/>
  <c r="AS45" i="64"/>
  <c r="BE42" i="64"/>
  <c r="AV24" i="64"/>
  <c r="AJ27" i="64"/>
  <c r="AJ26" i="64"/>
  <c r="D98" i="60" l="1"/>
  <c r="D58" i="64"/>
  <c r="B312" i="82"/>
  <c r="J311" i="82"/>
  <c r="P54" i="64"/>
  <c r="R98" i="60"/>
  <c r="K19" i="72" s="1"/>
  <c r="AF54" i="64"/>
  <c r="AH54" i="64"/>
  <c r="BG36" i="64"/>
  <c r="AU38" i="64"/>
  <c r="AU39" i="64"/>
  <c r="AX20" i="64"/>
  <c r="AX21" i="64"/>
  <c r="BJ18" i="64"/>
  <c r="AR52" i="64"/>
  <c r="BD49" i="64"/>
  <c r="AR51" i="64"/>
  <c r="AV21" i="64"/>
  <c r="AV20" i="64"/>
  <c r="BH18" i="64"/>
  <c r="AW39" i="64"/>
  <c r="AW38" i="64"/>
  <c r="BI36" i="64"/>
  <c r="BJ36" i="64"/>
  <c r="AX38" i="64"/>
  <c r="AX39" i="64"/>
  <c r="Y98" i="60"/>
  <c r="BB44" i="64"/>
  <c r="BB45" i="64"/>
  <c r="BN42" i="64"/>
  <c r="BD24" i="64"/>
  <c r="AR27" i="64"/>
  <c r="AR26" i="64"/>
  <c r="AM54" i="64"/>
  <c r="AS15" i="64"/>
  <c r="BE12" i="64"/>
  <c r="AS14" i="64"/>
  <c r="AO15" i="64"/>
  <c r="BA12" i="64"/>
  <c r="AO14" i="64"/>
  <c r="AS27" i="64"/>
  <c r="AS26" i="64"/>
  <c r="BE24" i="64"/>
  <c r="AP39" i="64"/>
  <c r="AP38" i="64"/>
  <c r="BB36" i="64"/>
  <c r="AZ30" i="64"/>
  <c r="AN32" i="64"/>
  <c r="AN33" i="64"/>
  <c r="BH44" i="64"/>
  <c r="BH45" i="64"/>
  <c r="BT42" i="64"/>
  <c r="AI54" i="64"/>
  <c r="AP26" i="64"/>
  <c r="AP27" i="64"/>
  <c r="BB24" i="64"/>
  <c r="BF30" i="64"/>
  <c r="AT33" i="64"/>
  <c r="AT32" i="64"/>
  <c r="BK30" i="64"/>
  <c r="AY32" i="64"/>
  <c r="AY33" i="64"/>
  <c r="AQ20" i="64"/>
  <c r="AQ21" i="64"/>
  <c r="BC18" i="64"/>
  <c r="AR15" i="64"/>
  <c r="BD12" i="64"/>
  <c r="AR14" i="64"/>
  <c r="BK18" i="64"/>
  <c r="AY21" i="64"/>
  <c r="AY20" i="64"/>
  <c r="BA36" i="64"/>
  <c r="AO38" i="64"/>
  <c r="AO39" i="64"/>
  <c r="AX51" i="64"/>
  <c r="AX52" i="64"/>
  <c r="BJ49" i="64"/>
  <c r="BJ44" i="64"/>
  <c r="BJ45" i="64"/>
  <c r="BV42" i="64"/>
  <c r="AS51" i="64"/>
  <c r="AS52" i="64"/>
  <c r="BE49" i="64"/>
  <c r="AL54" i="64"/>
  <c r="AQ51" i="64"/>
  <c r="BC49" i="64"/>
  <c r="AQ52" i="64"/>
  <c r="BG30" i="64"/>
  <c r="AU33" i="64"/>
  <c r="AU32" i="64"/>
  <c r="BG44" i="64"/>
  <c r="BS42" i="64"/>
  <c r="BG45" i="64"/>
  <c r="BD45" i="64"/>
  <c r="BP42" i="64"/>
  <c r="BD44" i="64"/>
  <c r="BA24" i="64"/>
  <c r="AO27" i="64"/>
  <c r="AO26" i="64"/>
  <c r="BC44" i="64"/>
  <c r="BC45" i="64"/>
  <c r="BO42" i="64"/>
  <c r="S98" i="60"/>
  <c r="L19" i="72" s="1"/>
  <c r="T98" i="60"/>
  <c r="M19" i="72" s="1"/>
  <c r="AN39" i="64"/>
  <c r="AN38" i="64"/>
  <c r="AZ36" i="64"/>
  <c r="AD54" i="64"/>
  <c r="AW21" i="64"/>
  <c r="BI18" i="64"/>
  <c r="AW20" i="64"/>
  <c r="AY39" i="64"/>
  <c r="AY38" i="64"/>
  <c r="BK36" i="64"/>
  <c r="AO32" i="64"/>
  <c r="AO33" i="64"/>
  <c r="BA30" i="64"/>
  <c r="BI45" i="64"/>
  <c r="BU42" i="64"/>
  <c r="BI44" i="64"/>
  <c r="AQ38" i="64"/>
  <c r="BC36" i="64"/>
  <c r="AQ39" i="64"/>
  <c r="Q98" i="60"/>
  <c r="AK54" i="64"/>
  <c r="BC24" i="64"/>
  <c r="AQ27" i="64"/>
  <c r="AQ26" i="64"/>
  <c r="AP51" i="64"/>
  <c r="AP52" i="64"/>
  <c r="BB49" i="64"/>
  <c r="W98" i="60"/>
  <c r="Q19" i="72" s="1"/>
  <c r="AT21" i="64"/>
  <c r="BF18" i="64"/>
  <c r="AT20" i="64"/>
  <c r="Z98" i="60"/>
  <c r="BD36" i="64"/>
  <c r="AR38" i="64"/>
  <c r="AR39" i="64"/>
  <c r="BE18" i="64"/>
  <c r="AS20" i="64"/>
  <c r="AS21" i="64"/>
  <c r="AN15" i="64"/>
  <c r="AN14" i="64"/>
  <c r="AZ12" i="64"/>
  <c r="BD30" i="64"/>
  <c r="AR33" i="64"/>
  <c r="AR32" i="64"/>
  <c r="BK24" i="64"/>
  <c r="AY26" i="64"/>
  <c r="AY27" i="64"/>
  <c r="AT27" i="64"/>
  <c r="AT26" i="64"/>
  <c r="BF24" i="64"/>
  <c r="BK12" i="64"/>
  <c r="AY14" i="64"/>
  <c r="AY15" i="64"/>
  <c r="AG54" i="64"/>
  <c r="AT38" i="64"/>
  <c r="AT39" i="64"/>
  <c r="BF36" i="64"/>
  <c r="AV51" i="64"/>
  <c r="AV52" i="64"/>
  <c r="BH49" i="64"/>
  <c r="AS32" i="64"/>
  <c r="BE30" i="64"/>
  <c r="AS33" i="64"/>
  <c r="AB26" i="64"/>
  <c r="AN24" i="64"/>
  <c r="AB27" i="64"/>
  <c r="AA98" i="60"/>
  <c r="U98" i="60"/>
  <c r="N19" i="72" s="1"/>
  <c r="AP20" i="64"/>
  <c r="AP21" i="64"/>
  <c r="BB18" i="64"/>
  <c r="AE54" i="64"/>
  <c r="AO21" i="64"/>
  <c r="AO20" i="64"/>
  <c r="BA18" i="64"/>
  <c r="AW15" i="64"/>
  <c r="BI12" i="64"/>
  <c r="AW14" i="64"/>
  <c r="AJ54" i="64"/>
  <c r="BH24" i="64"/>
  <c r="AV27" i="64"/>
  <c r="AV26" i="64"/>
  <c r="AP32" i="64"/>
  <c r="BB30" i="64"/>
  <c r="AP33" i="64"/>
  <c r="AT14" i="64"/>
  <c r="AT15" i="64"/>
  <c r="BF12" i="64"/>
  <c r="BE44" i="64"/>
  <c r="BE45" i="64"/>
  <c r="BQ42" i="64"/>
  <c r="AW27" i="64"/>
  <c r="BI24" i="64"/>
  <c r="AW26" i="64"/>
  <c r="AN49" i="64"/>
  <c r="AB51" i="64"/>
  <c r="AB52" i="64"/>
  <c r="BM42" i="64"/>
  <c r="BA44" i="64"/>
  <c r="BA45" i="64"/>
  <c r="X98" i="60"/>
  <c r="R19" i="72" s="1"/>
  <c r="AW33" i="64"/>
  <c r="AW32" i="64"/>
  <c r="BI30" i="64"/>
  <c r="AT51" i="64"/>
  <c r="BF49" i="64"/>
  <c r="AT52" i="64"/>
  <c r="BH36" i="64"/>
  <c r="AV38" i="64"/>
  <c r="AV39" i="64"/>
  <c r="AU51" i="64"/>
  <c r="AU52" i="64"/>
  <c r="BG49" i="64"/>
  <c r="AB21" i="64"/>
  <c r="AN18" i="64"/>
  <c r="AB20" i="64"/>
  <c r="BF45" i="64"/>
  <c r="BR42" i="64"/>
  <c r="BF44" i="64"/>
  <c r="AX14" i="64"/>
  <c r="AX15" i="64"/>
  <c r="BJ12" i="64"/>
  <c r="BD18" i="64"/>
  <c r="AR21" i="64"/>
  <c r="AR20" i="64"/>
  <c r="AO52" i="64"/>
  <c r="AO51" i="64"/>
  <c r="BA49" i="64"/>
  <c r="BI49" i="64"/>
  <c r="AW52" i="64"/>
  <c r="AW51" i="64"/>
  <c r="BG18" i="64"/>
  <c r="AU21" i="64"/>
  <c r="AU20" i="64"/>
  <c r="AC54" i="64"/>
  <c r="BB12" i="64"/>
  <c r="AP14" i="64"/>
  <c r="AP15" i="64"/>
  <c r="BW42" i="64"/>
  <c r="BK44" i="64"/>
  <c r="BK45" i="64"/>
  <c r="BJ30" i="64"/>
  <c r="AX32" i="64"/>
  <c r="AX33" i="64"/>
  <c r="BG12" i="64"/>
  <c r="AU15" i="64"/>
  <c r="AU14" i="64"/>
  <c r="AU27" i="64"/>
  <c r="AU26" i="64"/>
  <c r="BG24" i="64"/>
  <c r="AZ45" i="64"/>
  <c r="BL42" i="64"/>
  <c r="AZ44" i="64"/>
  <c r="AY52" i="64"/>
  <c r="BK49" i="64"/>
  <c r="AY51" i="64"/>
  <c r="BC12" i="64"/>
  <c r="AQ15" i="64"/>
  <c r="AQ14" i="64"/>
  <c r="BH12" i="64"/>
  <c r="AV14" i="64"/>
  <c r="AV15" i="64"/>
  <c r="BE36" i="64"/>
  <c r="AS39" i="64"/>
  <c r="AS38" i="64"/>
  <c r="AX26" i="64"/>
  <c r="AX27" i="64"/>
  <c r="BJ24" i="64"/>
  <c r="BC30" i="64"/>
  <c r="AQ33" i="64"/>
  <c r="AQ32" i="64"/>
  <c r="BH30" i="64"/>
  <c r="AV33" i="64"/>
  <c r="AV32" i="64"/>
  <c r="U19" i="72" l="1"/>
  <c r="E99" i="115"/>
  <c r="E99" i="65"/>
  <c r="V19" i="72"/>
  <c r="F99" i="115"/>
  <c r="F99" i="65"/>
  <c r="T19" i="72"/>
  <c r="D99" i="115"/>
  <c r="D99" i="65"/>
  <c r="J19" i="72"/>
  <c r="B313" i="82"/>
  <c r="J312" i="82"/>
  <c r="P98" i="60"/>
  <c r="AH98" i="60"/>
  <c r="AF98" i="60"/>
  <c r="AP54" i="64"/>
  <c r="AV54" i="64"/>
  <c r="AB54" i="64"/>
  <c r="BE39" i="64"/>
  <c r="BQ36" i="64"/>
  <c r="BE38" i="64"/>
  <c r="BK52" i="64"/>
  <c r="BW49" i="64"/>
  <c r="BK51" i="64"/>
  <c r="CI42" i="64"/>
  <c r="BW44" i="64"/>
  <c r="BW45" i="64"/>
  <c r="AC98" i="60"/>
  <c r="BD21" i="64"/>
  <c r="BD20" i="64"/>
  <c r="BP18" i="64"/>
  <c r="AN20" i="64"/>
  <c r="AN21" i="64"/>
  <c r="AZ18" i="64"/>
  <c r="BI27" i="64"/>
  <c r="BU24" i="64"/>
  <c r="BI26" i="64"/>
  <c r="BI14" i="64"/>
  <c r="BU12" i="64"/>
  <c r="BI15" i="64"/>
  <c r="BH51" i="64"/>
  <c r="BT49" i="64"/>
  <c r="BH52" i="64"/>
  <c r="BE20" i="64"/>
  <c r="BQ18" i="64"/>
  <c r="BE21" i="64"/>
  <c r="BF21" i="64"/>
  <c r="BF20" i="64"/>
  <c r="BR18" i="64"/>
  <c r="BO36" i="64"/>
  <c r="BC39" i="64"/>
  <c r="BC38" i="64"/>
  <c r="BK39" i="64"/>
  <c r="BW36" i="64"/>
  <c r="BK38" i="64"/>
  <c r="BU18" i="64"/>
  <c r="BI20" i="64"/>
  <c r="BI21" i="64"/>
  <c r="BO44" i="64"/>
  <c r="CA42" i="64"/>
  <c r="BO45" i="64"/>
  <c r="BO49" i="64"/>
  <c r="BC51" i="64"/>
  <c r="BC52" i="64"/>
  <c r="BK20" i="64"/>
  <c r="BW18" i="64"/>
  <c r="BK21" i="64"/>
  <c r="BC21" i="64"/>
  <c r="BC20" i="64"/>
  <c r="BO18" i="64"/>
  <c r="BF33" i="64"/>
  <c r="BR30" i="64"/>
  <c r="BF32" i="64"/>
  <c r="AI98" i="60"/>
  <c r="BU36" i="64"/>
  <c r="BI39" i="64"/>
  <c r="BI38" i="64"/>
  <c r="BG39" i="64"/>
  <c r="BG38" i="64"/>
  <c r="BS36" i="64"/>
  <c r="AQ54" i="64"/>
  <c r="BG27" i="64"/>
  <c r="BS24" i="64"/>
  <c r="BG26" i="64"/>
  <c r="BV30" i="64"/>
  <c r="BJ33" i="64"/>
  <c r="BJ32" i="64"/>
  <c r="BJ15" i="64"/>
  <c r="BJ14" i="64"/>
  <c r="BV12" i="64"/>
  <c r="CD42" i="64"/>
  <c r="BR44" i="64"/>
  <c r="BR45" i="64"/>
  <c r="BF51" i="64"/>
  <c r="BR49" i="64"/>
  <c r="BF52" i="64"/>
  <c r="BF14" i="64"/>
  <c r="BR12" i="64"/>
  <c r="BF15" i="64"/>
  <c r="BB32" i="64"/>
  <c r="BN30" i="64"/>
  <c r="BB33" i="64"/>
  <c r="AW54" i="64"/>
  <c r="AE98" i="60"/>
  <c r="BW12" i="64"/>
  <c r="BK15" i="64"/>
  <c r="BK14" i="64"/>
  <c r="BB52" i="64"/>
  <c r="BB51" i="64"/>
  <c r="BN49" i="64"/>
  <c r="BM30" i="64"/>
  <c r="BA33" i="64"/>
  <c r="BA32" i="64"/>
  <c r="BM24" i="64"/>
  <c r="BA26" i="64"/>
  <c r="BA27" i="64"/>
  <c r="BW30" i="64"/>
  <c r="BK32" i="64"/>
  <c r="BK33" i="64"/>
  <c r="BN24" i="64"/>
  <c r="BB26" i="64"/>
  <c r="BB27" i="64"/>
  <c r="BT45" i="64"/>
  <c r="CF42" i="64"/>
  <c r="BT44" i="64"/>
  <c r="BE15" i="64"/>
  <c r="BQ12" i="64"/>
  <c r="BE14" i="64"/>
  <c r="BP49" i="64"/>
  <c r="BD52" i="64"/>
  <c r="BD51" i="64"/>
  <c r="BO30" i="64"/>
  <c r="BC32" i="64"/>
  <c r="BC33" i="64"/>
  <c r="BC15" i="64"/>
  <c r="BO12" i="64"/>
  <c r="BC14" i="64"/>
  <c r="BG15" i="64"/>
  <c r="BG14" i="64"/>
  <c r="BS12" i="64"/>
  <c r="BI51" i="64"/>
  <c r="BU49" i="64"/>
  <c r="BI52" i="64"/>
  <c r="AX54" i="64"/>
  <c r="BG51" i="64"/>
  <c r="BG52" i="64"/>
  <c r="BS49" i="64"/>
  <c r="AZ49" i="64"/>
  <c r="AN51" i="64"/>
  <c r="AN52" i="64"/>
  <c r="BQ44" i="64"/>
  <c r="BQ45" i="64"/>
  <c r="CC42" i="64"/>
  <c r="AT54" i="64"/>
  <c r="AJ98" i="60"/>
  <c r="BM18" i="64"/>
  <c r="BA20" i="64"/>
  <c r="BA21" i="64"/>
  <c r="BB21" i="64"/>
  <c r="BN18" i="64"/>
  <c r="BB20" i="64"/>
  <c r="BQ30" i="64"/>
  <c r="BE32" i="64"/>
  <c r="BE33" i="64"/>
  <c r="AG98" i="60"/>
  <c r="BF26" i="64"/>
  <c r="BR24" i="64"/>
  <c r="BF27" i="64"/>
  <c r="BD32" i="64"/>
  <c r="BP30" i="64"/>
  <c r="BD33" i="64"/>
  <c r="AS54" i="64"/>
  <c r="BO24" i="64"/>
  <c r="BC27" i="64"/>
  <c r="BC26" i="64"/>
  <c r="AD98" i="60"/>
  <c r="BS45" i="64"/>
  <c r="CE42" i="64"/>
  <c r="BS44" i="64"/>
  <c r="BS30" i="64"/>
  <c r="BG32" i="64"/>
  <c r="BG33" i="64"/>
  <c r="AL98" i="60"/>
  <c r="BV44" i="64"/>
  <c r="CH42" i="64"/>
  <c r="BV45" i="64"/>
  <c r="BV49" i="64"/>
  <c r="BJ51" i="64"/>
  <c r="BJ52" i="64"/>
  <c r="BD15" i="64"/>
  <c r="BD14" i="64"/>
  <c r="BP12" i="64"/>
  <c r="AZ33" i="64"/>
  <c r="AZ32" i="64"/>
  <c r="BL30" i="64"/>
  <c r="BE27" i="64"/>
  <c r="BQ24" i="64"/>
  <c r="BE26" i="64"/>
  <c r="BM12" i="64"/>
  <c r="BA14" i="64"/>
  <c r="BA15" i="64"/>
  <c r="BD26" i="64"/>
  <c r="BD27" i="64"/>
  <c r="BP24" i="64"/>
  <c r="BH33" i="64"/>
  <c r="BH32" i="64"/>
  <c r="BT30" i="64"/>
  <c r="BJ27" i="64"/>
  <c r="BJ26" i="64"/>
  <c r="BV24" i="64"/>
  <c r="BH15" i="64"/>
  <c r="BT12" i="64"/>
  <c r="BH14" i="64"/>
  <c r="BL45" i="64"/>
  <c r="BL44" i="64"/>
  <c r="BX42" i="64"/>
  <c r="BN12" i="64"/>
  <c r="BB15" i="64"/>
  <c r="BB14" i="64"/>
  <c r="BS18" i="64"/>
  <c r="BG21" i="64"/>
  <c r="BG20" i="64"/>
  <c r="BM49" i="64"/>
  <c r="BA51" i="64"/>
  <c r="BA52" i="64"/>
  <c r="AU54" i="64"/>
  <c r="BH39" i="64"/>
  <c r="BT36" i="64"/>
  <c r="BH38" i="64"/>
  <c r="BI32" i="64"/>
  <c r="BU30" i="64"/>
  <c r="BI33" i="64"/>
  <c r="BY42" i="64"/>
  <c r="BM45" i="64"/>
  <c r="BM44" i="64"/>
  <c r="BT24" i="64"/>
  <c r="BH26" i="64"/>
  <c r="BH27" i="64"/>
  <c r="AN26" i="64"/>
  <c r="AN27" i="64"/>
  <c r="AZ24" i="64"/>
  <c r="BR36" i="64"/>
  <c r="BF39" i="64"/>
  <c r="BF38" i="64"/>
  <c r="AY54" i="64"/>
  <c r="BW24" i="64"/>
  <c r="BK26" i="64"/>
  <c r="BK27" i="64"/>
  <c r="AZ14" i="64"/>
  <c r="AZ15" i="64"/>
  <c r="BL12" i="64"/>
  <c r="BP36" i="64"/>
  <c r="BD39" i="64"/>
  <c r="BD38" i="64"/>
  <c r="AK98" i="60"/>
  <c r="CG42" i="64"/>
  <c r="BU44" i="64"/>
  <c r="BU45" i="64"/>
  <c r="AZ38" i="64"/>
  <c r="BL36" i="64"/>
  <c r="AZ39" i="64"/>
  <c r="BP44" i="64"/>
  <c r="BP45" i="64"/>
  <c r="CB42" i="64"/>
  <c r="BQ49" i="64"/>
  <c r="BE52" i="64"/>
  <c r="BE51" i="64"/>
  <c r="BM36" i="64"/>
  <c r="BA38" i="64"/>
  <c r="BA39" i="64"/>
  <c r="AR54" i="64"/>
  <c r="BN36" i="64"/>
  <c r="BB38" i="64"/>
  <c r="BB39" i="64"/>
  <c r="AO54" i="64"/>
  <c r="AM98" i="60"/>
  <c r="BN44" i="64"/>
  <c r="BN45" i="64"/>
  <c r="BZ42" i="64"/>
  <c r="BV36" i="64"/>
  <c r="BJ39" i="64"/>
  <c r="BJ38" i="64"/>
  <c r="BH21" i="64"/>
  <c r="BT18" i="64"/>
  <c r="BH20" i="64"/>
  <c r="BJ20" i="64"/>
  <c r="BJ21" i="64"/>
  <c r="BV18" i="64"/>
  <c r="AE19" i="72" l="1"/>
  <c r="O99" i="115"/>
  <c r="O99" i="65"/>
  <c r="AD19" i="72"/>
  <c r="N99" i="115"/>
  <c r="N99" i="65"/>
  <c r="AC19" i="72"/>
  <c r="M99" i="115"/>
  <c r="M99" i="65"/>
  <c r="AB19" i="72"/>
  <c r="L99" i="115"/>
  <c r="L99" i="65"/>
  <c r="I19" i="72"/>
  <c r="AA19" i="72"/>
  <c r="K99" i="115"/>
  <c r="K99" i="65"/>
  <c r="Y19" i="72"/>
  <c r="I99" i="115"/>
  <c r="I99" i="65"/>
  <c r="Z19" i="72"/>
  <c r="J99" i="115"/>
  <c r="J99" i="65"/>
  <c r="X19" i="72"/>
  <c r="H99" i="115"/>
  <c r="H99" i="65"/>
  <c r="B314" i="82"/>
  <c r="J313" i="82"/>
  <c r="AP98" i="60"/>
  <c r="AV98" i="60"/>
  <c r="AB98" i="60"/>
  <c r="BD54" i="64"/>
  <c r="AO98" i="60"/>
  <c r="AR98" i="60"/>
  <c r="CB36" i="64"/>
  <c r="BP38" i="64"/>
  <c r="BP39" i="64"/>
  <c r="BZ12" i="64"/>
  <c r="BN15" i="64"/>
  <c r="BN14" i="64"/>
  <c r="BY12" i="64"/>
  <c r="BM14" i="64"/>
  <c r="BM15" i="64"/>
  <c r="BL32" i="64"/>
  <c r="BX30" i="64"/>
  <c r="BL33" i="64"/>
  <c r="CH49" i="64"/>
  <c r="BV52" i="64"/>
  <c r="BV51" i="64"/>
  <c r="BS33" i="64"/>
  <c r="BS32" i="64"/>
  <c r="CE30" i="64"/>
  <c r="CA24" i="64"/>
  <c r="BO27" i="64"/>
  <c r="BO26" i="64"/>
  <c r="BP32" i="64"/>
  <c r="BP33" i="64"/>
  <c r="CB30" i="64"/>
  <c r="BN21" i="64"/>
  <c r="BZ18" i="64"/>
  <c r="BN20" i="64"/>
  <c r="BM21" i="64"/>
  <c r="BM20" i="64"/>
  <c r="BY18" i="64"/>
  <c r="BS51" i="64"/>
  <c r="CE49" i="64"/>
  <c r="BS52" i="64"/>
  <c r="BC54" i="64"/>
  <c r="CC12" i="64"/>
  <c r="BQ15" i="64"/>
  <c r="BQ14" i="64"/>
  <c r="BY30" i="64"/>
  <c r="BM33" i="64"/>
  <c r="BM32" i="64"/>
  <c r="BK54" i="64"/>
  <c r="BZ30" i="64"/>
  <c r="BN33" i="64"/>
  <c r="BN32" i="64"/>
  <c r="CD18" i="64"/>
  <c r="BR20" i="64"/>
  <c r="BR21" i="64"/>
  <c r="BQ20" i="64"/>
  <c r="CC18" i="64"/>
  <c r="BQ21" i="64"/>
  <c r="BI54" i="64"/>
  <c r="CB18" i="64"/>
  <c r="BP20" i="64"/>
  <c r="BP21" i="64"/>
  <c r="CC36" i="64"/>
  <c r="BQ38" i="64"/>
  <c r="BQ39" i="64"/>
  <c r="CH36" i="64"/>
  <c r="BV38" i="64"/>
  <c r="BV39" i="64"/>
  <c r="BL15" i="64"/>
  <c r="BL14" i="64"/>
  <c r="BX12" i="64"/>
  <c r="CF36" i="64"/>
  <c r="BT39" i="64"/>
  <c r="BT38" i="64"/>
  <c r="CE18" i="64"/>
  <c r="BS20" i="64"/>
  <c r="BS21" i="64"/>
  <c r="BX45" i="64"/>
  <c r="BX44" i="64"/>
  <c r="BT15" i="64"/>
  <c r="BT14" i="64"/>
  <c r="CF12" i="64"/>
  <c r="BQ33" i="64"/>
  <c r="BQ32" i="64"/>
  <c r="CC30" i="64"/>
  <c r="AT98" i="60"/>
  <c r="BG54" i="64"/>
  <c r="BU52" i="64"/>
  <c r="CG49" i="64"/>
  <c r="BU51" i="64"/>
  <c r="BM27" i="64"/>
  <c r="BY24" i="64"/>
  <c r="BM26" i="64"/>
  <c r="BN52" i="64"/>
  <c r="BN51" i="64"/>
  <c r="BZ49" i="64"/>
  <c r="CI12" i="64"/>
  <c r="BW15" i="64"/>
  <c r="BW14" i="64"/>
  <c r="BJ54" i="64"/>
  <c r="CE24" i="64"/>
  <c r="BS27" i="64"/>
  <c r="BS26" i="64"/>
  <c r="BO21" i="64"/>
  <c r="CA18" i="64"/>
  <c r="BO20" i="64"/>
  <c r="BW20" i="64"/>
  <c r="CI18" i="64"/>
  <c r="BW21" i="64"/>
  <c r="BO51" i="64"/>
  <c r="BO52" i="64"/>
  <c r="CA49" i="64"/>
  <c r="BU20" i="64"/>
  <c r="BU21" i="64"/>
  <c r="CG18" i="64"/>
  <c r="CG12" i="64"/>
  <c r="BU14" i="64"/>
  <c r="BU15" i="64"/>
  <c r="BL18" i="64"/>
  <c r="AZ20" i="64"/>
  <c r="AZ21" i="64"/>
  <c r="BW52" i="64"/>
  <c r="CI49" i="64"/>
  <c r="BW51" i="64"/>
  <c r="BT21" i="64"/>
  <c r="BT20" i="64"/>
  <c r="CF18" i="64"/>
  <c r="CI24" i="64"/>
  <c r="BW26" i="64"/>
  <c r="BW27" i="64"/>
  <c r="CD36" i="64"/>
  <c r="BR38" i="64"/>
  <c r="BR39" i="64"/>
  <c r="BY45" i="64"/>
  <c r="BY44" i="64"/>
  <c r="BU33" i="64"/>
  <c r="CG30" i="64"/>
  <c r="BU32" i="64"/>
  <c r="BM51" i="64"/>
  <c r="BY49" i="64"/>
  <c r="BM52" i="64"/>
  <c r="BH54" i="64"/>
  <c r="BT32" i="64"/>
  <c r="BT33" i="64"/>
  <c r="CF30" i="64"/>
  <c r="BA54" i="64"/>
  <c r="CC24" i="64"/>
  <c r="BQ26" i="64"/>
  <c r="BQ27" i="64"/>
  <c r="CH45" i="64"/>
  <c r="CH44" i="64"/>
  <c r="CE45" i="64"/>
  <c r="CE44" i="64"/>
  <c r="AS98" i="60"/>
  <c r="CC45" i="64"/>
  <c r="CC44" i="64"/>
  <c r="BP51" i="64"/>
  <c r="CB49" i="64"/>
  <c r="BP52" i="64"/>
  <c r="BW32" i="64"/>
  <c r="CI30" i="64"/>
  <c r="BW33" i="64"/>
  <c r="AW98" i="60"/>
  <c r="BF54" i="64"/>
  <c r="BR52" i="64"/>
  <c r="CD49" i="64"/>
  <c r="BR51" i="64"/>
  <c r="CD44" i="64"/>
  <c r="CD45" i="64"/>
  <c r="AN54" i="64"/>
  <c r="BZ45" i="64"/>
  <c r="BZ44" i="64"/>
  <c r="BQ51" i="64"/>
  <c r="CC49" i="64"/>
  <c r="BQ52" i="64"/>
  <c r="BV20" i="64"/>
  <c r="CH18" i="64"/>
  <c r="BV21" i="64"/>
  <c r="BZ36" i="64"/>
  <c r="BN38" i="64"/>
  <c r="BN39" i="64"/>
  <c r="BM38" i="64"/>
  <c r="BM39" i="64"/>
  <c r="BY36" i="64"/>
  <c r="CB45" i="64"/>
  <c r="CB44" i="64"/>
  <c r="BL38" i="64"/>
  <c r="BX36" i="64"/>
  <c r="BL39" i="64"/>
  <c r="CG44" i="64"/>
  <c r="CG45" i="64"/>
  <c r="AY98" i="60"/>
  <c r="BL24" i="64"/>
  <c r="AZ27" i="64"/>
  <c r="AZ26" i="64"/>
  <c r="BT26" i="64"/>
  <c r="BT27" i="64"/>
  <c r="CF24" i="64"/>
  <c r="AU98" i="60"/>
  <c r="BB54" i="64"/>
  <c r="BV27" i="64"/>
  <c r="CH24" i="64"/>
  <c r="BV26" i="64"/>
  <c r="BP26" i="64"/>
  <c r="CB24" i="64"/>
  <c r="BP27" i="64"/>
  <c r="BP14" i="64"/>
  <c r="CB12" i="64"/>
  <c r="BP15" i="64"/>
  <c r="BR27" i="64"/>
  <c r="CD24" i="64"/>
  <c r="BR26" i="64"/>
  <c r="AZ51" i="64"/>
  <c r="BL49" i="64"/>
  <c r="AZ52" i="64"/>
  <c r="AX98" i="60"/>
  <c r="CE12" i="64"/>
  <c r="BS15" i="64"/>
  <c r="BS14" i="64"/>
  <c r="BO15" i="64"/>
  <c r="BO14" i="64"/>
  <c r="CA12" i="64"/>
  <c r="BO32" i="64"/>
  <c r="CA30" i="64"/>
  <c r="BO33" i="64"/>
  <c r="CF44" i="64"/>
  <c r="CF45" i="64"/>
  <c r="BN26" i="64"/>
  <c r="BZ24" i="64"/>
  <c r="BN27" i="64"/>
  <c r="CD12" i="64"/>
  <c r="BR14" i="64"/>
  <c r="BR15" i="64"/>
  <c r="CH12" i="64"/>
  <c r="BV14" i="64"/>
  <c r="BV15" i="64"/>
  <c r="CH30" i="64"/>
  <c r="BV33" i="64"/>
  <c r="BV32" i="64"/>
  <c r="AQ98" i="60"/>
  <c r="BS39" i="64"/>
  <c r="BS38" i="64"/>
  <c r="CE36" i="64"/>
  <c r="BU38" i="64"/>
  <c r="CG36" i="64"/>
  <c r="BU39" i="64"/>
  <c r="BR33" i="64"/>
  <c r="CD30" i="64"/>
  <c r="BR32" i="64"/>
  <c r="CA45" i="64"/>
  <c r="CA44" i="64"/>
  <c r="BW38" i="64"/>
  <c r="CI36" i="64"/>
  <c r="BW39" i="64"/>
  <c r="BO38" i="64"/>
  <c r="BO39" i="64"/>
  <c r="CA36" i="64"/>
  <c r="BE54" i="64"/>
  <c r="CF49" i="64"/>
  <c r="BT51" i="64"/>
  <c r="BT52" i="64"/>
  <c r="BU27" i="64"/>
  <c r="CG24" i="64"/>
  <c r="BU26" i="64"/>
  <c r="CI45" i="64"/>
  <c r="CI44" i="64"/>
  <c r="O19" i="72" l="1"/>
  <c r="W19" i="72"/>
  <c r="AF19" i="72" s="1"/>
  <c r="G99" i="115"/>
  <c r="P99" i="115" s="1"/>
  <c r="G99" i="65"/>
  <c r="B315" i="82"/>
  <c r="J314" i="82"/>
  <c r="BD98" i="60"/>
  <c r="CD33" i="64"/>
  <c r="CD32" i="64"/>
  <c r="CH26" i="64"/>
  <c r="CH27" i="64"/>
  <c r="CH21" i="64"/>
  <c r="CH20" i="64"/>
  <c r="BF98" i="60"/>
  <c r="CI33" i="64"/>
  <c r="CI32" i="64"/>
  <c r="BA98" i="60"/>
  <c r="CF33" i="64"/>
  <c r="CF32" i="64"/>
  <c r="CG33" i="64"/>
  <c r="CG32" i="64"/>
  <c r="CD39" i="64"/>
  <c r="CD38" i="64"/>
  <c r="CF20" i="64"/>
  <c r="CF21" i="64"/>
  <c r="CI52" i="64"/>
  <c r="CI51" i="64"/>
  <c r="BL21" i="64"/>
  <c r="BL20" i="64"/>
  <c r="BX18" i="64"/>
  <c r="CA21" i="64"/>
  <c r="CA20" i="64"/>
  <c r="CF14" i="64"/>
  <c r="CF15" i="64"/>
  <c r="CH38" i="64"/>
  <c r="CH39" i="64"/>
  <c r="CB20" i="64"/>
  <c r="CB21" i="64"/>
  <c r="BQ54" i="64"/>
  <c r="CE51" i="64"/>
  <c r="CE52" i="64"/>
  <c r="CA27" i="64"/>
  <c r="CA26" i="64"/>
  <c r="CH52" i="64"/>
  <c r="CH51" i="64"/>
  <c r="BM54" i="64"/>
  <c r="BN54" i="64"/>
  <c r="CG39" i="64"/>
  <c r="CG38" i="64"/>
  <c r="CH14" i="64"/>
  <c r="CH15" i="64"/>
  <c r="CE38" i="64"/>
  <c r="CE39" i="64"/>
  <c r="CA14" i="64"/>
  <c r="CA15" i="64"/>
  <c r="BP54" i="64"/>
  <c r="CB27" i="64"/>
  <c r="CB26" i="64"/>
  <c r="BX39" i="64"/>
  <c r="BX38" i="64"/>
  <c r="BY39" i="64"/>
  <c r="BY38" i="64"/>
  <c r="BY52" i="64"/>
  <c r="BY51" i="64"/>
  <c r="BU54" i="64"/>
  <c r="CA51" i="64"/>
  <c r="CA52" i="64"/>
  <c r="CI20" i="64"/>
  <c r="CI21" i="64"/>
  <c r="CE27" i="64"/>
  <c r="CE26" i="64"/>
  <c r="CG51" i="64"/>
  <c r="CG52" i="64"/>
  <c r="CC33" i="64"/>
  <c r="CC32" i="64"/>
  <c r="CC21" i="64"/>
  <c r="CC20" i="64"/>
  <c r="CD20" i="64"/>
  <c r="CD21" i="64"/>
  <c r="CC14" i="64"/>
  <c r="CC15" i="64"/>
  <c r="CE32" i="64"/>
  <c r="CE33" i="64"/>
  <c r="BZ14" i="64"/>
  <c r="BZ15" i="64"/>
  <c r="CF52" i="64"/>
  <c r="CF51" i="64"/>
  <c r="BR54" i="64"/>
  <c r="BV54" i="64"/>
  <c r="BZ27" i="64"/>
  <c r="BZ26" i="64"/>
  <c r="CE15" i="64"/>
  <c r="CE14" i="64"/>
  <c r="CD26" i="64"/>
  <c r="CD27" i="64"/>
  <c r="CB14" i="64"/>
  <c r="CB15" i="64"/>
  <c r="BB98" i="60"/>
  <c r="CF27" i="64"/>
  <c r="CF26" i="64"/>
  <c r="BZ38" i="64"/>
  <c r="BZ39" i="64"/>
  <c r="CD51" i="64"/>
  <c r="CD52" i="64"/>
  <c r="AZ54" i="64"/>
  <c r="CG21" i="64"/>
  <c r="CG20" i="64"/>
  <c r="BJ98" i="60"/>
  <c r="BW54" i="64"/>
  <c r="BZ52" i="64"/>
  <c r="BZ51" i="64"/>
  <c r="BY27" i="64"/>
  <c r="BY26" i="64"/>
  <c r="BT54" i="64"/>
  <c r="CF38" i="64"/>
  <c r="CF39" i="64"/>
  <c r="CC38" i="64"/>
  <c r="CC39" i="64"/>
  <c r="BY32" i="64"/>
  <c r="BY33" i="64"/>
  <c r="BC98" i="60"/>
  <c r="BY20" i="64"/>
  <c r="BY21" i="64"/>
  <c r="BZ21" i="64"/>
  <c r="BZ20" i="64"/>
  <c r="BX32" i="64"/>
  <c r="BX33" i="64"/>
  <c r="BY15" i="64"/>
  <c r="BY14" i="64"/>
  <c r="CH33" i="64"/>
  <c r="CH32" i="64"/>
  <c r="BE98" i="60"/>
  <c r="CG26" i="64"/>
  <c r="CG27" i="64"/>
  <c r="CA38" i="64"/>
  <c r="CA39" i="64"/>
  <c r="CI38" i="64"/>
  <c r="CI39" i="64"/>
  <c r="CD15" i="64"/>
  <c r="CD14" i="64"/>
  <c r="CA32" i="64"/>
  <c r="CA33" i="64"/>
  <c r="BO54" i="64"/>
  <c r="BL52" i="64"/>
  <c r="BL51" i="64"/>
  <c r="BX49" i="64"/>
  <c r="BL26" i="64"/>
  <c r="BX24" i="64"/>
  <c r="BL27" i="64"/>
  <c r="CC52" i="64"/>
  <c r="CC51" i="64"/>
  <c r="AN98" i="60"/>
  <c r="CB52" i="64"/>
  <c r="CB51" i="64"/>
  <c r="CC26" i="64"/>
  <c r="CC27" i="64"/>
  <c r="BH98" i="60"/>
  <c r="CI26" i="64"/>
  <c r="CI27" i="64"/>
  <c r="CG14" i="64"/>
  <c r="CG15" i="64"/>
  <c r="CI14" i="64"/>
  <c r="CI15" i="64"/>
  <c r="BG98" i="60"/>
  <c r="CE20" i="64"/>
  <c r="CE21" i="64"/>
  <c r="BX14" i="64"/>
  <c r="BX15" i="64"/>
  <c r="BI98" i="60"/>
  <c r="BZ32" i="64"/>
  <c r="BZ33" i="64"/>
  <c r="BK98" i="60"/>
  <c r="BS54" i="64"/>
  <c r="CB32" i="64"/>
  <c r="CB33" i="64"/>
  <c r="CB39" i="64"/>
  <c r="CB38" i="64"/>
  <c r="B316" i="82" l="1"/>
  <c r="J315" i="82"/>
  <c r="P99" i="65"/>
  <c r="F57" i="61" s="1"/>
  <c r="CG54" i="64"/>
  <c r="BY54" i="64"/>
  <c r="CD54" i="64"/>
  <c r="CD98" i="60" s="1"/>
  <c r="CI54" i="64"/>
  <c r="CI98" i="60" s="1"/>
  <c r="BX26" i="64"/>
  <c r="BX27" i="64"/>
  <c r="BR98" i="60"/>
  <c r="BP98" i="60"/>
  <c r="CF54" i="64"/>
  <c r="BL54" i="64"/>
  <c r="BO98" i="60"/>
  <c r="BT98" i="60"/>
  <c r="AZ98" i="60"/>
  <c r="CC54" i="64"/>
  <c r="BU98" i="60"/>
  <c r="CA54" i="64"/>
  <c r="CH54" i="64"/>
  <c r="BX51" i="64"/>
  <c r="BX52" i="64"/>
  <c r="BW98" i="60"/>
  <c r="CB54" i="64"/>
  <c r="BV98" i="60"/>
  <c r="BN98" i="60"/>
  <c r="BX21" i="64"/>
  <c r="BX20" i="64"/>
  <c r="BS98" i="60"/>
  <c r="BZ54" i="64"/>
  <c r="BM98" i="60"/>
  <c r="CE54" i="64"/>
  <c r="BQ98" i="60"/>
  <c r="P42" i="91" l="1"/>
  <c r="B317" i="82"/>
  <c r="J316" i="82"/>
  <c r="P42" i="76"/>
  <c r="BY98" i="60"/>
  <c r="CG98" i="60"/>
  <c r="BX54" i="64"/>
  <c r="CB98" i="60"/>
  <c r="CA98" i="60"/>
  <c r="CC98" i="60"/>
  <c r="CE98" i="60"/>
  <c r="BL98" i="60"/>
  <c r="BZ98" i="60"/>
  <c r="CH98" i="60"/>
  <c r="CF98" i="60"/>
  <c r="B318" i="82" l="1"/>
  <c r="J317" i="82"/>
  <c r="BX98" i="60"/>
  <c r="B319" i="82" l="1"/>
  <c r="J318" i="82"/>
  <c r="B320" i="82" l="1"/>
  <c r="J319" i="82"/>
  <c r="B321" i="82" l="1"/>
  <c r="J320" i="82"/>
  <c r="B322" i="82" l="1"/>
  <c r="J321" i="82"/>
  <c r="B323" i="82" l="1"/>
  <c r="J322" i="82"/>
  <c r="B324" i="82" l="1"/>
  <c r="J323" i="82"/>
  <c r="B325" i="82" l="1"/>
  <c r="J324" i="82"/>
  <c r="B326" i="82" l="1"/>
  <c r="J325" i="82"/>
  <c r="B327" i="82" l="1"/>
  <c r="J326" i="82"/>
  <c r="B328" i="82" l="1"/>
  <c r="J327" i="82"/>
  <c r="B329" i="82" l="1"/>
  <c r="J328" i="82"/>
  <c r="B330" i="82" l="1"/>
  <c r="J329" i="82"/>
  <c r="B331" i="82" l="1"/>
  <c r="J330" i="82"/>
  <c r="B332" i="82" l="1"/>
  <c r="J331" i="82"/>
  <c r="B333" i="82" l="1"/>
  <c r="J332" i="82"/>
  <c r="B334" i="82" l="1"/>
  <c r="J333" i="82"/>
  <c r="B335" i="82" l="1"/>
  <c r="J334" i="82"/>
  <c r="B336" i="82" l="1"/>
  <c r="J335" i="82"/>
  <c r="B337" i="82" l="1"/>
  <c r="J336" i="82"/>
  <c r="B338" i="82" l="1"/>
  <c r="J337" i="82"/>
  <c r="B339" i="82" l="1"/>
  <c r="J338" i="82"/>
  <c r="B340" i="82" l="1"/>
  <c r="J339" i="82"/>
  <c r="B341" i="82" l="1"/>
  <c r="J340" i="82"/>
  <c r="B342" i="82" l="1"/>
  <c r="J341" i="82"/>
  <c r="B343" i="82" l="1"/>
  <c r="J342" i="82"/>
  <c r="B344" i="82" l="1"/>
  <c r="J343" i="82"/>
  <c r="B345" i="82" l="1"/>
  <c r="J344" i="82"/>
  <c r="B346" i="82" l="1"/>
  <c r="J345" i="82"/>
  <c r="B347" i="82" l="1"/>
  <c r="J346" i="82"/>
  <c r="B348" i="82" l="1"/>
  <c r="J347" i="82"/>
  <c r="B349" i="82" l="1"/>
  <c r="J348" i="82"/>
  <c r="B350" i="82" l="1"/>
  <c r="J349" i="82"/>
  <c r="B351" i="82" l="1"/>
  <c r="J350" i="82"/>
  <c r="B352" i="82" l="1"/>
  <c r="J351" i="82"/>
  <c r="B353" i="82" l="1"/>
  <c r="J352" i="82"/>
  <c r="B354" i="82" l="1"/>
  <c r="J353" i="82"/>
  <c r="B355" i="82" l="1"/>
  <c r="J354" i="82"/>
  <c r="B356" i="82" l="1"/>
  <c r="J355" i="82"/>
  <c r="B357" i="82" l="1"/>
  <c r="J356" i="82"/>
  <c r="B358" i="82" l="1"/>
  <c r="J357" i="82"/>
  <c r="B359" i="82" l="1"/>
  <c r="J358" i="82"/>
  <c r="B360" i="82" l="1"/>
  <c r="J359" i="82"/>
  <c r="B361" i="82" l="1"/>
  <c r="J360" i="82"/>
  <c r="B362" i="82" l="1"/>
  <c r="J361" i="82"/>
  <c r="B363" i="82" l="1"/>
  <c r="J362" i="82"/>
  <c r="B364" i="82" l="1"/>
  <c r="J363" i="82"/>
  <c r="B365" i="82" l="1"/>
  <c r="J364" i="82"/>
  <c r="B366" i="82" l="1"/>
  <c r="J365" i="82"/>
  <c r="B367" i="82" l="1"/>
  <c r="J366" i="82"/>
  <c r="B368" i="82" l="1"/>
  <c r="J367" i="82"/>
  <c r="B369" i="82" l="1"/>
  <c r="J368" i="82"/>
  <c r="B370" i="82" l="1"/>
  <c r="J369" i="82"/>
  <c r="B371" i="82" l="1"/>
  <c r="J370" i="82"/>
  <c r="B372" i="82" l="1"/>
  <c r="J371" i="82"/>
  <c r="B373" i="82" l="1"/>
  <c r="J372" i="82"/>
  <c r="B374" i="82" l="1"/>
  <c r="J373" i="82"/>
  <c r="B375" i="82" l="1"/>
  <c r="J374" i="82"/>
  <c r="B376" i="82" l="1"/>
  <c r="J375" i="82"/>
  <c r="B377" i="82" l="1"/>
  <c r="J376" i="82"/>
  <c r="B378" i="82" l="1"/>
  <c r="J377" i="82"/>
  <c r="B379" i="82" l="1"/>
  <c r="J378" i="82"/>
  <c r="B380" i="82" l="1"/>
  <c r="J379" i="82"/>
  <c r="B381" i="82" l="1"/>
  <c r="J380" i="82"/>
  <c r="B382" i="82" l="1"/>
  <c r="J381" i="82"/>
  <c r="B383" i="82" l="1"/>
  <c r="J382" i="82"/>
  <c r="B384" i="82" l="1"/>
  <c r="J383" i="82"/>
  <c r="B385" i="82" l="1"/>
  <c r="J384" i="82"/>
  <c r="B386" i="82" l="1"/>
  <c r="J385" i="82"/>
  <c r="B387" i="82" l="1"/>
  <c r="J386" i="82"/>
  <c r="B388" i="82" l="1"/>
  <c r="J387" i="82"/>
  <c r="B389" i="82" l="1"/>
  <c r="J388" i="82"/>
  <c r="B390" i="82" l="1"/>
  <c r="J389" i="82"/>
  <c r="B391" i="82" l="1"/>
  <c r="J390" i="82"/>
  <c r="B392" i="82" l="1"/>
  <c r="J391" i="82"/>
  <c r="B393" i="82" l="1"/>
  <c r="J392" i="82"/>
  <c r="B394" i="82" l="1"/>
  <c r="J393" i="82"/>
  <c r="B395" i="82" l="1"/>
  <c r="J394" i="82"/>
  <c r="B396" i="82" l="1"/>
  <c r="J395" i="82"/>
  <c r="B397" i="82" l="1"/>
  <c r="J396" i="82"/>
  <c r="B398" i="82" l="1"/>
  <c r="J397" i="82"/>
  <c r="B399" i="82" l="1"/>
  <c r="J398" i="82"/>
  <c r="B400" i="82" l="1"/>
  <c r="J399" i="82"/>
  <c r="B401" i="82" l="1"/>
  <c r="J400" i="82"/>
  <c r="B402" i="82" l="1"/>
  <c r="J401" i="82"/>
  <c r="B403" i="82" l="1"/>
  <c r="J402" i="82"/>
  <c r="B404" i="82" l="1"/>
  <c r="J403" i="82"/>
  <c r="B405" i="82" l="1"/>
  <c r="J404" i="82"/>
  <c r="B406" i="82" l="1"/>
  <c r="J405" i="82"/>
  <c r="B407" i="82" l="1"/>
  <c r="J406" i="82"/>
  <c r="B408" i="82" l="1"/>
  <c r="J407" i="82"/>
  <c r="B409" i="82" l="1"/>
  <c r="J408" i="82"/>
  <c r="B410" i="82" l="1"/>
  <c r="J409" i="82"/>
  <c r="B411" i="82" l="1"/>
  <c r="J410" i="82"/>
  <c r="B412" i="82" l="1"/>
  <c r="J411" i="82"/>
  <c r="B413" i="82" l="1"/>
  <c r="J412" i="82"/>
  <c r="B414" i="82" l="1"/>
  <c r="J413" i="82"/>
  <c r="B415" i="82" l="1"/>
  <c r="J414" i="82"/>
  <c r="B416" i="82" l="1"/>
  <c r="J415" i="82"/>
  <c r="B417" i="82" l="1"/>
  <c r="J416" i="82"/>
  <c r="B418" i="82" l="1"/>
  <c r="J417" i="82"/>
  <c r="B419" i="82" l="1"/>
  <c r="J418" i="82"/>
  <c r="B420" i="82" l="1"/>
  <c r="J419" i="82"/>
  <c r="B421" i="82" l="1"/>
  <c r="J420" i="82"/>
  <c r="B422" i="82" l="1"/>
  <c r="J421" i="82"/>
  <c r="B423" i="82" l="1"/>
  <c r="J422" i="82"/>
  <c r="B424" i="82" l="1"/>
  <c r="J423" i="82"/>
  <c r="B425" i="82" l="1"/>
  <c r="J424" i="82"/>
  <c r="B426" i="82" l="1"/>
  <c r="J425" i="82"/>
  <c r="B427" i="82" l="1"/>
  <c r="J426" i="82"/>
  <c r="B428" i="82" l="1"/>
  <c r="J427" i="82"/>
  <c r="B429" i="82" l="1"/>
  <c r="J428" i="82"/>
  <c r="B430" i="82" l="1"/>
  <c r="J429" i="82"/>
  <c r="B431" i="82" l="1"/>
  <c r="J430" i="82"/>
  <c r="B432" i="82" l="1"/>
  <c r="J431" i="82"/>
  <c r="B433" i="82" l="1"/>
  <c r="J432" i="82"/>
  <c r="B434" i="82" l="1"/>
  <c r="J433" i="82"/>
  <c r="B435" i="82" l="1"/>
  <c r="J434" i="82"/>
  <c r="B436" i="82" l="1"/>
  <c r="J435" i="82"/>
  <c r="B437" i="82" l="1"/>
  <c r="J436" i="82"/>
  <c r="B438" i="82" l="1"/>
  <c r="J437" i="82"/>
  <c r="B439" i="82" l="1"/>
  <c r="J438" i="82"/>
  <c r="B440" i="82" l="1"/>
  <c r="J439" i="82"/>
  <c r="B441" i="82" l="1"/>
  <c r="J440" i="82"/>
  <c r="B442" i="82" l="1"/>
  <c r="J441" i="82"/>
  <c r="B443" i="82" l="1"/>
  <c r="J442" i="82"/>
  <c r="B444" i="82" l="1"/>
  <c r="J443" i="82"/>
  <c r="B445" i="82" l="1"/>
  <c r="J444" i="82"/>
  <c r="B446" i="82" l="1"/>
  <c r="J445" i="82"/>
  <c r="B447" i="82" l="1"/>
  <c r="J446" i="82"/>
  <c r="B448" i="82" l="1"/>
  <c r="J447" i="82"/>
  <c r="B449" i="82" l="1"/>
  <c r="J448" i="82"/>
  <c r="B450" i="82" l="1"/>
  <c r="J449" i="82"/>
  <c r="B451" i="82" l="1"/>
  <c r="J450" i="82"/>
  <c r="B452" i="82" l="1"/>
  <c r="J451" i="82"/>
  <c r="B453" i="82" l="1"/>
  <c r="J452" i="82"/>
  <c r="B454" i="82" l="1"/>
  <c r="J453" i="82"/>
  <c r="B455" i="82" l="1"/>
  <c r="J454" i="82"/>
  <c r="B456" i="82" l="1"/>
  <c r="J455" i="82"/>
  <c r="J456" i="82" l="1"/>
  <c r="H52" i="82"/>
  <c r="E16" i="82" s="1"/>
  <c r="H48" i="82"/>
  <c r="G55" i="82"/>
  <c r="C19" i="82" s="1"/>
  <c r="G50" i="82"/>
  <c r="C14" i="82" s="1"/>
  <c r="H53" i="82"/>
  <c r="E17" i="82" s="1"/>
  <c r="G51" i="82"/>
  <c r="C15" i="82" s="1"/>
  <c r="H56" i="82"/>
  <c r="E20" i="82" s="1"/>
  <c r="G54" i="82"/>
  <c r="C18" i="82" s="1"/>
  <c r="G56" i="82"/>
  <c r="C20" i="82" s="1"/>
  <c r="G52" i="82"/>
  <c r="C16" i="82" s="1"/>
  <c r="H51" i="82"/>
  <c r="E15" i="82" s="1"/>
  <c r="H58" i="82"/>
  <c r="E22" i="82" s="1"/>
  <c r="H57" i="82"/>
  <c r="E21" i="82" s="1"/>
  <c r="G49" i="82"/>
  <c r="C13" i="82" s="1"/>
  <c r="H50" i="82"/>
  <c r="E14" i="82" s="1"/>
  <c r="H54" i="82"/>
  <c r="E18" i="82" s="1"/>
  <c r="H59" i="82"/>
  <c r="E23" i="82" s="1"/>
  <c r="G58" i="82"/>
  <c r="C22" i="82" s="1"/>
  <c r="G53" i="82"/>
  <c r="C17" i="82" s="1"/>
  <c r="G57" i="82"/>
  <c r="C21" i="82" s="1"/>
  <c r="G48" i="82"/>
  <c r="H55" i="82"/>
  <c r="E19" i="82" s="1"/>
  <c r="G59" i="82"/>
  <c r="C23" i="82" s="1"/>
  <c r="H49" i="82"/>
  <c r="E13" i="82" s="1"/>
  <c r="E13" i="113" l="1"/>
  <c r="F13" i="113"/>
  <c r="K13" i="113"/>
  <c r="J13" i="113"/>
  <c r="H60" i="82"/>
  <c r="E12" i="82"/>
  <c r="C12" i="82"/>
  <c r="C25" i="82" s="1"/>
  <c r="G60" i="82"/>
  <c r="N13" i="113"/>
  <c r="L13" i="113"/>
  <c r="H13" i="113"/>
  <c r="G13" i="113"/>
  <c r="D13" i="113"/>
  <c r="I13" i="113"/>
  <c r="M13" i="113"/>
  <c r="P55" i="82"/>
  <c r="F19" i="82" s="1"/>
  <c r="O53" i="82"/>
  <c r="D17" i="82" s="1"/>
  <c r="O52" i="82"/>
  <c r="D16" i="82" s="1"/>
  <c r="O50" i="82"/>
  <c r="D14" i="82" s="1"/>
  <c r="P54" i="82"/>
  <c r="F18" i="82" s="1"/>
  <c r="P48" i="82"/>
  <c r="O49" i="82"/>
  <c r="D13" i="82" s="1"/>
  <c r="P56" i="82"/>
  <c r="F20" i="82" s="1"/>
  <c r="P59" i="82"/>
  <c r="F23" i="82" s="1"/>
  <c r="P52" i="82"/>
  <c r="F16" i="82" s="1"/>
  <c r="O48" i="82"/>
  <c r="O56" i="82"/>
  <c r="D20" i="82" s="1"/>
  <c r="P50" i="82"/>
  <c r="F14" i="82" s="1"/>
  <c r="O57" i="82"/>
  <c r="D21" i="82" s="1"/>
  <c r="O54" i="82"/>
  <c r="D18" i="82" s="1"/>
  <c r="P49" i="82"/>
  <c r="F13" i="82" s="1"/>
  <c r="O58" i="82"/>
  <c r="D22" i="82" s="1"/>
  <c r="P58" i="82"/>
  <c r="F22" i="82" s="1"/>
  <c r="O51" i="82"/>
  <c r="D15" i="82" s="1"/>
  <c r="P53" i="82"/>
  <c r="F17" i="82" s="1"/>
  <c r="O59" i="82"/>
  <c r="D23" i="82" s="1"/>
  <c r="O55" i="82"/>
  <c r="D19" i="82" s="1"/>
  <c r="P51" i="82"/>
  <c r="F15" i="82" s="1"/>
  <c r="P57" i="82"/>
  <c r="F21" i="82" s="1"/>
  <c r="J15" i="113" l="1"/>
  <c r="V15" i="113" s="1"/>
  <c r="AH15" i="113" s="1"/>
  <c r="AT15" i="113" s="1"/>
  <c r="BF15" i="113" s="1"/>
  <c r="BR15" i="113" s="1"/>
  <c r="CD15" i="113" s="1"/>
  <c r="F14" i="113"/>
  <c r="R14" i="113" s="1"/>
  <c r="F15" i="113"/>
  <c r="R15" i="113" s="1"/>
  <c r="AD15" i="113" s="1"/>
  <c r="AP15" i="113" s="1"/>
  <c r="BB15" i="113" s="1"/>
  <c r="BN15" i="113" s="1"/>
  <c r="BZ15" i="113" s="1"/>
  <c r="I15" i="113"/>
  <c r="U15" i="113" s="1"/>
  <c r="AG15" i="113" s="1"/>
  <c r="AS15" i="113" s="1"/>
  <c r="BE15" i="113" s="1"/>
  <c r="BQ15" i="113" s="1"/>
  <c r="CC15" i="113" s="1"/>
  <c r="O60" i="82"/>
  <c r="D12" i="82"/>
  <c r="D15" i="113"/>
  <c r="P15" i="113" s="1"/>
  <c r="AB15" i="113" s="1"/>
  <c r="AN15" i="113" s="1"/>
  <c r="AZ15" i="113" s="1"/>
  <c r="BL15" i="113" s="1"/>
  <c r="BX15" i="113" s="1"/>
  <c r="G15" i="113"/>
  <c r="S15" i="113" s="1"/>
  <c r="AE15" i="113" s="1"/>
  <c r="AQ15" i="113" s="1"/>
  <c r="BC15" i="113" s="1"/>
  <c r="BO15" i="113" s="1"/>
  <c r="CA15" i="113" s="1"/>
  <c r="L15" i="113"/>
  <c r="X15" i="113" s="1"/>
  <c r="AJ15" i="113" s="1"/>
  <c r="AV15" i="113" s="1"/>
  <c r="BH15" i="113" s="1"/>
  <c r="BT15" i="113" s="1"/>
  <c r="CF15" i="113" s="1"/>
  <c r="G14" i="113"/>
  <c r="S14" i="113" s="1"/>
  <c r="F12" i="82"/>
  <c r="P60" i="82"/>
  <c r="H15" i="113"/>
  <c r="T15" i="113" s="1"/>
  <c r="AF15" i="113" s="1"/>
  <c r="AR15" i="113" s="1"/>
  <c r="BD15" i="113" s="1"/>
  <c r="BP15" i="113" s="1"/>
  <c r="CB15" i="113" s="1"/>
  <c r="M14" i="113"/>
  <c r="Y14" i="113" s="1"/>
  <c r="N15" i="113"/>
  <c r="Z15" i="113" s="1"/>
  <c r="AL15" i="113" s="1"/>
  <c r="AX15" i="113" s="1"/>
  <c r="BJ15" i="113" s="1"/>
  <c r="BV15" i="113" s="1"/>
  <c r="CH15" i="113" s="1"/>
  <c r="M15" i="113"/>
  <c r="Y15" i="113" s="1"/>
  <c r="AK15" i="113" s="1"/>
  <c r="AW15" i="113" s="1"/>
  <c r="BI15" i="113" s="1"/>
  <c r="BU15" i="113" s="1"/>
  <c r="CG15" i="113" s="1"/>
  <c r="E14" i="113"/>
  <c r="Q14" i="113" s="1"/>
  <c r="N14" i="113"/>
  <c r="Z14" i="113" s="1"/>
  <c r="I14" i="113"/>
  <c r="U14" i="113" s="1"/>
  <c r="J14" i="113"/>
  <c r="V14" i="113" s="1"/>
  <c r="C13" i="113"/>
  <c r="E25" i="82"/>
  <c r="L14" i="113"/>
  <c r="X14" i="113" s="1"/>
  <c r="H14" i="113"/>
  <c r="T14" i="113" s="1"/>
  <c r="D14" i="113"/>
  <c r="P14" i="113" s="1"/>
  <c r="K15" i="113"/>
  <c r="W15" i="113" s="1"/>
  <c r="AI15" i="113" s="1"/>
  <c r="AU15" i="113" s="1"/>
  <c r="BG15" i="113" s="1"/>
  <c r="BS15" i="113" s="1"/>
  <c r="CE15" i="113" s="1"/>
  <c r="K14" i="113"/>
  <c r="W14" i="113" s="1"/>
  <c r="E15" i="113"/>
  <c r="Q15" i="113" s="1"/>
  <c r="AC15" i="113" s="1"/>
  <c r="AO15" i="113" s="1"/>
  <c r="BA15" i="113" s="1"/>
  <c r="BM15" i="113" s="1"/>
  <c r="BY15" i="113" s="1"/>
  <c r="AF14" i="113" l="1"/>
  <c r="AH14" i="113"/>
  <c r="AB14" i="113"/>
  <c r="AC14" i="113"/>
  <c r="AI14" i="113"/>
  <c r="AJ14" i="113"/>
  <c r="AG14" i="113"/>
  <c r="AL14" i="113"/>
  <c r="AK14" i="113"/>
  <c r="AE14" i="113"/>
  <c r="AD14" i="113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C80" i="113"/>
  <c r="C53" i="113"/>
  <c r="C26" i="113"/>
  <c r="C14" i="113"/>
  <c r="O14" i="113" s="1"/>
  <c r="F25" i="82"/>
  <c r="AP14" i="113" l="1"/>
  <c r="AW14" i="113"/>
  <c r="AS14" i="113"/>
  <c r="AU14" i="113"/>
  <c r="AN14" i="113"/>
  <c r="AR14" i="113"/>
  <c r="AQ14" i="113"/>
  <c r="AX14" i="113"/>
  <c r="AV14" i="113"/>
  <c r="AO14" i="113"/>
  <c r="AT14" i="113"/>
  <c r="D80" i="113"/>
  <c r="C81" i="113"/>
  <c r="C87" i="113"/>
  <c r="AA14" i="113"/>
  <c r="C33" i="113"/>
  <c r="D26" i="113"/>
  <c r="C27" i="113"/>
  <c r="I28" i="81"/>
  <c r="H29" i="81"/>
  <c r="H31" i="81" s="1"/>
  <c r="H33" i="81" s="1"/>
  <c r="C60" i="113"/>
  <c r="D53" i="113"/>
  <c r="C54" i="113"/>
  <c r="C56" i="113" s="1"/>
  <c r="C58" i="113" s="1"/>
  <c r="BF14" i="113" l="1"/>
  <c r="BH14" i="113"/>
  <c r="BC14" i="113"/>
  <c r="AZ14" i="113"/>
  <c r="BE14" i="113"/>
  <c r="BB14" i="113"/>
  <c r="BA14" i="113"/>
  <c r="BJ14" i="113"/>
  <c r="BD14" i="113"/>
  <c r="BG14" i="113"/>
  <c r="BI14" i="113"/>
  <c r="C63" i="113"/>
  <c r="C65" i="113" s="1"/>
  <c r="C83" i="113"/>
  <c r="C29" i="113"/>
  <c r="D33" i="113"/>
  <c r="E26" i="113"/>
  <c r="D27" i="113"/>
  <c r="D29" i="113" s="1"/>
  <c r="D31" i="113" s="1"/>
  <c r="D36" i="113" s="1"/>
  <c r="D38" i="113" s="1"/>
  <c r="E13" i="60" s="1"/>
  <c r="AM14" i="113"/>
  <c r="E80" i="113"/>
  <c r="D81" i="113"/>
  <c r="D83" i="113" s="1"/>
  <c r="D85" i="113" s="1"/>
  <c r="D87" i="113"/>
  <c r="D60" i="113"/>
  <c r="D54" i="113"/>
  <c r="D56" i="113" s="1"/>
  <c r="D58" i="113" s="1"/>
  <c r="D63" i="113" s="1"/>
  <c r="E53" i="113"/>
  <c r="C67" i="113" l="1"/>
  <c r="C66" i="113"/>
  <c r="D23" i="60" s="1"/>
  <c r="BS14" i="113"/>
  <c r="BV14" i="113"/>
  <c r="BN14" i="113"/>
  <c r="BL14" i="113"/>
  <c r="BT14" i="113"/>
  <c r="BU14" i="113"/>
  <c r="BP14" i="113"/>
  <c r="BM14" i="113"/>
  <c r="BQ14" i="113"/>
  <c r="BO14" i="113"/>
  <c r="BR14" i="113"/>
  <c r="C31" i="113"/>
  <c r="C85" i="113"/>
  <c r="C90" i="113" s="1"/>
  <c r="D22" i="60"/>
  <c r="C21" i="55"/>
  <c r="D14" i="55"/>
  <c r="D17" i="55" s="1"/>
  <c r="D90" i="113"/>
  <c r="D94" i="113" s="1"/>
  <c r="E33" i="113"/>
  <c r="E27" i="113"/>
  <c r="F26" i="113"/>
  <c r="E81" i="113"/>
  <c r="E83" i="113" s="1"/>
  <c r="E85" i="113" s="1"/>
  <c r="E90" i="113" s="1"/>
  <c r="F80" i="113"/>
  <c r="E87" i="113"/>
  <c r="AY14" i="113"/>
  <c r="D65" i="113"/>
  <c r="D66" i="113"/>
  <c r="D67" i="113"/>
  <c r="E60" i="113"/>
  <c r="F53" i="113"/>
  <c r="E54" i="113"/>
  <c r="E56" i="113" s="1"/>
  <c r="E58" i="113" s="1"/>
  <c r="D41" i="113"/>
  <c r="C36" i="113" l="1"/>
  <c r="C38" i="113" s="1"/>
  <c r="C14" i="55" s="1"/>
  <c r="C17" i="55" s="1"/>
  <c r="C22" i="55"/>
  <c r="C68" i="113"/>
  <c r="D24" i="60"/>
  <c r="D25" i="60" s="1"/>
  <c r="D27" i="60" s="1"/>
  <c r="CA14" i="113"/>
  <c r="BY14" i="113"/>
  <c r="CG14" i="113"/>
  <c r="BX14" i="113"/>
  <c r="CH14" i="113"/>
  <c r="CD14" i="113"/>
  <c r="CC14" i="113"/>
  <c r="CB14" i="113"/>
  <c r="CF14" i="113"/>
  <c r="BZ14" i="113"/>
  <c r="CE14" i="113"/>
  <c r="C94" i="113"/>
  <c r="D42" i="60" s="1"/>
  <c r="C93" i="113"/>
  <c r="C92" i="113"/>
  <c r="E29" i="113"/>
  <c r="C24" i="55"/>
  <c r="E24" i="60"/>
  <c r="E22" i="60"/>
  <c r="D21" i="55"/>
  <c r="E23" i="60"/>
  <c r="D22" i="55"/>
  <c r="E42" i="60"/>
  <c r="D93" i="113"/>
  <c r="D92" i="113"/>
  <c r="E63" i="113"/>
  <c r="E66" i="113" s="1"/>
  <c r="D68" i="113"/>
  <c r="BK14" i="113"/>
  <c r="F33" i="113"/>
  <c r="G26" i="113"/>
  <c r="F27" i="113"/>
  <c r="F29" i="113" s="1"/>
  <c r="F31" i="113" s="1"/>
  <c r="F36" i="113" s="1"/>
  <c r="F38" i="113" s="1"/>
  <c r="G13" i="60" s="1"/>
  <c r="G80" i="113"/>
  <c r="F81" i="113"/>
  <c r="F87" i="113"/>
  <c r="E16" i="60"/>
  <c r="E11" i="60"/>
  <c r="F60" i="113"/>
  <c r="G53" i="113"/>
  <c r="F54" i="113"/>
  <c r="F56" i="113" s="1"/>
  <c r="F58" i="113" s="1"/>
  <c r="F63" i="113" s="1"/>
  <c r="E92" i="113"/>
  <c r="E94" i="113"/>
  <c r="E93" i="113"/>
  <c r="C41" i="113" l="1"/>
  <c r="D13" i="60"/>
  <c r="D11" i="60" s="1"/>
  <c r="D20" i="60"/>
  <c r="E31" i="113"/>
  <c r="D40" i="60"/>
  <c r="C28" i="55"/>
  <c r="C95" i="113"/>
  <c r="F83" i="113"/>
  <c r="C29" i="55"/>
  <c r="D41" i="60"/>
  <c r="D24" i="55"/>
  <c r="E25" i="60"/>
  <c r="E27" i="60" s="1"/>
  <c r="F40" i="60"/>
  <c r="E28" i="55"/>
  <c r="E41" i="60"/>
  <c r="D29" i="55"/>
  <c r="F41" i="60"/>
  <c r="E29" i="55"/>
  <c r="F23" i="60"/>
  <c r="E22" i="55"/>
  <c r="E40" i="60"/>
  <c r="D28" i="55"/>
  <c r="F42" i="60"/>
  <c r="F14" i="55"/>
  <c r="E65" i="113"/>
  <c r="D95" i="113"/>
  <c r="E67" i="113"/>
  <c r="E18" i="60"/>
  <c r="F67" i="113"/>
  <c r="F65" i="113"/>
  <c r="F66" i="113"/>
  <c r="E95" i="113"/>
  <c r="G60" i="113"/>
  <c r="G54" i="113"/>
  <c r="G56" i="113" s="1"/>
  <c r="G58" i="113" s="1"/>
  <c r="G63" i="113" s="1"/>
  <c r="H53" i="113"/>
  <c r="E20" i="60"/>
  <c r="G33" i="113"/>
  <c r="H26" i="113"/>
  <c r="G27" i="113"/>
  <c r="G29" i="113" s="1"/>
  <c r="G31" i="113" s="1"/>
  <c r="G36" i="113" s="1"/>
  <c r="G38" i="113" s="1"/>
  <c r="H13" i="60" s="1"/>
  <c r="G81" i="113"/>
  <c r="G83" i="113" s="1"/>
  <c r="G85" i="113" s="1"/>
  <c r="H80" i="113"/>
  <c r="G87" i="113"/>
  <c r="F41" i="113"/>
  <c r="BW14" i="113"/>
  <c r="D16" i="60" l="1"/>
  <c r="D18" i="60" s="1"/>
  <c r="E36" i="113"/>
  <c r="E38" i="113" s="1"/>
  <c r="F13" i="60" s="1"/>
  <c r="C31" i="55"/>
  <c r="D38" i="60"/>
  <c r="D43" i="60"/>
  <c r="D45" i="60" s="1"/>
  <c r="F85" i="113"/>
  <c r="F90" i="113" s="1"/>
  <c r="D31" i="55"/>
  <c r="E31" i="55"/>
  <c r="F24" i="60"/>
  <c r="E43" i="60"/>
  <c r="E45" i="60" s="1"/>
  <c r="G22" i="60"/>
  <c r="F21" i="55"/>
  <c r="G24" i="60"/>
  <c r="E38" i="60"/>
  <c r="F22" i="60"/>
  <c r="E21" i="55"/>
  <c r="E24" i="55" s="1"/>
  <c r="G23" i="60"/>
  <c r="F22" i="55"/>
  <c r="G14" i="55"/>
  <c r="G17" i="55" s="1"/>
  <c r="F17" i="55"/>
  <c r="E68" i="113"/>
  <c r="G90" i="113"/>
  <c r="G94" i="113" s="1"/>
  <c r="G41" i="113"/>
  <c r="F68" i="113"/>
  <c r="G16" i="60"/>
  <c r="G11" i="60"/>
  <c r="H33" i="113"/>
  <c r="I26" i="113"/>
  <c r="H27" i="113"/>
  <c r="H29" i="113" s="1"/>
  <c r="H31" i="113" s="1"/>
  <c r="H36" i="113" s="1"/>
  <c r="H38" i="113" s="1"/>
  <c r="I13" i="60" s="1"/>
  <c r="H60" i="113"/>
  <c r="I53" i="113"/>
  <c r="H54" i="113"/>
  <c r="H56" i="113" s="1"/>
  <c r="H58" i="113" s="1"/>
  <c r="H63" i="113" s="1"/>
  <c r="F43" i="60"/>
  <c r="F45" i="60" s="1"/>
  <c r="F38" i="60"/>
  <c r="G65" i="113"/>
  <c r="G66" i="113"/>
  <c r="G67" i="113"/>
  <c r="I80" i="113"/>
  <c r="H81" i="113"/>
  <c r="H83" i="113" s="1"/>
  <c r="H85" i="113" s="1"/>
  <c r="H90" i="113" s="1"/>
  <c r="H87" i="113"/>
  <c r="E14" i="55" l="1"/>
  <c r="E17" i="55" s="1"/>
  <c r="E41" i="113"/>
  <c r="E57" i="64"/>
  <c r="F11" i="60"/>
  <c r="F16" i="60"/>
  <c r="F94" i="113"/>
  <c r="G42" i="60" s="1"/>
  <c r="F93" i="113"/>
  <c r="F92" i="113"/>
  <c r="F57" i="64"/>
  <c r="F24" i="55"/>
  <c r="F25" i="60"/>
  <c r="F27" i="60" s="1"/>
  <c r="G25" i="60"/>
  <c r="G27" i="60" s="1"/>
  <c r="F20" i="60"/>
  <c r="H24" i="60"/>
  <c r="H23" i="60"/>
  <c r="G22" i="55"/>
  <c r="H22" i="60"/>
  <c r="G21" i="55"/>
  <c r="H42" i="60"/>
  <c r="H14" i="55"/>
  <c r="G93" i="113"/>
  <c r="G92" i="113"/>
  <c r="H92" i="113"/>
  <c r="H94" i="113"/>
  <c r="H93" i="113"/>
  <c r="H66" i="113"/>
  <c r="H67" i="113"/>
  <c r="H65" i="113"/>
  <c r="G20" i="60"/>
  <c r="H16" i="60"/>
  <c r="H11" i="60"/>
  <c r="I81" i="113"/>
  <c r="I83" i="113" s="1"/>
  <c r="I85" i="113" s="1"/>
  <c r="I90" i="113" s="1"/>
  <c r="J80" i="113"/>
  <c r="I87" i="113"/>
  <c r="I60" i="113"/>
  <c r="I54" i="113"/>
  <c r="I56" i="113" s="1"/>
  <c r="I58" i="113" s="1"/>
  <c r="I63" i="113" s="1"/>
  <c r="J53" i="113"/>
  <c r="H41" i="113"/>
  <c r="G18" i="60"/>
  <c r="G68" i="113"/>
  <c r="I33" i="113"/>
  <c r="I27" i="113"/>
  <c r="I29" i="113" s="1"/>
  <c r="J26" i="113"/>
  <c r="F18" i="60" l="1"/>
  <c r="F99" i="60"/>
  <c r="F58" i="64"/>
  <c r="E99" i="60"/>
  <c r="E58" i="64"/>
  <c r="I31" i="113"/>
  <c r="G40" i="60"/>
  <c r="F28" i="55"/>
  <c r="F95" i="113"/>
  <c r="F29" i="55"/>
  <c r="G41" i="60"/>
  <c r="G24" i="55"/>
  <c r="G57" i="64"/>
  <c r="I23" i="60"/>
  <c r="H22" i="55"/>
  <c r="I42" i="60"/>
  <c r="H25" i="60"/>
  <c r="H27" i="60" s="1"/>
  <c r="I24" i="60"/>
  <c r="I41" i="60"/>
  <c r="H29" i="55"/>
  <c r="I22" i="60"/>
  <c r="H21" i="55"/>
  <c r="I40" i="60"/>
  <c r="H28" i="55"/>
  <c r="H40" i="60"/>
  <c r="G28" i="55"/>
  <c r="H41" i="60"/>
  <c r="G29" i="55"/>
  <c r="H17" i="55"/>
  <c r="G95" i="113"/>
  <c r="I16" i="60"/>
  <c r="I11" i="60"/>
  <c r="I66" i="113"/>
  <c r="I67" i="113"/>
  <c r="I65" i="113"/>
  <c r="K80" i="113"/>
  <c r="J81" i="113"/>
  <c r="J83" i="113" s="1"/>
  <c r="J85" i="113" s="1"/>
  <c r="J90" i="113" s="1"/>
  <c r="J87" i="113"/>
  <c r="H20" i="60"/>
  <c r="I93" i="113"/>
  <c r="I94" i="113"/>
  <c r="I92" i="113"/>
  <c r="J33" i="113"/>
  <c r="J27" i="113"/>
  <c r="J29" i="113" s="1"/>
  <c r="J31" i="113" s="1"/>
  <c r="J36" i="113" s="1"/>
  <c r="J38" i="113" s="1"/>
  <c r="K13" i="60" s="1"/>
  <c r="K26" i="113"/>
  <c r="H18" i="60"/>
  <c r="H68" i="113"/>
  <c r="H95" i="113"/>
  <c r="J60" i="113"/>
  <c r="J54" i="113"/>
  <c r="J56" i="113" s="1"/>
  <c r="J58" i="113" s="1"/>
  <c r="J63" i="113" s="1"/>
  <c r="K53" i="113"/>
  <c r="H31" i="55" l="1"/>
  <c r="I36" i="113"/>
  <c r="I38" i="113" s="1"/>
  <c r="J13" i="60" s="1"/>
  <c r="J11" i="60" s="1"/>
  <c r="G99" i="60"/>
  <c r="G58" i="64"/>
  <c r="F31" i="55"/>
  <c r="G43" i="60"/>
  <c r="G38" i="60"/>
  <c r="H24" i="55"/>
  <c r="G31" i="55"/>
  <c r="H43" i="60"/>
  <c r="H45" i="60" s="1"/>
  <c r="J40" i="60"/>
  <c r="I28" i="55"/>
  <c r="J41" i="60"/>
  <c r="I29" i="55"/>
  <c r="J24" i="60"/>
  <c r="J23" i="60"/>
  <c r="I22" i="55"/>
  <c r="H38" i="60"/>
  <c r="J42" i="60"/>
  <c r="J22" i="60"/>
  <c r="I21" i="55"/>
  <c r="I24" i="55" s="1"/>
  <c r="I25" i="60"/>
  <c r="I27" i="60" s="1"/>
  <c r="J14" i="55"/>
  <c r="I38" i="60"/>
  <c r="I43" i="60"/>
  <c r="I45" i="60" s="1"/>
  <c r="I20" i="60"/>
  <c r="J41" i="113"/>
  <c r="I95" i="113"/>
  <c r="I18" i="60"/>
  <c r="J93" i="113"/>
  <c r="J94" i="113"/>
  <c r="J92" i="113"/>
  <c r="J67" i="113"/>
  <c r="J65" i="113"/>
  <c r="J66" i="113"/>
  <c r="K60" i="113"/>
  <c r="L53" i="113"/>
  <c r="K54" i="113"/>
  <c r="K56" i="113" s="1"/>
  <c r="K58" i="113" s="1"/>
  <c r="K63" i="113" s="1"/>
  <c r="K33" i="113"/>
  <c r="L26" i="113"/>
  <c r="K27" i="113"/>
  <c r="K29" i="113" s="1"/>
  <c r="K31" i="113" s="1"/>
  <c r="K36" i="113" s="1"/>
  <c r="K38" i="113" s="1"/>
  <c r="L13" i="60" s="1"/>
  <c r="K81" i="113"/>
  <c r="K83" i="113" s="1"/>
  <c r="K85" i="113" s="1"/>
  <c r="K90" i="113" s="1"/>
  <c r="L80" i="113"/>
  <c r="K87" i="113"/>
  <c r="I68" i="113"/>
  <c r="I57" i="64" l="1"/>
  <c r="I99" i="60" s="1"/>
  <c r="J16" i="60"/>
  <c r="I14" i="55"/>
  <c r="I17" i="55" s="1"/>
  <c r="I41" i="113"/>
  <c r="G45" i="60"/>
  <c r="C17" i="78"/>
  <c r="H57" i="64"/>
  <c r="I31" i="55"/>
  <c r="J25" i="60"/>
  <c r="K24" i="60"/>
  <c r="K42" i="60"/>
  <c r="K23" i="60"/>
  <c r="J22" i="55"/>
  <c r="K41" i="60"/>
  <c r="J29" i="55"/>
  <c r="K40" i="60"/>
  <c r="J28" i="55"/>
  <c r="K22" i="60"/>
  <c r="J21" i="55"/>
  <c r="K14" i="55"/>
  <c r="K17" i="55" s="1"/>
  <c r="J17" i="55"/>
  <c r="J57" i="64"/>
  <c r="K41" i="113"/>
  <c r="J18" i="60"/>
  <c r="C11" i="72" s="1"/>
  <c r="M80" i="113"/>
  <c r="L81" i="113"/>
  <c r="L83" i="113" s="1"/>
  <c r="L85" i="113" s="1"/>
  <c r="L90" i="113" s="1"/>
  <c r="L87" i="113"/>
  <c r="L33" i="113"/>
  <c r="M26" i="113"/>
  <c r="L27" i="113"/>
  <c r="L29" i="113" s="1"/>
  <c r="L31" i="113" s="1"/>
  <c r="L36" i="113" s="1"/>
  <c r="L38" i="113" s="1"/>
  <c r="M13" i="60" s="1"/>
  <c r="J95" i="113"/>
  <c r="J43" i="60"/>
  <c r="J38" i="60"/>
  <c r="K16" i="60"/>
  <c r="K11" i="60"/>
  <c r="K92" i="113"/>
  <c r="K93" i="113"/>
  <c r="K94" i="113"/>
  <c r="K67" i="113"/>
  <c r="K65" i="113"/>
  <c r="K66" i="113"/>
  <c r="J20" i="60"/>
  <c r="L60" i="113"/>
  <c r="L54" i="113"/>
  <c r="L56" i="113" s="1"/>
  <c r="L58" i="113" s="1"/>
  <c r="L63" i="113" s="1"/>
  <c r="M53" i="113"/>
  <c r="J68" i="113"/>
  <c r="I58" i="64" l="1"/>
  <c r="D17" i="78"/>
  <c r="J99" i="60"/>
  <c r="J58" i="64"/>
  <c r="H99" i="60"/>
  <c r="H58" i="64"/>
  <c r="J45" i="60"/>
  <c r="C14" i="72" s="1"/>
  <c r="C20" i="78"/>
  <c r="J27" i="60"/>
  <c r="C18" i="78"/>
  <c r="J24" i="55"/>
  <c r="J31" i="55"/>
  <c r="K25" i="60"/>
  <c r="L42" i="60"/>
  <c r="L41" i="60"/>
  <c r="K29" i="55"/>
  <c r="L23" i="60"/>
  <c r="K22" i="55"/>
  <c r="L22" i="60"/>
  <c r="K21" i="55"/>
  <c r="L24" i="60"/>
  <c r="L40" i="60"/>
  <c r="K28" i="55"/>
  <c r="L14" i="55"/>
  <c r="K20" i="60"/>
  <c r="L67" i="113"/>
  <c r="L65" i="113"/>
  <c r="L66" i="113"/>
  <c r="L41" i="113"/>
  <c r="M33" i="113"/>
  <c r="M27" i="113"/>
  <c r="M29" i="113" s="1"/>
  <c r="N26" i="113"/>
  <c r="K68" i="113"/>
  <c r="K95" i="113"/>
  <c r="K43" i="60"/>
  <c r="K38" i="60"/>
  <c r="L93" i="113"/>
  <c r="L92" i="113"/>
  <c r="L94" i="113"/>
  <c r="M60" i="113"/>
  <c r="M54" i="113"/>
  <c r="M56" i="113" s="1"/>
  <c r="M58" i="113" s="1"/>
  <c r="M63" i="113" s="1"/>
  <c r="N53" i="113"/>
  <c r="K18" i="60"/>
  <c r="D11" i="72" s="1"/>
  <c r="M81" i="113"/>
  <c r="M83" i="113" s="1"/>
  <c r="N80" i="113"/>
  <c r="M87" i="113"/>
  <c r="L16" i="60"/>
  <c r="L11" i="60"/>
  <c r="K57" i="64" l="1"/>
  <c r="M85" i="113"/>
  <c r="M90" i="113" s="1"/>
  <c r="M93" i="113" s="1"/>
  <c r="M31" i="113"/>
  <c r="M36" i="113" s="1"/>
  <c r="M38" i="113" s="1"/>
  <c r="N13" i="60" s="1"/>
  <c r="C12" i="72"/>
  <c r="L18" i="60"/>
  <c r="E11" i="72" s="1"/>
  <c r="E17" i="78"/>
  <c r="K45" i="60"/>
  <c r="D14" i="72" s="1"/>
  <c r="D20" i="78"/>
  <c r="K27" i="60"/>
  <c r="D12" i="72" s="1"/>
  <c r="D18" i="78"/>
  <c r="K31" i="55"/>
  <c r="K24" i="55"/>
  <c r="M23" i="60"/>
  <c r="L22" i="55"/>
  <c r="L25" i="60"/>
  <c r="M42" i="60"/>
  <c r="M40" i="60"/>
  <c r="L28" i="55"/>
  <c r="M41" i="60"/>
  <c r="L29" i="55"/>
  <c r="M22" i="60"/>
  <c r="L21" i="55"/>
  <c r="M24" i="60"/>
  <c r="L17" i="55"/>
  <c r="C18" i="72"/>
  <c r="N54" i="113"/>
  <c r="N56" i="113" s="1"/>
  <c r="N58" i="113" s="1"/>
  <c r="O53" i="113" s="1"/>
  <c r="N60" i="113"/>
  <c r="L43" i="60"/>
  <c r="L38" i="60"/>
  <c r="L20" i="60"/>
  <c r="M16" i="60"/>
  <c r="M11" i="60"/>
  <c r="L95" i="113"/>
  <c r="M67" i="113"/>
  <c r="M65" i="113"/>
  <c r="M66" i="113"/>
  <c r="N81" i="113"/>
  <c r="N87" i="113"/>
  <c r="N27" i="113"/>
  <c r="N33" i="113"/>
  <c r="L68" i="113"/>
  <c r="F17" i="78" l="1"/>
  <c r="L24" i="55"/>
  <c r="K99" i="60"/>
  <c r="K58" i="64"/>
  <c r="M41" i="113"/>
  <c r="M92" i="113"/>
  <c r="M28" i="55" s="1"/>
  <c r="M94" i="113"/>
  <c r="N42" i="60" s="1"/>
  <c r="M14" i="55"/>
  <c r="M17" i="55" s="1"/>
  <c r="N83" i="113"/>
  <c r="N29" i="113"/>
  <c r="L57" i="64"/>
  <c r="L27" i="60"/>
  <c r="E12" i="72" s="1"/>
  <c r="E18" i="78"/>
  <c r="L45" i="60"/>
  <c r="E14" i="72" s="1"/>
  <c r="E20" i="78"/>
  <c r="L31" i="55"/>
  <c r="M25" i="60"/>
  <c r="M27" i="60" s="1"/>
  <c r="N22" i="60"/>
  <c r="M21" i="55"/>
  <c r="N41" i="60"/>
  <c r="M29" i="55"/>
  <c r="N24" i="60"/>
  <c r="N23" i="60"/>
  <c r="M22" i="55"/>
  <c r="H61" i="113"/>
  <c r="I112" i="60" s="1"/>
  <c r="J61" i="113"/>
  <c r="K112" i="60" s="1"/>
  <c r="L61" i="113"/>
  <c r="M112" i="60" s="1"/>
  <c r="N61" i="113"/>
  <c r="O112" i="60" s="1"/>
  <c r="C61" i="113"/>
  <c r="D112" i="60" s="1"/>
  <c r="D61" i="113"/>
  <c r="E112" i="60" s="1"/>
  <c r="E61" i="113"/>
  <c r="F112" i="60" s="1"/>
  <c r="G61" i="113"/>
  <c r="H112" i="60" s="1"/>
  <c r="I61" i="113"/>
  <c r="J112" i="60" s="1"/>
  <c r="F61" i="113"/>
  <c r="G112" i="60" s="1"/>
  <c r="K61" i="113"/>
  <c r="L112" i="60" s="1"/>
  <c r="M61" i="113"/>
  <c r="N112" i="60" s="1"/>
  <c r="N63" i="113"/>
  <c r="N65" i="113" s="1"/>
  <c r="M43" i="60"/>
  <c r="F20" i="78" s="1"/>
  <c r="M38" i="60"/>
  <c r="M18" i="60"/>
  <c r="F11" i="72" s="1"/>
  <c r="N16" i="60"/>
  <c r="N11" i="60"/>
  <c r="M20" i="60"/>
  <c r="M68" i="113"/>
  <c r="G17" i="78" l="1"/>
  <c r="N40" i="60"/>
  <c r="N43" i="60" s="1"/>
  <c r="D18" i="72"/>
  <c r="L99" i="60"/>
  <c r="L58" i="64"/>
  <c r="M95" i="113"/>
  <c r="N31" i="113"/>
  <c r="N85" i="113"/>
  <c r="M31" i="55"/>
  <c r="M24" i="55"/>
  <c r="F18" i="78"/>
  <c r="O22" i="60"/>
  <c r="N21" i="55"/>
  <c r="N25" i="60"/>
  <c r="N27" i="60" s="1"/>
  <c r="N67" i="113"/>
  <c r="N66" i="113"/>
  <c r="F12" i="72"/>
  <c r="N18" i="60"/>
  <c r="G11" i="72" s="1"/>
  <c r="N20" i="60"/>
  <c r="M45" i="60"/>
  <c r="F14" i="72" s="1"/>
  <c r="M57" i="64"/>
  <c r="N38" i="60" l="1"/>
  <c r="M58" i="64"/>
  <c r="M99" i="60"/>
  <c r="P74" i="113"/>
  <c r="O82" i="113"/>
  <c r="P20" i="113"/>
  <c r="O28" i="113"/>
  <c r="N34" i="113"/>
  <c r="O111" i="60" s="1"/>
  <c r="G34" i="113"/>
  <c r="H111" i="60" s="1"/>
  <c r="K34" i="113"/>
  <c r="L111" i="60" s="1"/>
  <c r="H34" i="113"/>
  <c r="I111" i="60" s="1"/>
  <c r="I34" i="113"/>
  <c r="J111" i="60" s="1"/>
  <c r="M34" i="113"/>
  <c r="N111" i="60" s="1"/>
  <c r="J34" i="113"/>
  <c r="K111" i="60" s="1"/>
  <c r="D34" i="113"/>
  <c r="E111" i="60" s="1"/>
  <c r="E34" i="113"/>
  <c r="F111" i="60" s="1"/>
  <c r="N36" i="113"/>
  <c r="N38" i="113" s="1"/>
  <c r="F34" i="113"/>
  <c r="G111" i="60" s="1"/>
  <c r="C34" i="113"/>
  <c r="D111" i="60" s="1"/>
  <c r="L34" i="113"/>
  <c r="M111" i="60" s="1"/>
  <c r="C88" i="113"/>
  <c r="D114" i="60" s="1"/>
  <c r="H88" i="113"/>
  <c r="I114" i="60" s="1"/>
  <c r="L88" i="113"/>
  <c r="M114" i="60" s="1"/>
  <c r="J88" i="113"/>
  <c r="K114" i="60" s="1"/>
  <c r="F88" i="113"/>
  <c r="G114" i="60" s="1"/>
  <c r="E88" i="113"/>
  <c r="F114" i="60" s="1"/>
  <c r="K88" i="113"/>
  <c r="L114" i="60" s="1"/>
  <c r="D88" i="113"/>
  <c r="E114" i="60" s="1"/>
  <c r="G88" i="113"/>
  <c r="H114" i="60" s="1"/>
  <c r="N90" i="113"/>
  <c r="I88" i="113"/>
  <c r="J114" i="60" s="1"/>
  <c r="M88" i="113"/>
  <c r="N114" i="60" s="1"/>
  <c r="N88" i="113"/>
  <c r="O114" i="60" s="1"/>
  <c r="P21" i="55"/>
  <c r="R21" i="55" s="1"/>
  <c r="O24" i="60"/>
  <c r="O23" i="60"/>
  <c r="N22" i="55"/>
  <c r="P22" i="55" s="1"/>
  <c r="N45" i="60"/>
  <c r="G20" i="78"/>
  <c r="G12" i="72"/>
  <c r="G18" i="78"/>
  <c r="N68" i="113"/>
  <c r="E18" i="72"/>
  <c r="N57" i="64"/>
  <c r="N99" i="60" l="1"/>
  <c r="N58" i="64"/>
  <c r="Q20" i="113"/>
  <c r="P28" i="113"/>
  <c r="O77" i="113"/>
  <c r="O23" i="113"/>
  <c r="Q74" i="113"/>
  <c r="P82" i="113"/>
  <c r="O110" i="60"/>
  <c r="G5" i="80" s="1"/>
  <c r="E110" i="60"/>
  <c r="M110" i="60"/>
  <c r="E5" i="80" s="1"/>
  <c r="J110" i="60"/>
  <c r="L110" i="60"/>
  <c r="D5" i="80" s="1"/>
  <c r="N92" i="113"/>
  <c r="N93" i="113"/>
  <c r="N94" i="113"/>
  <c r="O42" i="60" s="1"/>
  <c r="F110" i="60"/>
  <c r="D110" i="60"/>
  <c r="I110" i="60"/>
  <c r="G110" i="60"/>
  <c r="K110" i="60"/>
  <c r="C5" i="80" s="1"/>
  <c r="O13" i="60"/>
  <c r="N14" i="55"/>
  <c r="N41" i="113"/>
  <c r="N110" i="60"/>
  <c r="F5" i="80" s="1"/>
  <c r="H110" i="60"/>
  <c r="S22" i="76"/>
  <c r="N24" i="55"/>
  <c r="O25" i="60"/>
  <c r="H18" i="78" s="1"/>
  <c r="O20" i="60"/>
  <c r="R22" i="55"/>
  <c r="R24" i="55" s="1"/>
  <c r="T22" i="76"/>
  <c r="P24" i="55"/>
  <c r="G14" i="72"/>
  <c r="O57" i="64"/>
  <c r="F18" i="72"/>
  <c r="O99" i="60" l="1"/>
  <c r="O58" i="64"/>
  <c r="P75" i="113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R74" i="113"/>
  <c r="Q82" i="113"/>
  <c r="P77" i="113"/>
  <c r="P23" i="113"/>
  <c r="R20" i="113"/>
  <c r="Q28" i="113"/>
  <c r="O41" i="60"/>
  <c r="N29" i="55"/>
  <c r="P29" i="55" s="1"/>
  <c r="G18" i="76" s="1"/>
  <c r="N28" i="55"/>
  <c r="O40" i="60"/>
  <c r="N95" i="113"/>
  <c r="N17" i="55"/>
  <c r="P14" i="55"/>
  <c r="O16" i="60"/>
  <c r="O11" i="60"/>
  <c r="O27" i="60"/>
  <c r="H12" i="72" s="1"/>
  <c r="P48" i="113" l="1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Q77" i="113"/>
  <c r="S74" i="113"/>
  <c r="R82" i="113"/>
  <c r="Q23" i="113"/>
  <c r="S20" i="113"/>
  <c r="R28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R29" i="55"/>
  <c r="T24" i="76"/>
  <c r="T25" i="76" s="1"/>
  <c r="H17" i="78"/>
  <c r="O18" i="60"/>
  <c r="H11" i="72" s="1"/>
  <c r="O43" i="60"/>
  <c r="O38" i="60"/>
  <c r="P17" i="55"/>
  <c r="S21" i="76"/>
  <c r="R14" i="55"/>
  <c r="R17" i="55" s="1"/>
  <c r="P28" i="55"/>
  <c r="G17" i="76" s="1"/>
  <c r="N31" i="55"/>
  <c r="G18" i="72"/>
  <c r="P53" i="113"/>
  <c r="O60" i="113"/>
  <c r="O51" i="113"/>
  <c r="O52" i="113" s="1"/>
  <c r="O54" i="113"/>
  <c r="O56" i="113" s="1"/>
  <c r="O58" i="113" s="1"/>
  <c r="T20" i="113" l="1"/>
  <c r="S28" i="113"/>
  <c r="T74" i="113"/>
  <c r="S82" i="113"/>
  <c r="R23" i="113"/>
  <c r="R77" i="113"/>
  <c r="R28" i="55"/>
  <c r="R31" i="55" s="1"/>
  <c r="P31" i="55"/>
  <c r="S24" i="76"/>
  <c r="S25" i="76" s="1"/>
  <c r="H20" i="78"/>
  <c r="O45" i="60"/>
  <c r="H18" i="76"/>
  <c r="G18" i="91"/>
  <c r="H18" i="91" s="1"/>
  <c r="P54" i="113"/>
  <c r="P56" i="113" s="1"/>
  <c r="P58" i="113" s="1"/>
  <c r="Q53" i="113"/>
  <c r="P51" i="113"/>
  <c r="P52" i="113" s="1"/>
  <c r="P60" i="113"/>
  <c r="P23" i="60"/>
  <c r="P24" i="60"/>
  <c r="S77" i="113" l="1"/>
  <c r="S23" i="113"/>
  <c r="U74" i="113"/>
  <c r="T82" i="113"/>
  <c r="U20" i="113"/>
  <c r="T28" i="113"/>
  <c r="G17" i="91"/>
  <c r="G40" i="76"/>
  <c r="H17" i="76"/>
  <c r="H14" i="72"/>
  <c r="P57" i="64"/>
  <c r="Q24" i="60"/>
  <c r="Q23" i="60"/>
  <c r="P22" i="60"/>
  <c r="Q60" i="113"/>
  <c r="Q51" i="113"/>
  <c r="Q52" i="113" s="1"/>
  <c r="Q54" i="113"/>
  <c r="Q56" i="113" s="1"/>
  <c r="Q58" i="113" s="1"/>
  <c r="R53" i="113"/>
  <c r="P99" i="60" l="1"/>
  <c r="P58" i="64"/>
  <c r="T77" i="113"/>
  <c r="V74" i="113"/>
  <c r="U82" i="113"/>
  <c r="T23" i="113"/>
  <c r="V20" i="113"/>
  <c r="U28" i="113"/>
  <c r="H18" i="72"/>
  <c r="G40" i="91"/>
  <c r="H17" i="91"/>
  <c r="R23" i="60"/>
  <c r="R24" i="60"/>
  <c r="P25" i="60"/>
  <c r="P20" i="60"/>
  <c r="Q22" i="60"/>
  <c r="R60" i="113"/>
  <c r="R51" i="113"/>
  <c r="R52" i="113" s="1"/>
  <c r="R54" i="113"/>
  <c r="R56" i="113" s="1"/>
  <c r="R58" i="113" s="1"/>
  <c r="S53" i="113"/>
  <c r="U23" i="113" l="1"/>
  <c r="U77" i="113"/>
  <c r="W20" i="113"/>
  <c r="V28" i="113"/>
  <c r="W74" i="113"/>
  <c r="V82" i="113"/>
  <c r="S54" i="113"/>
  <c r="S56" i="113" s="1"/>
  <c r="S58" i="113" s="1"/>
  <c r="S60" i="113"/>
  <c r="T53" i="113"/>
  <c r="S51" i="113"/>
  <c r="S52" i="113" s="1"/>
  <c r="Q25" i="60"/>
  <c r="Q20" i="60"/>
  <c r="S24" i="60"/>
  <c r="S23" i="60"/>
  <c r="R22" i="60"/>
  <c r="I18" i="78"/>
  <c r="P27" i="60"/>
  <c r="I12" i="72" s="1"/>
  <c r="X20" i="113" l="1"/>
  <c r="W28" i="113"/>
  <c r="V23" i="113"/>
  <c r="V77" i="113"/>
  <c r="X74" i="113"/>
  <c r="W82" i="113"/>
  <c r="AG24" i="78"/>
  <c r="R25" i="60"/>
  <c r="R20" i="60"/>
  <c r="U53" i="113"/>
  <c r="T60" i="113"/>
  <c r="T51" i="113"/>
  <c r="T52" i="113" s="1"/>
  <c r="T54" i="113"/>
  <c r="T56" i="113" s="1"/>
  <c r="T58" i="113" s="1"/>
  <c r="S22" i="60"/>
  <c r="T23" i="60"/>
  <c r="T24" i="60"/>
  <c r="J18" i="78"/>
  <c r="Q27" i="60"/>
  <c r="Y74" i="113" l="1"/>
  <c r="X82" i="113"/>
  <c r="W77" i="113"/>
  <c r="W23" i="113"/>
  <c r="Y20" i="113"/>
  <c r="X28" i="113"/>
  <c r="T22" i="60"/>
  <c r="V53" i="113"/>
  <c r="U54" i="113"/>
  <c r="U56" i="113" s="1"/>
  <c r="U58" i="113" s="1"/>
  <c r="U51" i="113"/>
  <c r="U52" i="113" s="1"/>
  <c r="U60" i="113"/>
  <c r="K18" i="78"/>
  <c r="R27" i="60"/>
  <c r="K12" i="72" s="1"/>
  <c r="J12" i="72"/>
  <c r="S25" i="60"/>
  <c r="S20" i="60"/>
  <c r="U23" i="60"/>
  <c r="U24" i="60"/>
  <c r="X23" i="113" l="1"/>
  <c r="X77" i="113"/>
  <c r="Z20" i="113"/>
  <c r="Y28" i="113"/>
  <c r="Z74" i="113"/>
  <c r="Y82" i="113"/>
  <c r="L18" i="78"/>
  <c r="S27" i="60"/>
  <c r="L12" i="72" s="1"/>
  <c r="V23" i="60"/>
  <c r="V24" i="60"/>
  <c r="U22" i="60"/>
  <c r="W53" i="113"/>
  <c r="V51" i="113"/>
  <c r="V52" i="113" s="1"/>
  <c r="V54" i="113"/>
  <c r="V56" i="113" s="1"/>
  <c r="V58" i="113" s="1"/>
  <c r="V60" i="113"/>
  <c r="T20" i="60"/>
  <c r="T25" i="60"/>
  <c r="M18" i="78" s="1"/>
  <c r="AA20" i="113" l="1"/>
  <c r="Z28" i="113"/>
  <c r="Y23" i="113"/>
  <c r="Y77" i="113"/>
  <c r="AA74" i="113"/>
  <c r="Z82" i="113"/>
  <c r="W51" i="113"/>
  <c r="W52" i="113" s="1"/>
  <c r="W54" i="113"/>
  <c r="W56" i="113" s="1"/>
  <c r="W58" i="113" s="1"/>
  <c r="X53" i="113"/>
  <c r="W60" i="113"/>
  <c r="W24" i="60"/>
  <c r="W23" i="60"/>
  <c r="U20" i="60"/>
  <c r="U25" i="60"/>
  <c r="N18" i="78" s="1"/>
  <c r="V22" i="60"/>
  <c r="Z77" i="113" l="1"/>
  <c r="O80" i="113" s="1"/>
  <c r="AB74" i="113"/>
  <c r="AA82" i="113"/>
  <c r="Z23" i="113"/>
  <c r="O26" i="113" s="1"/>
  <c r="AB20" i="113"/>
  <c r="AA28" i="113"/>
  <c r="O18" i="78"/>
  <c r="X23" i="60"/>
  <c r="X24" i="60"/>
  <c r="V25" i="60"/>
  <c r="P18" i="78" s="1"/>
  <c r="V20" i="60"/>
  <c r="W22" i="60"/>
  <c r="Y53" i="113"/>
  <c r="X51" i="113"/>
  <c r="X52" i="113" s="1"/>
  <c r="X54" i="113"/>
  <c r="X56" i="113" s="1"/>
  <c r="X58" i="113" s="1"/>
  <c r="X60" i="113"/>
  <c r="O24" i="113" l="1"/>
  <c r="O25" i="113" s="1"/>
  <c r="O27" i="113"/>
  <c r="O29" i="113" s="1"/>
  <c r="O31" i="113" s="1"/>
  <c r="O33" i="113"/>
  <c r="P26" i="113"/>
  <c r="O87" i="113"/>
  <c r="O78" i="113"/>
  <c r="O79" i="113" s="1"/>
  <c r="O81" i="113"/>
  <c r="O83" i="113" s="1"/>
  <c r="O85" i="113" s="1"/>
  <c r="P80" i="113"/>
  <c r="AA23" i="113"/>
  <c r="AA77" i="113"/>
  <c r="AC20" i="113"/>
  <c r="AB28" i="113"/>
  <c r="AC74" i="113"/>
  <c r="AB82" i="113"/>
  <c r="Y51" i="113"/>
  <c r="Y52" i="113" s="1"/>
  <c r="Y60" i="113"/>
  <c r="Y54" i="113"/>
  <c r="Y56" i="113" s="1"/>
  <c r="Y58" i="113" s="1"/>
  <c r="Z53" i="113"/>
  <c r="X22" i="60"/>
  <c r="W20" i="60"/>
  <c r="W25" i="60"/>
  <c r="P42" i="60" l="1"/>
  <c r="P41" i="60"/>
  <c r="P13" i="60"/>
  <c r="P87" i="113"/>
  <c r="Q80" i="113"/>
  <c r="P81" i="113"/>
  <c r="P83" i="113" s="1"/>
  <c r="P85" i="113" s="1"/>
  <c r="P78" i="113"/>
  <c r="P79" i="113" s="1"/>
  <c r="P33" i="113"/>
  <c r="P24" i="113"/>
  <c r="P25" i="113" s="1"/>
  <c r="P27" i="113"/>
  <c r="P29" i="113" s="1"/>
  <c r="P31" i="113" s="1"/>
  <c r="Q26" i="113"/>
  <c r="AB77" i="113"/>
  <c r="AD74" i="113"/>
  <c r="AC82" i="113"/>
  <c r="AB23" i="113"/>
  <c r="AD20" i="113"/>
  <c r="AC28" i="113"/>
  <c r="Z24" i="60"/>
  <c r="Z23" i="60"/>
  <c r="Y24" i="60"/>
  <c r="Y23" i="60"/>
  <c r="Q18" i="78"/>
  <c r="X20" i="60"/>
  <c r="X25" i="60"/>
  <c r="R18" i="78" s="1"/>
  <c r="Z60" i="113"/>
  <c r="Z51" i="113"/>
  <c r="Z52" i="113" s="1"/>
  <c r="Z54" i="113"/>
  <c r="Z56" i="113" s="1"/>
  <c r="Z58" i="113" s="1"/>
  <c r="Q42" i="60" l="1"/>
  <c r="Q13" i="60"/>
  <c r="Q41" i="60"/>
  <c r="P40" i="60"/>
  <c r="R26" i="113"/>
  <c r="Q33" i="113"/>
  <c r="Q27" i="113"/>
  <c r="Q29" i="113" s="1"/>
  <c r="Q31" i="113" s="1"/>
  <c r="Q24" i="113"/>
  <c r="Q25" i="113" s="1"/>
  <c r="P11" i="60"/>
  <c r="P16" i="60"/>
  <c r="Q81" i="113"/>
  <c r="Q83" i="113" s="1"/>
  <c r="Q85" i="113" s="1"/>
  <c r="Q87" i="113"/>
  <c r="Q78" i="113"/>
  <c r="Q79" i="113" s="1"/>
  <c r="R80" i="113"/>
  <c r="AE20" i="113"/>
  <c r="AD28" i="113"/>
  <c r="AC23" i="113"/>
  <c r="AC77" i="113"/>
  <c r="AE74" i="113"/>
  <c r="AD82" i="113"/>
  <c r="E25" i="115"/>
  <c r="E25" i="65"/>
  <c r="D24" i="115"/>
  <c r="D24" i="65"/>
  <c r="D25" i="115"/>
  <c r="D25" i="65"/>
  <c r="E24" i="115"/>
  <c r="E24" i="65"/>
  <c r="R61" i="113"/>
  <c r="S112" i="60" s="1"/>
  <c r="AA53" i="113"/>
  <c r="AA54" i="113" s="1"/>
  <c r="AA56" i="113" s="1"/>
  <c r="AA58" i="113" s="1"/>
  <c r="Y61" i="113"/>
  <c r="Z112" i="60" s="1"/>
  <c r="T61" i="113"/>
  <c r="U112" i="60" s="1"/>
  <c r="AA23" i="60"/>
  <c r="AA24" i="60"/>
  <c r="Z22" i="60"/>
  <c r="Y22" i="60"/>
  <c r="Z61" i="113"/>
  <c r="AA112" i="60" s="1"/>
  <c r="P61" i="113"/>
  <c r="Q112" i="60" s="1"/>
  <c r="O61" i="113"/>
  <c r="P112" i="60" s="1"/>
  <c r="U61" i="113"/>
  <c r="V112" i="60" s="1"/>
  <c r="X61" i="113"/>
  <c r="Y112" i="60" s="1"/>
  <c r="Q61" i="113"/>
  <c r="R112" i="60" s="1"/>
  <c r="V61" i="113"/>
  <c r="W112" i="60" s="1"/>
  <c r="S61" i="113"/>
  <c r="T112" i="60" s="1"/>
  <c r="W61" i="113"/>
  <c r="X112" i="60" s="1"/>
  <c r="R13" i="60" l="1"/>
  <c r="R27" i="113"/>
  <c r="R29" i="113" s="1"/>
  <c r="R31" i="113" s="1"/>
  <c r="R33" i="113"/>
  <c r="R24" i="113"/>
  <c r="R25" i="113" s="1"/>
  <c r="S26" i="113"/>
  <c r="R78" i="113"/>
  <c r="R79" i="113" s="1"/>
  <c r="R81" i="113"/>
  <c r="R83" i="113" s="1"/>
  <c r="R85" i="113" s="1"/>
  <c r="S80" i="113"/>
  <c r="R87" i="113"/>
  <c r="AG23" i="78"/>
  <c r="I17" i="78"/>
  <c r="P18" i="60"/>
  <c r="I11" i="72" s="1"/>
  <c r="P38" i="60"/>
  <c r="P43" i="60"/>
  <c r="Q11" i="60"/>
  <c r="Q16" i="60"/>
  <c r="Q40" i="60"/>
  <c r="AF74" i="113"/>
  <c r="AE82" i="113"/>
  <c r="AD23" i="113"/>
  <c r="AF20" i="113"/>
  <c r="AE28" i="113"/>
  <c r="AD77" i="113"/>
  <c r="AA60" i="113"/>
  <c r="AA51" i="113"/>
  <c r="AA52" i="113" s="1"/>
  <c r="D23" i="115"/>
  <c r="D23" i="65"/>
  <c r="E23" i="115"/>
  <c r="E23" i="65"/>
  <c r="F25" i="115"/>
  <c r="F25" i="65"/>
  <c r="F24" i="115"/>
  <c r="F24" i="65"/>
  <c r="AB53" i="113"/>
  <c r="AB60" i="113" s="1"/>
  <c r="Z25" i="60"/>
  <c r="Z20" i="60"/>
  <c r="AA22" i="60"/>
  <c r="AB24" i="60"/>
  <c r="AB23" i="60"/>
  <c r="Y20" i="60"/>
  <c r="Y25" i="60"/>
  <c r="S42" i="60" l="1"/>
  <c r="S13" i="60"/>
  <c r="R11" i="60"/>
  <c r="R16" i="60"/>
  <c r="P45" i="60"/>
  <c r="I14" i="72" s="1"/>
  <c r="AG26" i="78"/>
  <c r="I20" i="78"/>
  <c r="Q43" i="60"/>
  <c r="Q38" i="60"/>
  <c r="J17" i="78"/>
  <c r="Q18" i="60"/>
  <c r="J11" i="72" s="1"/>
  <c r="S41" i="60"/>
  <c r="R42" i="60"/>
  <c r="R41" i="60"/>
  <c r="S78" i="113"/>
  <c r="S79" i="113" s="1"/>
  <c r="S87" i="113"/>
  <c r="T80" i="113"/>
  <c r="S81" i="113"/>
  <c r="S83" i="113" s="1"/>
  <c r="S85" i="113" s="1"/>
  <c r="S33" i="113"/>
  <c r="S27" i="113"/>
  <c r="S29" i="113" s="1"/>
  <c r="S31" i="113" s="1"/>
  <c r="T13" i="60" s="1"/>
  <c r="S24" i="113"/>
  <c r="S25" i="113" s="1"/>
  <c r="T26" i="113"/>
  <c r="AG20" i="113"/>
  <c r="AF28" i="113"/>
  <c r="AE77" i="113"/>
  <c r="AG74" i="113"/>
  <c r="AF82" i="113"/>
  <c r="AE23" i="113"/>
  <c r="U18" i="78"/>
  <c r="D26" i="115"/>
  <c r="D21" i="115"/>
  <c r="G24" i="115"/>
  <c r="G24" i="65"/>
  <c r="F23" i="115"/>
  <c r="F23" i="65"/>
  <c r="E26" i="115"/>
  <c r="E21" i="115"/>
  <c r="G25" i="115"/>
  <c r="G25" i="65"/>
  <c r="AB51" i="113"/>
  <c r="AB52" i="113" s="1"/>
  <c r="AB54" i="113"/>
  <c r="AB56" i="113" s="1"/>
  <c r="AB58" i="113" s="1"/>
  <c r="AC53" i="113"/>
  <c r="AC51" i="113" s="1"/>
  <c r="AC52" i="113" s="1"/>
  <c r="T18" i="78"/>
  <c r="AB22" i="60"/>
  <c r="AA20" i="60"/>
  <c r="AA25" i="60"/>
  <c r="T42" i="60" l="1"/>
  <c r="K17" i="78"/>
  <c r="R18" i="60"/>
  <c r="K11" i="72" s="1"/>
  <c r="T78" i="113"/>
  <c r="T79" i="113" s="1"/>
  <c r="U80" i="113"/>
  <c r="T87" i="113"/>
  <c r="T81" i="113"/>
  <c r="T83" i="113" s="1"/>
  <c r="T85" i="113" s="1"/>
  <c r="J20" i="78"/>
  <c r="Q45" i="60"/>
  <c r="R57" i="64" s="1"/>
  <c r="S16" i="60"/>
  <c r="S11" i="60"/>
  <c r="T33" i="113"/>
  <c r="T27" i="113"/>
  <c r="T29" i="113" s="1"/>
  <c r="T31" i="113" s="1"/>
  <c r="U26" i="113"/>
  <c r="T24" i="113"/>
  <c r="T25" i="113" s="1"/>
  <c r="T41" i="60"/>
  <c r="R40" i="60"/>
  <c r="S40" i="60"/>
  <c r="Q57" i="64"/>
  <c r="AF77" i="113"/>
  <c r="AF23" i="113"/>
  <c r="AH74" i="113"/>
  <c r="AG82" i="113"/>
  <c r="AH20" i="113"/>
  <c r="AG28" i="113"/>
  <c r="AC54" i="113"/>
  <c r="AC56" i="113" s="1"/>
  <c r="AC58" i="113" s="1"/>
  <c r="V18" i="78"/>
  <c r="AD53" i="113"/>
  <c r="AD51" i="113" s="1"/>
  <c r="AD52" i="113" s="1"/>
  <c r="AC60" i="113"/>
  <c r="G23" i="115"/>
  <c r="G23" i="65"/>
  <c r="AC23" i="60"/>
  <c r="F26" i="115"/>
  <c r="F21" i="115"/>
  <c r="AC24" i="60"/>
  <c r="AC22" i="60"/>
  <c r="AB20" i="60"/>
  <c r="AB25" i="60"/>
  <c r="J14" i="72" l="1"/>
  <c r="U13" i="60"/>
  <c r="Q58" i="64"/>
  <c r="Q99" i="60"/>
  <c r="J18" i="72" s="1"/>
  <c r="R99" i="60"/>
  <c r="R58" i="64"/>
  <c r="R43" i="60"/>
  <c r="R38" i="60"/>
  <c r="S38" i="60"/>
  <c r="S43" i="60"/>
  <c r="T40" i="60"/>
  <c r="U27" i="113"/>
  <c r="U29" i="113" s="1"/>
  <c r="U31" i="113" s="1"/>
  <c r="V26" i="113"/>
  <c r="U33" i="113"/>
  <c r="U24" i="113"/>
  <c r="U25" i="113" s="1"/>
  <c r="S18" i="60"/>
  <c r="L11" i="72" s="1"/>
  <c r="L17" i="78"/>
  <c r="U81" i="113"/>
  <c r="U83" i="113" s="1"/>
  <c r="U85" i="113" s="1"/>
  <c r="U78" i="113"/>
  <c r="U79" i="113" s="1"/>
  <c r="V80" i="113"/>
  <c r="U87" i="113"/>
  <c r="AD23" i="60"/>
  <c r="I24" i="115" s="1"/>
  <c r="AI74" i="113"/>
  <c r="AH82" i="113"/>
  <c r="AG23" i="113"/>
  <c r="AI20" i="113"/>
  <c r="AH28" i="113"/>
  <c r="AG77" i="113"/>
  <c r="AD24" i="60"/>
  <c r="I25" i="65" s="1"/>
  <c r="AE53" i="113"/>
  <c r="AE60" i="113" s="1"/>
  <c r="AD60" i="113"/>
  <c r="AD54" i="113"/>
  <c r="AD56" i="113" s="1"/>
  <c r="AD58" i="113" s="1"/>
  <c r="AE24" i="60" s="1"/>
  <c r="H23" i="115"/>
  <c r="H23" i="65"/>
  <c r="H25" i="115"/>
  <c r="H25" i="65"/>
  <c r="H24" i="115"/>
  <c r="H24" i="65"/>
  <c r="G26" i="115"/>
  <c r="G21" i="115"/>
  <c r="W18" i="78"/>
  <c r="AC25" i="60"/>
  <c r="AC20" i="60"/>
  <c r="AD22" i="60"/>
  <c r="D26" i="65"/>
  <c r="D21" i="65"/>
  <c r="V41" i="60" l="1"/>
  <c r="V42" i="60"/>
  <c r="V13" i="60"/>
  <c r="S45" i="60"/>
  <c r="L14" i="72" s="1"/>
  <c r="L68" i="72" s="1"/>
  <c r="L20" i="78"/>
  <c r="U41" i="60"/>
  <c r="U42" i="60"/>
  <c r="U16" i="60"/>
  <c r="N17" i="78" s="1"/>
  <c r="U11" i="60"/>
  <c r="T38" i="60"/>
  <c r="T43" i="60"/>
  <c r="I24" i="65"/>
  <c r="V27" i="113"/>
  <c r="V29" i="113" s="1"/>
  <c r="V31" i="113" s="1"/>
  <c r="W26" i="113"/>
  <c r="V24" i="113"/>
  <c r="V25" i="113" s="1"/>
  <c r="V33" i="113"/>
  <c r="R45" i="60"/>
  <c r="S57" i="64" s="1"/>
  <c r="K20" i="78"/>
  <c r="AF53" i="113"/>
  <c r="AF51" i="113" s="1"/>
  <c r="AF52" i="113" s="1"/>
  <c r="T16" i="60"/>
  <c r="T11" i="60"/>
  <c r="W80" i="113"/>
  <c r="V78" i="113"/>
  <c r="V79" i="113" s="1"/>
  <c r="V87" i="113"/>
  <c r="V81" i="113"/>
  <c r="V83" i="113" s="1"/>
  <c r="V85" i="113" s="1"/>
  <c r="I18" i="72"/>
  <c r="I25" i="115"/>
  <c r="AH23" i="113"/>
  <c r="AH77" i="113"/>
  <c r="AJ20" i="113"/>
  <c r="AI28" i="113"/>
  <c r="AJ74" i="113"/>
  <c r="AI82" i="113"/>
  <c r="AE51" i="113"/>
  <c r="AE52" i="113" s="1"/>
  <c r="AE54" i="113"/>
  <c r="AE56" i="113" s="1"/>
  <c r="AE58" i="113" s="1"/>
  <c r="AF23" i="60" s="1"/>
  <c r="X18" i="78"/>
  <c r="AE22" i="60"/>
  <c r="AE23" i="60"/>
  <c r="J25" i="115"/>
  <c r="J25" i="65"/>
  <c r="H26" i="115"/>
  <c r="H21" i="115"/>
  <c r="I23" i="115"/>
  <c r="I23" i="65"/>
  <c r="AH24" i="78"/>
  <c r="AD25" i="60"/>
  <c r="AD20" i="60"/>
  <c r="E26" i="65"/>
  <c r="E21" i="65"/>
  <c r="W41" i="60" l="1"/>
  <c r="W42" i="60"/>
  <c r="W13" i="60"/>
  <c r="S99" i="60"/>
  <c r="S58" i="64"/>
  <c r="T57" i="64"/>
  <c r="AF54" i="113"/>
  <c r="AF56" i="113" s="1"/>
  <c r="AF58" i="113" s="1"/>
  <c r="AG23" i="60" s="1"/>
  <c r="K18" i="72"/>
  <c r="W87" i="113"/>
  <c r="W81" i="113"/>
  <c r="W83" i="113" s="1"/>
  <c r="W85" i="113" s="1"/>
  <c r="X80" i="113"/>
  <c r="W78" i="113"/>
  <c r="W79" i="113" s="1"/>
  <c r="K14" i="72"/>
  <c r="U40" i="60"/>
  <c r="X26" i="113"/>
  <c r="W24" i="113"/>
  <c r="W25" i="113" s="1"/>
  <c r="W33" i="113"/>
  <c r="W27" i="113"/>
  <c r="W29" i="113" s="1"/>
  <c r="W31" i="113" s="1"/>
  <c r="M20" i="78"/>
  <c r="V40" i="60"/>
  <c r="AF60" i="113"/>
  <c r="AG53" i="113"/>
  <c r="AH53" i="113" s="1"/>
  <c r="V16" i="60"/>
  <c r="P17" i="78" s="1"/>
  <c r="V11" i="60"/>
  <c r="M17" i="78"/>
  <c r="O17" i="78" s="1"/>
  <c r="AK74" i="113"/>
  <c r="AJ82" i="113"/>
  <c r="AI23" i="113"/>
  <c r="AK20" i="113"/>
  <c r="AJ28" i="113"/>
  <c r="AI77" i="113"/>
  <c r="AF24" i="60"/>
  <c r="K25" i="65" s="1"/>
  <c r="Y18" i="78"/>
  <c r="J24" i="65"/>
  <c r="J24" i="115"/>
  <c r="I26" i="115"/>
  <c r="I21" i="115"/>
  <c r="K24" i="115"/>
  <c r="K24" i="65"/>
  <c r="J23" i="115"/>
  <c r="J23" i="65"/>
  <c r="AE25" i="60"/>
  <c r="AE20" i="60"/>
  <c r="F26" i="65"/>
  <c r="F21" i="65"/>
  <c r="X13" i="60" l="1"/>
  <c r="L18" i="72"/>
  <c r="T99" i="60"/>
  <c r="T58" i="64"/>
  <c r="AG24" i="60"/>
  <c r="L25" i="115" s="1"/>
  <c r="AG54" i="113"/>
  <c r="AG56" i="113" s="1"/>
  <c r="AG58" i="113" s="1"/>
  <c r="AH24" i="60" s="1"/>
  <c r="AG60" i="113"/>
  <c r="U43" i="60"/>
  <c r="U38" i="60"/>
  <c r="AG51" i="113"/>
  <c r="AG52" i="113" s="1"/>
  <c r="V38" i="60"/>
  <c r="V43" i="60"/>
  <c r="P20" i="78" s="1"/>
  <c r="Y26" i="113"/>
  <c r="X24" i="113"/>
  <c r="X25" i="113" s="1"/>
  <c r="X27" i="113"/>
  <c r="X29" i="113" s="1"/>
  <c r="X31" i="113" s="1"/>
  <c r="X33" i="113"/>
  <c r="W40" i="60"/>
  <c r="X87" i="113"/>
  <c r="Y80" i="113"/>
  <c r="X78" i="113"/>
  <c r="X79" i="113" s="1"/>
  <c r="X81" i="113"/>
  <c r="X83" i="113" s="1"/>
  <c r="X85" i="113" s="1"/>
  <c r="W16" i="60"/>
  <c r="Q17" i="78" s="1"/>
  <c r="W11" i="60"/>
  <c r="K25" i="115"/>
  <c r="AJ23" i="113"/>
  <c r="AJ77" i="113"/>
  <c r="AL20" i="113"/>
  <c r="AK28" i="113"/>
  <c r="AL74" i="113"/>
  <c r="AK82" i="113"/>
  <c r="AF22" i="60"/>
  <c r="AF20" i="60" s="1"/>
  <c r="Z18" i="78"/>
  <c r="L24" i="115"/>
  <c r="L24" i="65"/>
  <c r="J26" i="115"/>
  <c r="J21" i="115"/>
  <c r="AH60" i="113"/>
  <c r="AH54" i="113"/>
  <c r="AH56" i="113" s="1"/>
  <c r="AH58" i="113" s="1"/>
  <c r="AH51" i="113"/>
  <c r="AH52" i="113" s="1"/>
  <c r="AI53" i="113"/>
  <c r="G21" i="65"/>
  <c r="G26" i="65"/>
  <c r="Y42" i="60" l="1"/>
  <c r="L25" i="65"/>
  <c r="Y13" i="60"/>
  <c r="AH23" i="60"/>
  <c r="M24" i="65" s="1"/>
  <c r="AG22" i="60"/>
  <c r="L23" i="115" s="1"/>
  <c r="AH22" i="60"/>
  <c r="K23" i="115"/>
  <c r="K26" i="115" s="1"/>
  <c r="Y41" i="60"/>
  <c r="N20" i="78"/>
  <c r="O20" i="78" s="1"/>
  <c r="Y27" i="113"/>
  <c r="Y29" i="113" s="1"/>
  <c r="Y31" i="113" s="1"/>
  <c r="Z26" i="113"/>
  <c r="Y33" i="113"/>
  <c r="Y24" i="113"/>
  <c r="Y25" i="113" s="1"/>
  <c r="X16" i="60"/>
  <c r="R17" i="78" s="1"/>
  <c r="X11" i="60"/>
  <c r="Z80" i="113"/>
  <c r="Y78" i="113"/>
  <c r="Y79" i="113" s="1"/>
  <c r="Y81" i="113"/>
  <c r="Y83" i="113" s="1"/>
  <c r="Y85" i="113" s="1"/>
  <c r="Y87" i="113"/>
  <c r="W38" i="60"/>
  <c r="W43" i="60"/>
  <c r="Q20" i="78" s="1"/>
  <c r="X41" i="60"/>
  <c r="X42" i="60"/>
  <c r="AK23" i="113"/>
  <c r="AM20" i="113"/>
  <c r="AL28" i="113"/>
  <c r="AK77" i="113"/>
  <c r="AM74" i="113"/>
  <c r="AL82" i="113"/>
  <c r="AF25" i="60"/>
  <c r="AA18" i="78" s="1"/>
  <c r="K23" i="65"/>
  <c r="M25" i="115"/>
  <c r="M25" i="65"/>
  <c r="AI24" i="60"/>
  <c r="AI23" i="60"/>
  <c r="H26" i="65"/>
  <c r="H21" i="65"/>
  <c r="AI51" i="113"/>
  <c r="AI52" i="113" s="1"/>
  <c r="AI60" i="113"/>
  <c r="AI54" i="113"/>
  <c r="AI56" i="113" s="1"/>
  <c r="AI58" i="113" s="1"/>
  <c r="AJ53" i="113"/>
  <c r="Z41" i="60" l="1"/>
  <c r="Z42" i="60"/>
  <c r="M24" i="115"/>
  <c r="AG20" i="60"/>
  <c r="Z13" i="60"/>
  <c r="AG25" i="60"/>
  <c r="AB18" i="78" s="1"/>
  <c r="L23" i="65"/>
  <c r="K21" i="115"/>
  <c r="D43" i="115"/>
  <c r="D43" i="65"/>
  <c r="Z87" i="113"/>
  <c r="Z78" i="113"/>
  <c r="Z79" i="113" s="1"/>
  <c r="Z81" i="113"/>
  <c r="Z83" i="113" s="1"/>
  <c r="Z85" i="113" s="1"/>
  <c r="Y40" i="60"/>
  <c r="Y16" i="60"/>
  <c r="D14" i="115"/>
  <c r="Y11" i="60"/>
  <c r="D14" i="65"/>
  <c r="X40" i="60"/>
  <c r="D42" i="115"/>
  <c r="D42" i="65"/>
  <c r="Z27" i="113"/>
  <c r="Z29" i="113" s="1"/>
  <c r="Z31" i="113" s="1"/>
  <c r="AA13" i="60" s="1"/>
  <c r="Z24" i="113"/>
  <c r="Z25" i="113" s="1"/>
  <c r="Z33" i="113"/>
  <c r="AL77" i="113"/>
  <c r="AL23" i="113"/>
  <c r="AN74" i="113"/>
  <c r="AM82" i="113"/>
  <c r="AN20" i="113"/>
  <c r="AM28" i="113"/>
  <c r="N24" i="115"/>
  <c r="N24" i="65"/>
  <c r="M23" i="115"/>
  <c r="M23" i="65"/>
  <c r="N25" i="115"/>
  <c r="N25" i="65"/>
  <c r="L26" i="115"/>
  <c r="L21" i="115"/>
  <c r="AI22" i="60"/>
  <c r="I26" i="65"/>
  <c r="I21" i="65"/>
  <c r="AK53" i="113"/>
  <c r="AJ60" i="113"/>
  <c r="AJ51" i="113"/>
  <c r="AJ52" i="113" s="1"/>
  <c r="AJ54" i="113"/>
  <c r="AJ56" i="113" s="1"/>
  <c r="AJ58" i="113" s="1"/>
  <c r="AH25" i="60"/>
  <c r="AH20" i="60"/>
  <c r="AJ24" i="60"/>
  <c r="AJ23" i="60"/>
  <c r="U34" i="113" l="1"/>
  <c r="V111" i="60" s="1"/>
  <c r="Y88" i="113"/>
  <c r="Z114" i="60" s="1"/>
  <c r="X38" i="60"/>
  <c r="X43" i="60"/>
  <c r="D12" i="115"/>
  <c r="D17" i="115"/>
  <c r="Z34" i="113"/>
  <c r="AA111" i="60" s="1"/>
  <c r="R34" i="113"/>
  <c r="S111" i="60" s="1"/>
  <c r="P34" i="113"/>
  <c r="Q111" i="60" s="1"/>
  <c r="Q34" i="113"/>
  <c r="R111" i="60" s="1"/>
  <c r="O34" i="113"/>
  <c r="P111" i="60" s="1"/>
  <c r="T34" i="113"/>
  <c r="U111" i="60" s="1"/>
  <c r="S34" i="113"/>
  <c r="T111" i="60" s="1"/>
  <c r="V34" i="113"/>
  <c r="W111" i="60" s="1"/>
  <c r="X34" i="113"/>
  <c r="Y111" i="60" s="1"/>
  <c r="W88" i="113"/>
  <c r="X114" i="60" s="1"/>
  <c r="E42" i="65"/>
  <c r="E42" i="115"/>
  <c r="D41" i="65"/>
  <c r="Y38" i="60"/>
  <c r="Y43" i="60"/>
  <c r="D41" i="115"/>
  <c r="AA26" i="113"/>
  <c r="Z88" i="113"/>
  <c r="AA114" i="60" s="1"/>
  <c r="O88" i="113"/>
  <c r="P114" i="60" s="1"/>
  <c r="R88" i="113"/>
  <c r="S114" i="60" s="1"/>
  <c r="Q88" i="113"/>
  <c r="R114" i="60" s="1"/>
  <c r="P88" i="113"/>
  <c r="Q114" i="60" s="1"/>
  <c r="T88" i="113"/>
  <c r="U114" i="60" s="1"/>
  <c r="U88" i="113"/>
  <c r="V114" i="60" s="1"/>
  <c r="V88" i="113"/>
  <c r="W114" i="60" s="1"/>
  <c r="X88" i="113"/>
  <c r="Y114" i="60" s="1"/>
  <c r="W34" i="113"/>
  <c r="X111" i="60" s="1"/>
  <c r="S88" i="113"/>
  <c r="T114" i="60" s="1"/>
  <c r="Y34" i="113"/>
  <c r="Z111" i="60" s="1"/>
  <c r="Z40" i="60"/>
  <c r="C6" i="81"/>
  <c r="T17" i="78"/>
  <c r="Z16" i="60"/>
  <c r="E14" i="115"/>
  <c r="E14" i="65"/>
  <c r="Z11" i="60"/>
  <c r="E43" i="115"/>
  <c r="E43" i="65"/>
  <c r="D12" i="65"/>
  <c r="D17" i="65"/>
  <c r="AA80" i="113"/>
  <c r="AM23" i="113"/>
  <c r="AO20" i="113"/>
  <c r="AN28" i="113"/>
  <c r="AM77" i="113"/>
  <c r="AO74" i="113"/>
  <c r="AN82" i="113"/>
  <c r="AC18" i="78"/>
  <c r="M26" i="115"/>
  <c r="M21" i="115"/>
  <c r="O25" i="115"/>
  <c r="P25" i="115" s="1"/>
  <c r="Q25" i="115" s="1"/>
  <c r="O25" i="65"/>
  <c r="N23" i="115"/>
  <c r="N23" i="65"/>
  <c r="O24" i="115"/>
  <c r="P24" i="115" s="1"/>
  <c r="Q24" i="115" s="1"/>
  <c r="O24" i="65"/>
  <c r="AI25" i="60"/>
  <c r="AI20" i="60"/>
  <c r="J21" i="65"/>
  <c r="J26" i="65"/>
  <c r="AL53" i="113"/>
  <c r="AK51" i="113"/>
  <c r="AK52" i="113" s="1"/>
  <c r="AK54" i="113"/>
  <c r="AK56" i="113" s="1"/>
  <c r="AK58" i="113" s="1"/>
  <c r="AK60" i="113"/>
  <c r="AK24" i="60"/>
  <c r="AK23" i="60"/>
  <c r="AJ22" i="60"/>
  <c r="V110" i="60" l="1"/>
  <c r="N5" i="80" s="1"/>
  <c r="Z110" i="60"/>
  <c r="R5" i="80" s="1"/>
  <c r="U110" i="60"/>
  <c r="M5" i="80" s="1"/>
  <c r="S110" i="60"/>
  <c r="K5" i="80" s="1"/>
  <c r="Y110" i="60"/>
  <c r="Q5" i="80" s="1"/>
  <c r="AA110" i="60"/>
  <c r="S5" i="80" s="1"/>
  <c r="AA24" i="113"/>
  <c r="AA25" i="113" s="1"/>
  <c r="AA33" i="113"/>
  <c r="AB26" i="113"/>
  <c r="AA27" i="113"/>
  <c r="AA29" i="113" s="1"/>
  <c r="AA31" i="113" s="1"/>
  <c r="R20" i="78"/>
  <c r="AA78" i="113"/>
  <c r="AA79" i="113" s="1"/>
  <c r="AA87" i="113"/>
  <c r="AB80" i="113"/>
  <c r="AA81" i="113"/>
  <c r="AA83" i="113" s="1"/>
  <c r="AA85" i="113" s="1"/>
  <c r="E12" i="115"/>
  <c r="E17" i="115"/>
  <c r="E41" i="115"/>
  <c r="E41" i="65"/>
  <c r="Z38" i="60"/>
  <c r="Z43" i="60"/>
  <c r="AA41" i="60"/>
  <c r="AA42" i="60"/>
  <c r="U17" i="78"/>
  <c r="D6" i="81"/>
  <c r="T20" i="78"/>
  <c r="C10" i="81"/>
  <c r="T110" i="60"/>
  <c r="L5" i="80" s="1"/>
  <c r="Q110" i="60"/>
  <c r="I5" i="80" s="1"/>
  <c r="E17" i="65"/>
  <c r="E12" i="65"/>
  <c r="D44" i="65"/>
  <c r="D39" i="65"/>
  <c r="P110" i="60"/>
  <c r="H5" i="80" s="1"/>
  <c r="X110" i="60"/>
  <c r="P5" i="80" s="1"/>
  <c r="D39" i="115"/>
  <c r="D44" i="115"/>
  <c r="D114" i="115" s="1"/>
  <c r="W110" i="60"/>
  <c r="O5" i="80" s="1"/>
  <c r="R110" i="60"/>
  <c r="J5" i="80" s="1"/>
  <c r="AN77" i="113"/>
  <c r="AP74" i="113"/>
  <c r="AO82" i="113"/>
  <c r="AP20" i="113"/>
  <c r="AO28" i="113"/>
  <c r="AN23" i="113"/>
  <c r="N26" i="115"/>
  <c r="N21" i="115"/>
  <c r="O23" i="115"/>
  <c r="O23" i="65"/>
  <c r="J22" i="61" s="1"/>
  <c r="AJ25" i="60"/>
  <c r="AJ20" i="60"/>
  <c r="K21" i="65"/>
  <c r="K26" i="65"/>
  <c r="AD18" i="78"/>
  <c r="AK22" i="60"/>
  <c r="AL54" i="113"/>
  <c r="AL56" i="113" s="1"/>
  <c r="AL58" i="113" s="1"/>
  <c r="AL51" i="113"/>
  <c r="AL52" i="113" s="1"/>
  <c r="AL60" i="113"/>
  <c r="D112" i="115" l="1"/>
  <c r="AB41" i="60"/>
  <c r="AB13" i="60"/>
  <c r="E39" i="65"/>
  <c r="E44" i="65"/>
  <c r="AB33" i="113"/>
  <c r="AC26" i="113"/>
  <c r="AB27" i="113"/>
  <c r="AB29" i="113" s="1"/>
  <c r="AB31" i="113" s="1"/>
  <c r="AB24" i="113"/>
  <c r="AB25" i="113" s="1"/>
  <c r="F42" i="115"/>
  <c r="F42" i="65"/>
  <c r="AA40" i="60"/>
  <c r="AB42" i="60"/>
  <c r="F14" i="115"/>
  <c r="F14" i="65"/>
  <c r="AA16" i="60"/>
  <c r="AA11" i="60"/>
  <c r="E44" i="115"/>
  <c r="E114" i="115" s="1"/>
  <c r="E39" i="115"/>
  <c r="AB87" i="113"/>
  <c r="AB81" i="113"/>
  <c r="AB83" i="113" s="1"/>
  <c r="AB85" i="113" s="1"/>
  <c r="AB78" i="113"/>
  <c r="AB79" i="113" s="1"/>
  <c r="AC80" i="113"/>
  <c r="F43" i="115"/>
  <c r="F43" i="65"/>
  <c r="U20" i="78"/>
  <c r="D10" i="81"/>
  <c r="AO77" i="113"/>
  <c r="AQ74" i="113"/>
  <c r="AP82" i="113"/>
  <c r="AO23" i="113"/>
  <c r="AQ20" i="113"/>
  <c r="AP28" i="113"/>
  <c r="AE18" i="78"/>
  <c r="AF18" i="78" s="1"/>
  <c r="AF24" i="78" s="1"/>
  <c r="O26" i="115"/>
  <c r="O21" i="115"/>
  <c r="P21" i="115" s="1"/>
  <c r="P23" i="115"/>
  <c r="AI61" i="113"/>
  <c r="AJ112" i="60" s="1"/>
  <c r="AM24" i="60"/>
  <c r="AM23" i="60"/>
  <c r="L26" i="65"/>
  <c r="L21" i="65"/>
  <c r="AE61" i="113"/>
  <c r="AF112" i="60" s="1"/>
  <c r="AH61" i="113"/>
  <c r="AI112" i="60" s="1"/>
  <c r="AF61" i="113"/>
  <c r="AG112" i="60" s="1"/>
  <c r="AK20" i="60"/>
  <c r="AK25" i="60"/>
  <c r="AM53" i="113"/>
  <c r="AG61" i="113"/>
  <c r="AH112" i="60" s="1"/>
  <c r="AC61" i="113"/>
  <c r="AD112" i="60" s="1"/>
  <c r="AL61" i="113"/>
  <c r="AM112" i="60" s="1"/>
  <c r="AL24" i="60"/>
  <c r="AL23" i="60"/>
  <c r="AD61" i="113"/>
  <c r="AE112" i="60" s="1"/>
  <c r="AB61" i="113"/>
  <c r="AC112" i="60" s="1"/>
  <c r="AJ61" i="113"/>
  <c r="AK112" i="60" s="1"/>
  <c r="AK61" i="113"/>
  <c r="AL112" i="60" s="1"/>
  <c r="AA61" i="113"/>
  <c r="AB112" i="60" s="1"/>
  <c r="E112" i="115" l="1"/>
  <c r="AC42" i="60"/>
  <c r="AC13" i="60"/>
  <c r="AC41" i="60"/>
  <c r="AB40" i="60"/>
  <c r="E6" i="81"/>
  <c r="F24" i="81" s="1"/>
  <c r="F25" i="81" s="1"/>
  <c r="F26" i="81" s="1"/>
  <c r="V17" i="78"/>
  <c r="AC87" i="113"/>
  <c r="AC81" i="113"/>
  <c r="AC83" i="113" s="1"/>
  <c r="AC85" i="113" s="1"/>
  <c r="AC78" i="113"/>
  <c r="AC79" i="113" s="1"/>
  <c r="AD80" i="113"/>
  <c r="F12" i="65"/>
  <c r="F17" i="65"/>
  <c r="G42" i="65"/>
  <c r="G42" i="115"/>
  <c r="G14" i="115"/>
  <c r="AB16" i="60"/>
  <c r="G14" i="65"/>
  <c r="AB11" i="60"/>
  <c r="G43" i="115"/>
  <c r="G43" i="65"/>
  <c r="F12" i="115"/>
  <c r="F17" i="115"/>
  <c r="AA43" i="60"/>
  <c r="AA38" i="60"/>
  <c r="F41" i="115"/>
  <c r="F41" i="65"/>
  <c r="AC33" i="113"/>
  <c r="AC27" i="113"/>
  <c r="AC29" i="113" s="1"/>
  <c r="AC31" i="113" s="1"/>
  <c r="AD13" i="60" s="1"/>
  <c r="AD26" i="113"/>
  <c r="AC24" i="113"/>
  <c r="AC25" i="113" s="1"/>
  <c r="AP23" i="113"/>
  <c r="AP77" i="113"/>
  <c r="AR20" i="113"/>
  <c r="AQ28" i="113"/>
  <c r="AR74" i="113"/>
  <c r="AQ82" i="113"/>
  <c r="Q23" i="115"/>
  <c r="P26" i="115"/>
  <c r="I69" i="44" s="1"/>
  <c r="I71" i="44" s="1"/>
  <c r="AL22" i="60"/>
  <c r="M21" i="65"/>
  <c r="M26" i="65"/>
  <c r="AN53" i="113"/>
  <c r="AM60" i="113"/>
  <c r="AM51" i="113"/>
  <c r="AM52" i="113" s="1"/>
  <c r="AM54" i="113"/>
  <c r="AM56" i="113" s="1"/>
  <c r="AM58" i="113" s="1"/>
  <c r="AM22" i="60"/>
  <c r="F44" i="65" l="1"/>
  <c r="F39" i="65"/>
  <c r="G17" i="65"/>
  <c r="G12" i="65"/>
  <c r="AC40" i="60"/>
  <c r="F39" i="115"/>
  <c r="F44" i="115"/>
  <c r="F114" i="115" s="1"/>
  <c r="AC16" i="60"/>
  <c r="H14" i="115"/>
  <c r="AC11" i="60"/>
  <c r="H14" i="65"/>
  <c r="G12" i="115"/>
  <c r="G17" i="115"/>
  <c r="H42" i="115"/>
  <c r="H42" i="65"/>
  <c r="V20" i="78"/>
  <c r="E10" i="81"/>
  <c r="G24" i="81" s="1"/>
  <c r="G25" i="81" s="1"/>
  <c r="G26" i="81" s="1"/>
  <c r="AD78" i="113"/>
  <c r="AD79" i="113" s="1"/>
  <c r="AD81" i="113"/>
  <c r="AD83" i="113" s="1"/>
  <c r="AD85" i="113" s="1"/>
  <c r="AE80" i="113"/>
  <c r="AD87" i="113"/>
  <c r="H43" i="65"/>
  <c r="H43" i="115"/>
  <c r="F6" i="81"/>
  <c r="W17" i="78"/>
  <c r="G41" i="65"/>
  <c r="AB38" i="60"/>
  <c r="G41" i="115"/>
  <c r="AB43" i="60"/>
  <c r="AD33" i="113"/>
  <c r="AD24" i="113"/>
  <c r="AD25" i="113" s="1"/>
  <c r="AE26" i="113"/>
  <c r="AD27" i="113"/>
  <c r="AD29" i="113" s="1"/>
  <c r="AD31" i="113" s="1"/>
  <c r="AQ77" i="113"/>
  <c r="AS74" i="113"/>
  <c r="AR82" i="113"/>
  <c r="AQ23" i="113"/>
  <c r="AS20" i="113"/>
  <c r="AR28" i="113"/>
  <c r="Q26" i="115"/>
  <c r="J40" i="44"/>
  <c r="F13" i="61"/>
  <c r="AN60" i="113"/>
  <c r="AN51" i="113"/>
  <c r="AN52" i="113" s="1"/>
  <c r="AN54" i="113"/>
  <c r="AN56" i="113" s="1"/>
  <c r="AN58" i="113" s="1"/>
  <c r="AO53" i="113"/>
  <c r="N21" i="65"/>
  <c r="N26" i="65"/>
  <c r="AM20" i="60"/>
  <c r="AM25" i="60"/>
  <c r="AN23" i="60"/>
  <c r="AN24" i="60"/>
  <c r="AL20" i="60"/>
  <c r="AL25" i="60"/>
  <c r="F112" i="115" l="1"/>
  <c r="AE42" i="60"/>
  <c r="AE13" i="60"/>
  <c r="H17" i="115"/>
  <c r="H12" i="115"/>
  <c r="F10" i="81"/>
  <c r="W20" i="78"/>
  <c r="X17" i="78"/>
  <c r="G6" i="81"/>
  <c r="H41" i="115"/>
  <c r="H41" i="65"/>
  <c r="AC38" i="60"/>
  <c r="AC43" i="60"/>
  <c r="G44" i="65"/>
  <c r="G39" i="65"/>
  <c r="H17" i="65"/>
  <c r="H12" i="65"/>
  <c r="AE24" i="113"/>
  <c r="AE25" i="113" s="1"/>
  <c r="AF26" i="113"/>
  <c r="AE27" i="113"/>
  <c r="AE29" i="113" s="1"/>
  <c r="AE31" i="113" s="1"/>
  <c r="AF13" i="60" s="1"/>
  <c r="AE33" i="113"/>
  <c r="G44" i="115"/>
  <c r="G114" i="115" s="1"/>
  <c r="G39" i="115"/>
  <c r="AD41" i="60"/>
  <c r="AD42" i="60"/>
  <c r="AE78" i="113"/>
  <c r="AE79" i="113" s="1"/>
  <c r="AF80" i="113"/>
  <c r="AE87" i="113"/>
  <c r="AE81" i="113"/>
  <c r="AE83" i="113" s="1"/>
  <c r="AE85" i="113" s="1"/>
  <c r="AE41" i="60"/>
  <c r="AR23" i="113"/>
  <c r="AR77" i="113"/>
  <c r="AT20" i="113"/>
  <c r="AS28" i="113"/>
  <c r="AT74" i="113"/>
  <c r="AS82" i="113"/>
  <c r="P25" i="65"/>
  <c r="AO60" i="113"/>
  <c r="AO51" i="113"/>
  <c r="AO52" i="113" s="1"/>
  <c r="AP53" i="113"/>
  <c r="AO54" i="113"/>
  <c r="AO56" i="113" s="1"/>
  <c r="AO58" i="113" s="1"/>
  <c r="P24" i="65"/>
  <c r="AN22" i="60"/>
  <c r="AO23" i="60"/>
  <c r="AO24" i="60"/>
  <c r="G112" i="115" l="1"/>
  <c r="I42" i="115"/>
  <c r="I42" i="65"/>
  <c r="H44" i="115"/>
  <c r="H114" i="115" s="1"/>
  <c r="H39" i="115"/>
  <c r="I43" i="115"/>
  <c r="I43" i="65"/>
  <c r="H39" i="65"/>
  <c r="H44" i="65"/>
  <c r="AE40" i="60"/>
  <c r="AF27" i="113"/>
  <c r="AF29" i="113" s="1"/>
  <c r="AF31" i="113" s="1"/>
  <c r="AF24" i="113"/>
  <c r="AF25" i="113" s="1"/>
  <c r="AG26" i="113"/>
  <c r="AF33" i="113"/>
  <c r="X20" i="78"/>
  <c r="G10" i="81"/>
  <c r="J42" i="115"/>
  <c r="J42" i="65"/>
  <c r="AG80" i="113"/>
  <c r="AF87" i="113"/>
  <c r="AF78" i="113"/>
  <c r="AF79" i="113" s="1"/>
  <c r="AF81" i="113"/>
  <c r="AF83" i="113" s="1"/>
  <c r="AF85" i="113" s="1"/>
  <c r="AD16" i="60"/>
  <c r="I14" i="115"/>
  <c r="I14" i="65"/>
  <c r="AD11" i="60"/>
  <c r="J43" i="115"/>
  <c r="J43" i="65"/>
  <c r="AD40" i="60"/>
  <c r="AE11" i="60"/>
  <c r="J14" i="115"/>
  <c r="AE16" i="60"/>
  <c r="J14" i="65"/>
  <c r="AS77" i="113"/>
  <c r="AU74" i="113"/>
  <c r="AT82" i="113"/>
  <c r="AS23" i="113"/>
  <c r="AU20" i="113"/>
  <c r="AT28" i="113"/>
  <c r="T29" i="76"/>
  <c r="U29" i="76"/>
  <c r="AO22" i="60"/>
  <c r="AP60" i="113"/>
  <c r="AQ53" i="113"/>
  <c r="AP51" i="113"/>
  <c r="AP52" i="113" s="1"/>
  <c r="AP54" i="113"/>
  <c r="AP56" i="113" s="1"/>
  <c r="AP58" i="113" s="1"/>
  <c r="O26" i="65"/>
  <c r="O21" i="65"/>
  <c r="P21" i="65" s="1"/>
  <c r="P23" i="65"/>
  <c r="Q24" i="65"/>
  <c r="Q25" i="65"/>
  <c r="AN20" i="60"/>
  <c r="AN25" i="60"/>
  <c r="AP23" i="60"/>
  <c r="AP24" i="60"/>
  <c r="H112" i="115" l="1"/>
  <c r="AG42" i="60"/>
  <c r="AG41" i="60"/>
  <c r="AG13" i="60"/>
  <c r="Z17" i="78"/>
  <c r="I6" i="81"/>
  <c r="J17" i="115"/>
  <c r="J12" i="115"/>
  <c r="H6" i="81"/>
  <c r="Y17" i="78"/>
  <c r="J41" i="65"/>
  <c r="AE38" i="60"/>
  <c r="J41" i="115"/>
  <c r="AE43" i="60"/>
  <c r="AH80" i="113"/>
  <c r="AG78" i="113"/>
  <c r="AG79" i="113" s="1"/>
  <c r="AG81" i="113"/>
  <c r="AG83" i="113" s="1"/>
  <c r="AG85" i="113" s="1"/>
  <c r="AG87" i="113"/>
  <c r="J17" i="65"/>
  <c r="J12" i="65"/>
  <c r="I12" i="65"/>
  <c r="I17" i="65"/>
  <c r="AD38" i="60"/>
  <c r="I41" i="65"/>
  <c r="I41" i="115"/>
  <c r="AD43" i="60"/>
  <c r="I17" i="115"/>
  <c r="I12" i="115"/>
  <c r="AG33" i="113"/>
  <c r="AG24" i="113"/>
  <c r="AG25" i="113" s="1"/>
  <c r="AG27" i="113"/>
  <c r="AG29" i="113" s="1"/>
  <c r="AG31" i="113" s="1"/>
  <c r="AH13" i="60" s="1"/>
  <c r="AH26" i="113"/>
  <c r="AF41" i="60"/>
  <c r="AF42" i="60"/>
  <c r="AT23" i="113"/>
  <c r="AT77" i="113"/>
  <c r="AV74" i="113"/>
  <c r="AU82" i="113"/>
  <c r="AV20" i="113"/>
  <c r="AU28" i="113"/>
  <c r="T38" i="76"/>
  <c r="U38" i="76"/>
  <c r="S29" i="76"/>
  <c r="AQ51" i="113"/>
  <c r="AQ52" i="113" s="1"/>
  <c r="AQ54" i="113"/>
  <c r="AQ56" i="113" s="1"/>
  <c r="AQ58" i="113" s="1"/>
  <c r="AQ60" i="113"/>
  <c r="AR53" i="113"/>
  <c r="AP22" i="60"/>
  <c r="F21" i="61"/>
  <c r="P26" i="65"/>
  <c r="Q23" i="65"/>
  <c r="AQ23" i="60"/>
  <c r="AQ24" i="60"/>
  <c r="AO25" i="60"/>
  <c r="AO20" i="60"/>
  <c r="K43" i="65" l="1"/>
  <c r="K43" i="115"/>
  <c r="I39" i="65"/>
  <c r="I44" i="65"/>
  <c r="AH87" i="113"/>
  <c r="AH78" i="113"/>
  <c r="AH79" i="113" s="1"/>
  <c r="AI80" i="113"/>
  <c r="AH81" i="113"/>
  <c r="AH83" i="113" s="1"/>
  <c r="AH85" i="113" s="1"/>
  <c r="J39" i="115"/>
  <c r="J44" i="115"/>
  <c r="J114" i="115" s="1"/>
  <c r="AG40" i="60"/>
  <c r="K42" i="65"/>
  <c r="K42" i="115"/>
  <c r="L43" i="65"/>
  <c r="L43" i="115"/>
  <c r="AH27" i="113"/>
  <c r="AH29" i="113" s="1"/>
  <c r="AH31" i="113" s="1"/>
  <c r="AH33" i="113"/>
  <c r="AI26" i="113"/>
  <c r="AH24" i="113"/>
  <c r="AH25" i="113" s="1"/>
  <c r="I39" i="115"/>
  <c r="I44" i="115"/>
  <c r="I114" i="115" s="1"/>
  <c r="L14" i="65"/>
  <c r="AG11" i="60"/>
  <c r="L14" i="115"/>
  <c r="AG16" i="60"/>
  <c r="Z20" i="78"/>
  <c r="I10" i="81"/>
  <c r="AF40" i="60"/>
  <c r="Y20" i="78"/>
  <c r="H10" i="81"/>
  <c r="AF16" i="60"/>
  <c r="AF11" i="60"/>
  <c r="K14" i="65"/>
  <c r="K14" i="115"/>
  <c r="AH41" i="60"/>
  <c r="AH42" i="60"/>
  <c r="J39" i="65"/>
  <c r="J112" i="115" s="1"/>
  <c r="J44" i="65"/>
  <c r="L42" i="65"/>
  <c r="L42" i="115"/>
  <c r="AW20" i="113"/>
  <c r="AV28" i="113"/>
  <c r="AU23" i="113"/>
  <c r="AU77" i="113"/>
  <c r="AW74" i="113"/>
  <c r="AV82" i="113"/>
  <c r="S38" i="76"/>
  <c r="AI24" i="78"/>
  <c r="Q26" i="65"/>
  <c r="P40" i="44" s="1"/>
  <c r="I40" i="44"/>
  <c r="AS53" i="113"/>
  <c r="AR60" i="113"/>
  <c r="AR54" i="113"/>
  <c r="AR56" i="113" s="1"/>
  <c r="AR58" i="113" s="1"/>
  <c r="AR51" i="113"/>
  <c r="AR52" i="113" s="1"/>
  <c r="AR24" i="60"/>
  <c r="AR23" i="60"/>
  <c r="AQ22" i="60"/>
  <c r="AP25" i="60"/>
  <c r="AP20" i="60"/>
  <c r="I112" i="115" l="1"/>
  <c r="AI13" i="60"/>
  <c r="K12" i="115"/>
  <c r="K17" i="115"/>
  <c r="AB17" i="78"/>
  <c r="K6" i="81"/>
  <c r="AG43" i="60"/>
  <c r="L41" i="115"/>
  <c r="AG38" i="60"/>
  <c r="L41" i="65"/>
  <c r="M43" i="115"/>
  <c r="M43" i="65"/>
  <c r="K12" i="65"/>
  <c r="K17" i="65"/>
  <c r="AF43" i="60"/>
  <c r="AF38" i="60"/>
  <c r="K41" i="115"/>
  <c r="K41" i="65"/>
  <c r="L12" i="115"/>
  <c r="L17" i="115"/>
  <c r="AJ80" i="113"/>
  <c r="AI87" i="113"/>
  <c r="AI81" i="113"/>
  <c r="AI83" i="113" s="1"/>
  <c r="AI85" i="113" s="1"/>
  <c r="AI78" i="113"/>
  <c r="AI79" i="113" s="1"/>
  <c r="M42" i="115"/>
  <c r="M42" i="65"/>
  <c r="AA17" i="78"/>
  <c r="J6" i="81"/>
  <c r="L17" i="65"/>
  <c r="L12" i="65"/>
  <c r="AH40" i="60"/>
  <c r="AI33" i="113"/>
  <c r="AJ26" i="113"/>
  <c r="AI27" i="113"/>
  <c r="AI29" i="113" s="1"/>
  <c r="AI31" i="113" s="1"/>
  <c r="AI24" i="113"/>
  <c r="AI25" i="113" s="1"/>
  <c r="AX74" i="113"/>
  <c r="AW82" i="113"/>
  <c r="AV23" i="113"/>
  <c r="AV77" i="113"/>
  <c r="AX20" i="113"/>
  <c r="AW28" i="113"/>
  <c r="AS60" i="113"/>
  <c r="AS51" i="113"/>
  <c r="AS52" i="113" s="1"/>
  <c r="AS54" i="113"/>
  <c r="AS56" i="113" s="1"/>
  <c r="AS58" i="113" s="1"/>
  <c r="AT53" i="113"/>
  <c r="AR22" i="60"/>
  <c r="L40" i="44"/>
  <c r="AQ20" i="60"/>
  <c r="AQ25" i="60"/>
  <c r="AS23" i="60"/>
  <c r="AS24" i="60"/>
  <c r="AJ13" i="60" l="1"/>
  <c r="AJ27" i="113"/>
  <c r="AJ29" i="113" s="1"/>
  <c r="AJ31" i="113" s="1"/>
  <c r="AJ24" i="113"/>
  <c r="AJ25" i="113" s="1"/>
  <c r="AK26" i="113"/>
  <c r="AJ33" i="113"/>
  <c r="K39" i="115"/>
  <c r="K44" i="115"/>
  <c r="K114" i="115" s="1"/>
  <c r="M14" i="115"/>
  <c r="AH11" i="60"/>
  <c r="AH16" i="60"/>
  <c r="M14" i="65"/>
  <c r="M41" i="115"/>
  <c r="AH43" i="60"/>
  <c r="M41" i="65"/>
  <c r="AH38" i="60"/>
  <c r="AJ42" i="60"/>
  <c r="AJ41" i="60"/>
  <c r="K39" i="65"/>
  <c r="K44" i="65"/>
  <c r="AI41" i="60"/>
  <c r="AI42" i="60"/>
  <c r="AB20" i="78"/>
  <c r="K10" i="81"/>
  <c r="AI16" i="60"/>
  <c r="N14" i="115"/>
  <c r="AI11" i="60"/>
  <c r="N14" i="65"/>
  <c r="AJ87" i="113"/>
  <c r="AJ78" i="113"/>
  <c r="AJ79" i="113" s="1"/>
  <c r="AK80" i="113"/>
  <c r="AJ81" i="113"/>
  <c r="AJ83" i="113" s="1"/>
  <c r="AJ85" i="113" s="1"/>
  <c r="L44" i="65"/>
  <c r="L39" i="65"/>
  <c r="AA20" i="78"/>
  <c r="J10" i="81"/>
  <c r="L44" i="115"/>
  <c r="L114" i="115" s="1"/>
  <c r="L39" i="115"/>
  <c r="AY20" i="113"/>
  <c r="AX28" i="113"/>
  <c r="AW23" i="113"/>
  <c r="AW77" i="113"/>
  <c r="AY74" i="113"/>
  <c r="AX82" i="113"/>
  <c r="AR25" i="60"/>
  <c r="AR20" i="60"/>
  <c r="AT24" i="60"/>
  <c r="AT23" i="60"/>
  <c r="AS22" i="60"/>
  <c r="K40" i="44"/>
  <c r="M40" i="44"/>
  <c r="R70" i="44"/>
  <c r="C57" i="44"/>
  <c r="AU53" i="113"/>
  <c r="AT60" i="113"/>
  <c r="AT54" i="113"/>
  <c r="AT56" i="113" s="1"/>
  <c r="AT58" i="113" s="1"/>
  <c r="AT51" i="113"/>
  <c r="AT52" i="113" s="1"/>
  <c r="K112" i="115" l="1"/>
  <c r="L112" i="115"/>
  <c r="AK13" i="60"/>
  <c r="M6" i="81"/>
  <c r="AD17" i="78"/>
  <c r="N17" i="115"/>
  <c r="N12" i="115"/>
  <c r="N43" i="115"/>
  <c r="N43" i="65"/>
  <c r="AJ40" i="60"/>
  <c r="M44" i="115"/>
  <c r="M39" i="115"/>
  <c r="M17" i="65"/>
  <c r="M12" i="65"/>
  <c r="AI40" i="60"/>
  <c r="N17" i="65"/>
  <c r="N12" i="65"/>
  <c r="N42" i="115"/>
  <c r="N42" i="65"/>
  <c r="O42" i="115"/>
  <c r="O42" i="65"/>
  <c r="M39" i="65"/>
  <c r="M44" i="65"/>
  <c r="AJ16" i="60"/>
  <c r="O14" i="115"/>
  <c r="O14" i="65"/>
  <c r="AJ11" i="60"/>
  <c r="L6" i="81"/>
  <c r="AC17" i="78"/>
  <c r="AK87" i="113"/>
  <c r="AL80" i="113"/>
  <c r="AK78" i="113"/>
  <c r="AK79" i="113" s="1"/>
  <c r="AK81" i="113"/>
  <c r="AK83" i="113" s="1"/>
  <c r="AK85" i="113" s="1"/>
  <c r="O43" i="115"/>
  <c r="O43" i="65"/>
  <c r="AC20" i="78"/>
  <c r="L10" i="81"/>
  <c r="M17" i="115"/>
  <c r="M12" i="115"/>
  <c r="AK27" i="113"/>
  <c r="AK29" i="113" s="1"/>
  <c r="AK31" i="113" s="1"/>
  <c r="AK33" i="113"/>
  <c r="AL26" i="113"/>
  <c r="AK24" i="113"/>
  <c r="AK25" i="113" s="1"/>
  <c r="AX77" i="113"/>
  <c r="AZ74" i="113"/>
  <c r="AY82" i="113"/>
  <c r="AX23" i="113"/>
  <c r="AZ20" i="113"/>
  <c r="AY28" i="113"/>
  <c r="AU23" i="60"/>
  <c r="AU24" i="60"/>
  <c r="D57" i="44"/>
  <c r="O40" i="44"/>
  <c r="N40" i="44"/>
  <c r="AT22" i="60"/>
  <c r="AU51" i="113"/>
  <c r="AU52" i="113" s="1"/>
  <c r="AU60" i="113"/>
  <c r="AU54" i="113"/>
  <c r="AU56" i="113" s="1"/>
  <c r="AU58" i="113" s="1"/>
  <c r="AV53" i="113"/>
  <c r="AS20" i="60"/>
  <c r="AS25" i="60"/>
  <c r="M114" i="115" l="1"/>
  <c r="M112" i="115"/>
  <c r="AL13" i="60"/>
  <c r="P42" i="65"/>
  <c r="P43" i="115"/>
  <c r="Q43" i="115" s="1"/>
  <c r="J23" i="61"/>
  <c r="J24" i="61" s="1"/>
  <c r="P43" i="65"/>
  <c r="J14" i="61"/>
  <c r="J16" i="61" s="1"/>
  <c r="O12" i="65"/>
  <c r="O17" i="65"/>
  <c r="AK41" i="60"/>
  <c r="AK42" i="60"/>
  <c r="AL41" i="60"/>
  <c r="AL87" i="113"/>
  <c r="AL81" i="113"/>
  <c r="AL83" i="113" s="1"/>
  <c r="AL85" i="113" s="1"/>
  <c r="AL78" i="113"/>
  <c r="AL79" i="113" s="1"/>
  <c r="O17" i="115"/>
  <c r="O12" i="115"/>
  <c r="P12" i="115" s="1"/>
  <c r="P14" i="115"/>
  <c r="Q42" i="65"/>
  <c r="P14" i="65"/>
  <c r="AL24" i="113"/>
  <c r="AL25" i="113" s="1"/>
  <c r="AL27" i="113"/>
  <c r="AL29" i="113" s="1"/>
  <c r="AL31" i="113" s="1"/>
  <c r="AM13" i="60" s="1"/>
  <c r="AL33" i="113"/>
  <c r="AE17" i="78"/>
  <c r="AF17" i="78" s="1"/>
  <c r="AF23" i="78" s="1"/>
  <c r="N6" i="81"/>
  <c r="O6" i="81" s="1"/>
  <c r="F27" i="81" s="1"/>
  <c r="F29" i="81" s="1"/>
  <c r="F31" i="81" s="1"/>
  <c r="F33" i="81" s="1"/>
  <c r="P42" i="115"/>
  <c r="Q42" i="115" s="1"/>
  <c r="N41" i="115"/>
  <c r="AI43" i="60"/>
  <c r="AI38" i="60"/>
  <c r="N41" i="65"/>
  <c r="O41" i="65"/>
  <c r="AJ38" i="60"/>
  <c r="AJ43" i="60"/>
  <c r="O41" i="115"/>
  <c r="AK11" i="60"/>
  <c r="AK16" i="60"/>
  <c r="AY23" i="113"/>
  <c r="AY77" i="113"/>
  <c r="BA20" i="113"/>
  <c r="AZ28" i="113"/>
  <c r="BA74" i="113"/>
  <c r="AZ82" i="113"/>
  <c r="AV23" i="60"/>
  <c r="AV24" i="60"/>
  <c r="AU22" i="60"/>
  <c r="AV60" i="113"/>
  <c r="AV54" i="113"/>
  <c r="AV56" i="113" s="1"/>
  <c r="AV58" i="113" s="1"/>
  <c r="AV51" i="113"/>
  <c r="AV52" i="113" s="1"/>
  <c r="AW53" i="113"/>
  <c r="AT25" i="60"/>
  <c r="AT20" i="60"/>
  <c r="P12" i="65" l="1"/>
  <c r="D23" i="61"/>
  <c r="F23" i="61" s="1"/>
  <c r="Q18" i="76"/>
  <c r="T31" i="76"/>
  <c r="T41" i="76" s="1"/>
  <c r="T42" i="76" s="1"/>
  <c r="AL42" i="60"/>
  <c r="K18" i="91"/>
  <c r="M18" i="91" s="1"/>
  <c r="P18" i="91" s="1"/>
  <c r="U31" i="76"/>
  <c r="U41" i="76" s="1"/>
  <c r="U42" i="76" s="1"/>
  <c r="AH88" i="113"/>
  <c r="AI114" i="60" s="1"/>
  <c r="AJ88" i="113"/>
  <c r="AK114" i="60" s="1"/>
  <c r="AK34" i="113"/>
  <c r="AL111" i="60" s="1"/>
  <c r="Q43" i="65"/>
  <c r="AD88" i="113"/>
  <c r="AE114" i="60" s="1"/>
  <c r="AK88" i="113"/>
  <c r="AL114" i="60" s="1"/>
  <c r="D14" i="61"/>
  <c r="Q14" i="65"/>
  <c r="P17" i="65"/>
  <c r="S28" i="76"/>
  <c r="AH34" i="113"/>
  <c r="AI111" i="60" s="1"/>
  <c r="M19" i="76"/>
  <c r="P19" i="76" s="1"/>
  <c r="K19" i="91"/>
  <c r="M19" i="91" s="1"/>
  <c r="P19" i="91" s="1"/>
  <c r="AM26" i="113"/>
  <c r="P17" i="115"/>
  <c r="I68" i="44" s="1"/>
  <c r="Q14" i="115"/>
  <c r="AM80" i="113"/>
  <c r="AI34" i="113"/>
  <c r="AJ111" i="60" s="1"/>
  <c r="AF88" i="113"/>
  <c r="AG114" i="60" s="1"/>
  <c r="O44" i="65"/>
  <c r="O39" i="65"/>
  <c r="P41" i="65"/>
  <c r="Q17" i="76" s="1"/>
  <c r="M17" i="76" s="1"/>
  <c r="J17" i="76" s="1"/>
  <c r="N44" i="115"/>
  <c r="N114" i="115" s="1"/>
  <c r="N39" i="115"/>
  <c r="AJ34" i="113"/>
  <c r="AK111" i="60" s="1"/>
  <c r="AG88" i="113"/>
  <c r="AH114" i="60" s="1"/>
  <c r="AI88" i="113"/>
  <c r="AJ114" i="60" s="1"/>
  <c r="AL88" i="113"/>
  <c r="AM114" i="60" s="1"/>
  <c r="AB88" i="113"/>
  <c r="AC114" i="60" s="1"/>
  <c r="AC88" i="113"/>
  <c r="AD114" i="60" s="1"/>
  <c r="AE88" i="113"/>
  <c r="AF114" i="60" s="1"/>
  <c r="AA88" i="113"/>
  <c r="AB114" i="60" s="1"/>
  <c r="O39" i="115"/>
  <c r="O44" i="115"/>
  <c r="O114" i="115" s="1"/>
  <c r="P41" i="115"/>
  <c r="AL34" i="113"/>
  <c r="AM111" i="60" s="1"/>
  <c r="AM110" i="60" s="1"/>
  <c r="AE5" i="80" s="1"/>
  <c r="AA34" i="113"/>
  <c r="AB111" i="60" s="1"/>
  <c r="AC34" i="113"/>
  <c r="AD111" i="60" s="1"/>
  <c r="AB34" i="113"/>
  <c r="AC111" i="60" s="1"/>
  <c r="AD34" i="113"/>
  <c r="AE111" i="60" s="1"/>
  <c r="AE34" i="113"/>
  <c r="AF111" i="60" s="1"/>
  <c r="AF34" i="113"/>
  <c r="AG111" i="60" s="1"/>
  <c r="AL40" i="60"/>
  <c r="AG34" i="113"/>
  <c r="AH111" i="60" s="1"/>
  <c r="N39" i="65"/>
  <c r="N44" i="65"/>
  <c r="AL11" i="60"/>
  <c r="AL16" i="60"/>
  <c r="AE20" i="78"/>
  <c r="N10" i="81"/>
  <c r="AD20" i="78"/>
  <c r="M10" i="81"/>
  <c r="AK40" i="60"/>
  <c r="BB74" i="113"/>
  <c r="BA82" i="113"/>
  <c r="AZ77" i="113"/>
  <c r="AZ23" i="113"/>
  <c r="BB20" i="113"/>
  <c r="BA28" i="113"/>
  <c r="AW24" i="60"/>
  <c r="AW23" i="60"/>
  <c r="AV22" i="60"/>
  <c r="AW54" i="113"/>
  <c r="AW56" i="113" s="1"/>
  <c r="AW58" i="113" s="1"/>
  <c r="AW60" i="113"/>
  <c r="AX53" i="113"/>
  <c r="AW51" i="113"/>
  <c r="AW52" i="113" s="1"/>
  <c r="AU25" i="60"/>
  <c r="AU20" i="60"/>
  <c r="C12" i="61" l="1"/>
  <c r="F12" i="61" s="1"/>
  <c r="I81" i="44"/>
  <c r="C91" i="44" s="1"/>
  <c r="U32" i="76"/>
  <c r="P114" i="115"/>
  <c r="N112" i="115"/>
  <c r="O112" i="115"/>
  <c r="J17" i="91"/>
  <c r="J40" i="91" s="1"/>
  <c r="T32" i="76"/>
  <c r="AK110" i="60"/>
  <c r="AC5" i="80" s="1"/>
  <c r="AI110" i="60"/>
  <c r="AA5" i="80" s="1"/>
  <c r="AD110" i="60"/>
  <c r="V5" i="80" s="1"/>
  <c r="AE110" i="60"/>
  <c r="W5" i="80" s="1"/>
  <c r="AJ110" i="60"/>
  <c r="AB5" i="80" s="1"/>
  <c r="AG110" i="60"/>
  <c r="Y5" i="80" s="1"/>
  <c r="AL110" i="60"/>
  <c r="AD5" i="80" s="1"/>
  <c r="AH110" i="60"/>
  <c r="Z5" i="80" s="1"/>
  <c r="AF110" i="60"/>
  <c r="X5" i="80" s="1"/>
  <c r="AB110" i="60"/>
  <c r="T5" i="80" s="1"/>
  <c r="AF20" i="78"/>
  <c r="AF26" i="78" s="1"/>
  <c r="AL43" i="60"/>
  <c r="AL38" i="60"/>
  <c r="AK38" i="60"/>
  <c r="AK43" i="60"/>
  <c r="O10" i="81"/>
  <c r="G27" i="81" s="1"/>
  <c r="G29" i="81" s="1"/>
  <c r="G31" i="81" s="1"/>
  <c r="G33" i="81" s="1"/>
  <c r="AC110" i="60"/>
  <c r="U5" i="80" s="1"/>
  <c r="P44" i="115"/>
  <c r="I75" i="44" s="1"/>
  <c r="I83" i="44" s="1"/>
  <c r="Q41" i="115"/>
  <c r="P39" i="65"/>
  <c r="AM24" i="113"/>
  <c r="AM25" i="113" s="1"/>
  <c r="AM33" i="113"/>
  <c r="AM27" i="113"/>
  <c r="AM29" i="113" s="1"/>
  <c r="AM31" i="113" s="1"/>
  <c r="AN26" i="113"/>
  <c r="S37" i="76"/>
  <c r="P39" i="115"/>
  <c r="AM81" i="113"/>
  <c r="AM83" i="113" s="1"/>
  <c r="AM85" i="113" s="1"/>
  <c r="AM78" i="113"/>
  <c r="AM79" i="113" s="1"/>
  <c r="AN80" i="113"/>
  <c r="AM87" i="113"/>
  <c r="J39" i="44"/>
  <c r="Q17" i="115"/>
  <c r="I39" i="44"/>
  <c r="L39" i="44" s="1"/>
  <c r="Q17" i="65"/>
  <c r="P39" i="44" s="1"/>
  <c r="S31" i="76"/>
  <c r="S41" i="76" s="1"/>
  <c r="Q41" i="65"/>
  <c r="P44" i="65"/>
  <c r="D22" i="61"/>
  <c r="AM42" i="60"/>
  <c r="AM41" i="60"/>
  <c r="F14" i="61"/>
  <c r="D16" i="61"/>
  <c r="BC20" i="113"/>
  <c r="BB28" i="113"/>
  <c r="BA23" i="113"/>
  <c r="BA77" i="113"/>
  <c r="BC74" i="113"/>
  <c r="BB82" i="113"/>
  <c r="AV25" i="60"/>
  <c r="AV20" i="60"/>
  <c r="AW22" i="60"/>
  <c r="AX51" i="113"/>
  <c r="AX52" i="113" s="1"/>
  <c r="AX60" i="113"/>
  <c r="AX54" i="113"/>
  <c r="AX56" i="113" s="1"/>
  <c r="AX58" i="113" s="1"/>
  <c r="C16" i="61" l="1"/>
  <c r="F16" i="61"/>
  <c r="C20" i="61"/>
  <c r="F20" i="61" s="1"/>
  <c r="C94" i="44"/>
  <c r="D91" i="44"/>
  <c r="C92" i="44"/>
  <c r="S28" i="91"/>
  <c r="AN13" i="60"/>
  <c r="C56" i="44"/>
  <c r="R69" i="44"/>
  <c r="AM16" i="60"/>
  <c r="AM11" i="60"/>
  <c r="I42" i="44"/>
  <c r="L42" i="44" s="1"/>
  <c r="Q44" i="65"/>
  <c r="P42" i="44" s="1"/>
  <c r="AN87" i="113"/>
  <c r="AN81" i="113"/>
  <c r="AN83" i="113" s="1"/>
  <c r="AN85" i="113" s="1"/>
  <c r="AN78" i="113"/>
  <c r="AN79" i="113" s="1"/>
  <c r="AO80" i="113"/>
  <c r="S32" i="76"/>
  <c r="AM40" i="60"/>
  <c r="J42" i="44"/>
  <c r="Q44" i="115"/>
  <c r="S42" i="76"/>
  <c r="P17" i="76"/>
  <c r="K17" i="91"/>
  <c r="K40" i="76"/>
  <c r="F22" i="61"/>
  <c r="D24" i="61"/>
  <c r="K39" i="44"/>
  <c r="M39" i="44"/>
  <c r="AN42" i="60"/>
  <c r="AN41" i="60"/>
  <c r="AO26" i="113"/>
  <c r="AN33" i="113"/>
  <c r="AN27" i="113"/>
  <c r="AN29" i="113" s="1"/>
  <c r="AN31" i="113" s="1"/>
  <c r="AO13" i="60" s="1"/>
  <c r="AN24" i="113"/>
  <c r="AN25" i="113" s="1"/>
  <c r="BD74" i="113"/>
  <c r="BC82" i="113"/>
  <c r="BB23" i="113"/>
  <c r="BB77" i="113"/>
  <c r="BD20" i="113"/>
  <c r="BC28" i="113"/>
  <c r="AR61" i="113"/>
  <c r="AS112" i="60" s="1"/>
  <c r="AW61" i="113"/>
  <c r="AX112" i="60" s="1"/>
  <c r="AT61" i="113"/>
  <c r="AU112" i="60" s="1"/>
  <c r="AY24" i="60"/>
  <c r="AY23" i="60"/>
  <c r="AW20" i="60"/>
  <c r="AW25" i="60"/>
  <c r="AY53" i="113"/>
  <c r="AO61" i="113"/>
  <c r="AP112" i="60" s="1"/>
  <c r="AV61" i="113"/>
  <c r="AW112" i="60" s="1"/>
  <c r="AS61" i="113"/>
  <c r="AT112" i="60" s="1"/>
  <c r="AX61" i="113"/>
  <c r="AY112" i="60" s="1"/>
  <c r="AX23" i="60"/>
  <c r="AX24" i="60"/>
  <c r="AU61" i="113"/>
  <c r="AV112" i="60" s="1"/>
  <c r="AP61" i="113"/>
  <c r="AQ112" i="60" s="1"/>
  <c r="AQ61" i="113"/>
  <c r="AR112" i="60" s="1"/>
  <c r="AN61" i="113"/>
  <c r="AO112" i="60" s="1"/>
  <c r="AM61" i="113"/>
  <c r="AN112" i="60" s="1"/>
  <c r="C24" i="61" l="1"/>
  <c r="C95" i="44"/>
  <c r="D92" i="44"/>
  <c r="D94" i="44"/>
  <c r="F24" i="61"/>
  <c r="AO24" i="113"/>
  <c r="AO25" i="113" s="1"/>
  <c r="AO27" i="113"/>
  <c r="AO29" i="113" s="1"/>
  <c r="AO31" i="113" s="1"/>
  <c r="AO33" i="113"/>
  <c r="AP26" i="113"/>
  <c r="N39" i="44"/>
  <c r="O39" i="44"/>
  <c r="D56" i="44"/>
  <c r="AN11" i="60"/>
  <c r="AN16" i="60"/>
  <c r="AI23" i="78" s="1"/>
  <c r="AO42" i="60"/>
  <c r="K40" i="91"/>
  <c r="M17" i="91"/>
  <c r="P17" i="91" s="1"/>
  <c r="K42" i="44"/>
  <c r="M42" i="44"/>
  <c r="AO78" i="113"/>
  <c r="AO79" i="113" s="1"/>
  <c r="AP80" i="113"/>
  <c r="AO81" i="113"/>
  <c r="AO83" i="113" s="1"/>
  <c r="AO85" i="113" s="1"/>
  <c r="AO87" i="113"/>
  <c r="AN40" i="60"/>
  <c r="AM43" i="60"/>
  <c r="AM38" i="60"/>
  <c r="R72" i="44"/>
  <c r="C59" i="44"/>
  <c r="BC23" i="113"/>
  <c r="BC77" i="113"/>
  <c r="BE20" i="113"/>
  <c r="BD28" i="113"/>
  <c r="BE74" i="113"/>
  <c r="BD82" i="113"/>
  <c r="AX22" i="60"/>
  <c r="AY22" i="60"/>
  <c r="AY54" i="113"/>
  <c r="AY56" i="113" s="1"/>
  <c r="AY58" i="113" s="1"/>
  <c r="AZ53" i="113"/>
  <c r="AY51" i="113"/>
  <c r="AY52" i="113" s="1"/>
  <c r="AY60" i="113"/>
  <c r="D95" i="44" l="1"/>
  <c r="E95" i="44" s="1"/>
  <c r="F95" i="44" s="1"/>
  <c r="AD35" i="44"/>
  <c r="AO41" i="60"/>
  <c r="AP13" i="60"/>
  <c r="AQ26" i="113"/>
  <c r="AP24" i="113"/>
  <c r="AP25" i="113" s="1"/>
  <c r="AP33" i="113"/>
  <c r="AP27" i="113"/>
  <c r="AP29" i="113" s="1"/>
  <c r="AP31" i="113" s="1"/>
  <c r="AQ13" i="60" s="1"/>
  <c r="AN43" i="60"/>
  <c r="AN38" i="60"/>
  <c r="AQ80" i="113"/>
  <c r="AP87" i="113"/>
  <c r="AP78" i="113"/>
  <c r="AP79" i="113" s="1"/>
  <c r="AP81" i="113"/>
  <c r="AP83" i="113" s="1"/>
  <c r="AP85" i="113" s="1"/>
  <c r="N42" i="44"/>
  <c r="AD37" i="44" s="1"/>
  <c r="O42" i="44"/>
  <c r="D59" i="44"/>
  <c r="AO40" i="60"/>
  <c r="BF74" i="113"/>
  <c r="BE82" i="113"/>
  <c r="BD77" i="113"/>
  <c r="BD23" i="113"/>
  <c r="BF20" i="113"/>
  <c r="BE28" i="113"/>
  <c r="S68" i="72"/>
  <c r="AX20" i="60"/>
  <c r="AX25" i="60"/>
  <c r="AY25" i="60"/>
  <c r="AY20" i="60"/>
  <c r="AZ54" i="113"/>
  <c r="AZ56" i="113" s="1"/>
  <c r="AZ58" i="113" s="1"/>
  <c r="AZ60" i="113"/>
  <c r="BA53" i="113"/>
  <c r="AZ51" i="113"/>
  <c r="AZ52" i="113" s="1"/>
  <c r="AZ24" i="60"/>
  <c r="AZ23" i="60"/>
  <c r="AI26" i="78" l="1"/>
  <c r="AQ41" i="60"/>
  <c r="AQ42" i="60"/>
  <c r="AQ87" i="113"/>
  <c r="AQ78" i="113"/>
  <c r="AQ79" i="113" s="1"/>
  <c r="AQ81" i="113"/>
  <c r="AQ83" i="113" s="1"/>
  <c r="AQ85" i="113" s="1"/>
  <c r="AR80" i="113"/>
  <c r="AP16" i="60"/>
  <c r="AP11" i="60"/>
  <c r="AO11" i="60"/>
  <c r="AO16" i="60"/>
  <c r="AP41" i="60"/>
  <c r="AP42" i="60"/>
  <c r="AO43" i="60"/>
  <c r="AO38" i="60"/>
  <c r="AQ33" i="113"/>
  <c r="AR26" i="113"/>
  <c r="AQ24" i="113"/>
  <c r="AQ25" i="113" s="1"/>
  <c r="AQ27" i="113"/>
  <c r="AQ29" i="113" s="1"/>
  <c r="AQ31" i="113" s="1"/>
  <c r="BE23" i="113"/>
  <c r="BG20" i="113"/>
  <c r="BF28" i="113"/>
  <c r="BE77" i="113"/>
  <c r="BG74" i="113"/>
  <c r="BF82" i="113"/>
  <c r="BA24" i="60"/>
  <c r="BA23" i="60"/>
  <c r="AZ22" i="60"/>
  <c r="BB53" i="113"/>
  <c r="BA54" i="113"/>
  <c r="BA56" i="113" s="1"/>
  <c r="BA58" i="113" s="1"/>
  <c r="BA51" i="113"/>
  <c r="BA52" i="113" s="1"/>
  <c r="BA60" i="113"/>
  <c r="AR13" i="60" l="1"/>
  <c r="AS26" i="113"/>
  <c r="AR27" i="113"/>
  <c r="AR29" i="113" s="1"/>
  <c r="AR31" i="113" s="1"/>
  <c r="AR33" i="113"/>
  <c r="AR24" i="113"/>
  <c r="AR25" i="113" s="1"/>
  <c r="AQ40" i="60"/>
  <c r="AP40" i="60"/>
  <c r="AS80" i="113"/>
  <c r="AR81" i="113"/>
  <c r="AR83" i="113" s="1"/>
  <c r="AR85" i="113" s="1"/>
  <c r="AR78" i="113"/>
  <c r="AR79" i="113" s="1"/>
  <c r="AR87" i="113"/>
  <c r="BH74" i="113"/>
  <c r="BG82" i="113"/>
  <c r="BH20" i="113"/>
  <c r="BG28" i="113"/>
  <c r="BF77" i="113"/>
  <c r="BF23" i="113"/>
  <c r="BB23" i="60"/>
  <c r="BB24" i="60"/>
  <c r="BA22" i="60"/>
  <c r="BB54" i="113"/>
  <c r="BB56" i="113" s="1"/>
  <c r="BB58" i="113" s="1"/>
  <c r="BC53" i="113"/>
  <c r="BB60" i="113"/>
  <c r="BB51" i="113"/>
  <c r="BB52" i="113" s="1"/>
  <c r="AZ20" i="60"/>
  <c r="AZ25" i="60"/>
  <c r="AS41" i="60" l="1"/>
  <c r="AS42" i="60"/>
  <c r="AS13" i="60"/>
  <c r="AQ16" i="60"/>
  <c r="AQ11" i="60"/>
  <c r="AP43" i="60"/>
  <c r="AP38" i="60"/>
  <c r="AR42" i="60"/>
  <c r="AR41" i="60"/>
  <c r="AS81" i="113"/>
  <c r="AS83" i="113" s="1"/>
  <c r="AS85" i="113" s="1"/>
  <c r="AT80" i="113"/>
  <c r="AS87" i="113"/>
  <c r="AS78" i="113"/>
  <c r="AS79" i="113" s="1"/>
  <c r="AR11" i="60"/>
  <c r="AR16" i="60"/>
  <c r="AQ43" i="60"/>
  <c r="AQ38" i="60"/>
  <c r="AS27" i="113"/>
  <c r="AS29" i="113" s="1"/>
  <c r="AS31" i="113" s="1"/>
  <c r="AT13" i="60" s="1"/>
  <c r="AS33" i="113"/>
  <c r="AT26" i="113"/>
  <c r="AS24" i="113"/>
  <c r="AS25" i="113" s="1"/>
  <c r="BI20" i="113"/>
  <c r="BH28" i="113"/>
  <c r="BG23" i="113"/>
  <c r="BG77" i="113"/>
  <c r="BI74" i="113"/>
  <c r="BH82" i="113"/>
  <c r="BA25" i="60"/>
  <c r="BA20" i="60"/>
  <c r="BC54" i="113"/>
  <c r="BC56" i="113" s="1"/>
  <c r="BC58" i="113" s="1"/>
  <c r="BC60" i="113"/>
  <c r="BC51" i="113"/>
  <c r="BC52" i="113" s="1"/>
  <c r="BD53" i="113"/>
  <c r="BC24" i="60"/>
  <c r="BC23" i="60"/>
  <c r="BB22" i="60"/>
  <c r="AT27" i="113" l="1"/>
  <c r="AT29" i="113" s="1"/>
  <c r="AT31" i="113" s="1"/>
  <c r="AU26" i="113"/>
  <c r="AT33" i="113"/>
  <c r="AT24" i="113"/>
  <c r="AT25" i="113" s="1"/>
  <c r="AS40" i="60"/>
  <c r="AR40" i="60"/>
  <c r="AT81" i="113"/>
  <c r="AT83" i="113" s="1"/>
  <c r="AT85" i="113" s="1"/>
  <c r="AT87" i="113"/>
  <c r="AT78" i="113"/>
  <c r="AT79" i="113" s="1"/>
  <c r="AU80" i="113"/>
  <c r="AS16" i="60"/>
  <c r="AS11" i="60"/>
  <c r="BJ74" i="113"/>
  <c r="BI82" i="113"/>
  <c r="BH23" i="113"/>
  <c r="BH77" i="113"/>
  <c r="BJ20" i="113"/>
  <c r="BI28" i="113"/>
  <c r="AJ24" i="78"/>
  <c r="BD23" i="60"/>
  <c r="BD24" i="60"/>
  <c r="BB25" i="60"/>
  <c r="BB20" i="60"/>
  <c r="BC22" i="60"/>
  <c r="BE53" i="113"/>
  <c r="BD54" i="113"/>
  <c r="BD56" i="113" s="1"/>
  <c r="BD58" i="113" s="1"/>
  <c r="BD51" i="113"/>
  <c r="BD52" i="113" s="1"/>
  <c r="BD60" i="113"/>
  <c r="AU42" i="60" l="1"/>
  <c r="AU13" i="60"/>
  <c r="AU78" i="113"/>
  <c r="AU79" i="113" s="1"/>
  <c r="AU87" i="113"/>
  <c r="AU81" i="113"/>
  <c r="AU83" i="113" s="1"/>
  <c r="AU85" i="113" s="1"/>
  <c r="AV80" i="113"/>
  <c r="AS38" i="60"/>
  <c r="AS43" i="60"/>
  <c r="AU33" i="113"/>
  <c r="AU27" i="113"/>
  <c r="AU29" i="113" s="1"/>
  <c r="AU31" i="113" s="1"/>
  <c r="AV13" i="60" s="1"/>
  <c r="AV26" i="113"/>
  <c r="AU24" i="113"/>
  <c r="AU25" i="113" s="1"/>
  <c r="AU41" i="60"/>
  <c r="AR43" i="60"/>
  <c r="AR38" i="60"/>
  <c r="AT42" i="60"/>
  <c r="AT41" i="60"/>
  <c r="BK20" i="113"/>
  <c r="BJ28" i="113"/>
  <c r="BI23" i="113"/>
  <c r="BI77" i="113"/>
  <c r="BK74" i="113"/>
  <c r="BJ82" i="113"/>
  <c r="BC20" i="60"/>
  <c r="BC25" i="60"/>
  <c r="BE23" i="60"/>
  <c r="BE24" i="60"/>
  <c r="BF53" i="113"/>
  <c r="BE51" i="113"/>
  <c r="BE52" i="113" s="1"/>
  <c r="BE60" i="113"/>
  <c r="BE54" i="113"/>
  <c r="BE56" i="113" s="1"/>
  <c r="BE58" i="113" s="1"/>
  <c r="BD22" i="60"/>
  <c r="AV42" i="60" l="1"/>
  <c r="AT40" i="60"/>
  <c r="AV27" i="113"/>
  <c r="AV29" i="113" s="1"/>
  <c r="AV31" i="113" s="1"/>
  <c r="AV33" i="113"/>
  <c r="AV24" i="113"/>
  <c r="AV25" i="113" s="1"/>
  <c r="AW26" i="113"/>
  <c r="AV78" i="113"/>
  <c r="AV79" i="113" s="1"/>
  <c r="AV87" i="113"/>
  <c r="AV81" i="113"/>
  <c r="AV83" i="113" s="1"/>
  <c r="AV85" i="113" s="1"/>
  <c r="AW80" i="113"/>
  <c r="AV41" i="60"/>
  <c r="AU11" i="60"/>
  <c r="AU16" i="60"/>
  <c r="AT16" i="60"/>
  <c r="AT11" i="60"/>
  <c r="AU40" i="60"/>
  <c r="BL74" i="113"/>
  <c r="BK82" i="113"/>
  <c r="BJ77" i="113"/>
  <c r="BJ23" i="113"/>
  <c r="BL20" i="113"/>
  <c r="BK28" i="113"/>
  <c r="BF60" i="113"/>
  <c r="BF54" i="113"/>
  <c r="BF56" i="113" s="1"/>
  <c r="BF58" i="113" s="1"/>
  <c r="BG53" i="113"/>
  <c r="BF51" i="113"/>
  <c r="BF52" i="113" s="1"/>
  <c r="BF23" i="60"/>
  <c r="BF24" i="60"/>
  <c r="BD25" i="60"/>
  <c r="BD20" i="60"/>
  <c r="BE22" i="60"/>
  <c r="AW13" i="60" l="1"/>
  <c r="AU38" i="60"/>
  <c r="AU43" i="60"/>
  <c r="AX80" i="113"/>
  <c r="AW87" i="113"/>
  <c r="AW78" i="113"/>
  <c r="AW79" i="113" s="1"/>
  <c r="AW81" i="113"/>
  <c r="AW83" i="113" s="1"/>
  <c r="AW85" i="113" s="1"/>
  <c r="AW27" i="113"/>
  <c r="AW29" i="113" s="1"/>
  <c r="AW31" i="113" s="1"/>
  <c r="AX26" i="113"/>
  <c r="AW33" i="113"/>
  <c r="AW24" i="113"/>
  <c r="AW25" i="113" s="1"/>
  <c r="AV40" i="60"/>
  <c r="AT43" i="60"/>
  <c r="AT38" i="60"/>
  <c r="BK23" i="113"/>
  <c r="BM20" i="113"/>
  <c r="BL28" i="113"/>
  <c r="BK77" i="113"/>
  <c r="BM74" i="113"/>
  <c r="BL82" i="113"/>
  <c r="BE25" i="60"/>
  <c r="BE20" i="60"/>
  <c r="BF22" i="60"/>
  <c r="BG51" i="113"/>
  <c r="BG52" i="113" s="1"/>
  <c r="BG54" i="113"/>
  <c r="BG56" i="113" s="1"/>
  <c r="BG58" i="113" s="1"/>
  <c r="BG60" i="113"/>
  <c r="BH53" i="113"/>
  <c r="BG23" i="60"/>
  <c r="BG24" i="60"/>
  <c r="AX41" i="60" l="1"/>
  <c r="AX42" i="60"/>
  <c r="AX13" i="60"/>
  <c r="AX81" i="113"/>
  <c r="AX83" i="113" s="1"/>
  <c r="AX85" i="113" s="1"/>
  <c r="AX87" i="113"/>
  <c r="AX78" i="113"/>
  <c r="AX79" i="113" s="1"/>
  <c r="AV16" i="60"/>
  <c r="AV11" i="60"/>
  <c r="AV43" i="60"/>
  <c r="AV38" i="60"/>
  <c r="AW16" i="60"/>
  <c r="AW11" i="60"/>
  <c r="AW41" i="60"/>
  <c r="AW42" i="60"/>
  <c r="AX33" i="113"/>
  <c r="AX24" i="113"/>
  <c r="AX25" i="113" s="1"/>
  <c r="AX27" i="113"/>
  <c r="AX29" i="113" s="1"/>
  <c r="AX31" i="113" s="1"/>
  <c r="AY13" i="60" s="1"/>
  <c r="BN74" i="113"/>
  <c r="BM82" i="113"/>
  <c r="BL77" i="113"/>
  <c r="BL23" i="113"/>
  <c r="BN20" i="113"/>
  <c r="BM28" i="113"/>
  <c r="BH24" i="60"/>
  <c r="BH23" i="60"/>
  <c r="BF20" i="60"/>
  <c r="BF25" i="60"/>
  <c r="BG22" i="60"/>
  <c r="BH54" i="113"/>
  <c r="BH56" i="113" s="1"/>
  <c r="BH58" i="113" s="1"/>
  <c r="BH51" i="113"/>
  <c r="BH52" i="113" s="1"/>
  <c r="BI53" i="113"/>
  <c r="BH60" i="113"/>
  <c r="AU88" i="113" l="1"/>
  <c r="AV114" i="60" s="1"/>
  <c r="AW34" i="113"/>
  <c r="AX111" i="60" s="1"/>
  <c r="AW88" i="113"/>
  <c r="AX114" i="60" s="1"/>
  <c r="AQ34" i="113"/>
  <c r="AR111" i="60" s="1"/>
  <c r="AW40" i="60"/>
  <c r="AY80" i="113"/>
  <c r="AX34" i="113"/>
  <c r="AY111" i="60" s="1"/>
  <c r="AM34" i="113"/>
  <c r="AN111" i="60" s="1"/>
  <c r="AO34" i="113"/>
  <c r="AP111" i="60" s="1"/>
  <c r="AP34" i="113"/>
  <c r="AQ111" i="60" s="1"/>
  <c r="AN34" i="113"/>
  <c r="AO111" i="60" s="1"/>
  <c r="AR34" i="113"/>
  <c r="AS111" i="60" s="1"/>
  <c r="AS34" i="113"/>
  <c r="AT111" i="60" s="1"/>
  <c r="AT34" i="113"/>
  <c r="AU111" i="60" s="1"/>
  <c r="AX40" i="60"/>
  <c r="AX11" i="60"/>
  <c r="AX16" i="60"/>
  <c r="AY26" i="113"/>
  <c r="AU34" i="113"/>
  <c r="AV111" i="60" s="1"/>
  <c r="AX88" i="113"/>
  <c r="AY114" i="60" s="1"/>
  <c r="AN88" i="113"/>
  <c r="AO114" i="60" s="1"/>
  <c r="AO88" i="113"/>
  <c r="AP114" i="60" s="1"/>
  <c r="AP88" i="113"/>
  <c r="AQ114" i="60" s="1"/>
  <c r="AM88" i="113"/>
  <c r="AN114" i="60" s="1"/>
  <c r="AT88" i="113"/>
  <c r="AU114" i="60" s="1"/>
  <c r="AS88" i="113"/>
  <c r="AT114" i="60" s="1"/>
  <c r="AV88" i="113"/>
  <c r="AW114" i="60" s="1"/>
  <c r="AQ88" i="113"/>
  <c r="AR114" i="60" s="1"/>
  <c r="AR88" i="113"/>
  <c r="AS114" i="60" s="1"/>
  <c r="AV34" i="113"/>
  <c r="AW111" i="60" s="1"/>
  <c r="BM23" i="113"/>
  <c r="BO20" i="113"/>
  <c r="BN28" i="113"/>
  <c r="BM77" i="113"/>
  <c r="BO74" i="113"/>
  <c r="BN82" i="113"/>
  <c r="BH22" i="60"/>
  <c r="BI23" i="60"/>
  <c r="BI24" i="60"/>
  <c r="BG25" i="60"/>
  <c r="BG20" i="60"/>
  <c r="BI60" i="113"/>
  <c r="BI54" i="113"/>
  <c r="BI56" i="113" s="1"/>
  <c r="BI58" i="113" s="1"/>
  <c r="BI51" i="113"/>
  <c r="BI52" i="113" s="1"/>
  <c r="BJ53" i="113"/>
  <c r="AV110" i="60" l="1"/>
  <c r="AN5" i="80" s="1"/>
  <c r="AX110" i="60"/>
  <c r="AP5" i="80" s="1"/>
  <c r="AR110" i="60"/>
  <c r="AJ5" i="80" s="1"/>
  <c r="AS110" i="60"/>
  <c r="AK5" i="80" s="1"/>
  <c r="AU110" i="60"/>
  <c r="AM5" i="80" s="1"/>
  <c r="AY24" i="113"/>
  <c r="AY25" i="113" s="1"/>
  <c r="AY27" i="113"/>
  <c r="AY29" i="113" s="1"/>
  <c r="AY31" i="113" s="1"/>
  <c r="AY33" i="113"/>
  <c r="AZ26" i="113"/>
  <c r="AX43" i="60"/>
  <c r="AX38" i="60"/>
  <c r="AN110" i="60"/>
  <c r="AF5" i="80" s="1"/>
  <c r="AW43" i="60"/>
  <c r="AW38" i="60"/>
  <c r="AW110" i="60"/>
  <c r="AO5" i="80" s="1"/>
  <c r="AT110" i="60"/>
  <c r="AL5" i="80" s="1"/>
  <c r="AP110" i="60"/>
  <c r="AH5" i="80" s="1"/>
  <c r="AY41" i="60"/>
  <c r="AY42" i="60"/>
  <c r="AO110" i="60"/>
  <c r="AG5" i="80" s="1"/>
  <c r="AY110" i="60"/>
  <c r="AQ5" i="80" s="1"/>
  <c r="AQ110" i="60"/>
  <c r="AI5" i="80" s="1"/>
  <c r="AY78" i="113"/>
  <c r="AY79" i="113" s="1"/>
  <c r="AY87" i="113"/>
  <c r="AY81" i="113"/>
  <c r="AY83" i="113" s="1"/>
  <c r="AY85" i="113" s="1"/>
  <c r="AZ80" i="113"/>
  <c r="BP20" i="113"/>
  <c r="BO28" i="113"/>
  <c r="BN77" i="113"/>
  <c r="BN23" i="113"/>
  <c r="BP74" i="113"/>
  <c r="BO82" i="113"/>
  <c r="H16" i="61"/>
  <c r="BJ60" i="113"/>
  <c r="BJ54" i="113"/>
  <c r="BJ56" i="113" s="1"/>
  <c r="BJ58" i="113" s="1"/>
  <c r="BJ51" i="113"/>
  <c r="BJ52" i="113" s="1"/>
  <c r="BH20" i="60"/>
  <c r="BH25" i="60"/>
  <c r="BI22" i="60"/>
  <c r="AZ41" i="60" l="1"/>
  <c r="AZ42" i="60"/>
  <c r="AZ13" i="60"/>
  <c r="AZ81" i="113"/>
  <c r="AZ83" i="113" s="1"/>
  <c r="AZ85" i="113" s="1"/>
  <c r="AZ87" i="113"/>
  <c r="BA80" i="113"/>
  <c r="AZ78" i="113"/>
  <c r="AZ79" i="113" s="1"/>
  <c r="BA26" i="113"/>
  <c r="AZ33" i="113"/>
  <c r="AZ27" i="113"/>
  <c r="AZ29" i="113" s="1"/>
  <c r="AZ31" i="113" s="1"/>
  <c r="BA13" i="60" s="1"/>
  <c r="AZ24" i="113"/>
  <c r="AZ25" i="113" s="1"/>
  <c r="AY40" i="60"/>
  <c r="AY11" i="60"/>
  <c r="AY16" i="60"/>
  <c r="BO77" i="113"/>
  <c r="BQ74" i="113"/>
  <c r="BP82" i="113"/>
  <c r="BO23" i="113"/>
  <c r="BQ20" i="113"/>
  <c r="BP28" i="113"/>
  <c r="BH61" i="113"/>
  <c r="BI112" i="60" s="1"/>
  <c r="BA61" i="113"/>
  <c r="BB112" i="60" s="1"/>
  <c r="BI25" i="60"/>
  <c r="BI20" i="60"/>
  <c r="BK23" i="60"/>
  <c r="BK24" i="60"/>
  <c r="BG61" i="113"/>
  <c r="BH112" i="60" s="1"/>
  <c r="BB61" i="113"/>
  <c r="BC112" i="60" s="1"/>
  <c r="AZ61" i="113"/>
  <c r="BA112" i="60" s="1"/>
  <c r="BI61" i="113"/>
  <c r="BJ112" i="60" s="1"/>
  <c r="BJ61" i="113"/>
  <c r="BK112" i="60" s="1"/>
  <c r="AY61" i="113"/>
  <c r="AZ112" i="60" s="1"/>
  <c r="BD61" i="113"/>
  <c r="BE112" i="60" s="1"/>
  <c r="BK53" i="113"/>
  <c r="BE61" i="113"/>
  <c r="BF112" i="60" s="1"/>
  <c r="BF61" i="113"/>
  <c r="BG112" i="60" s="1"/>
  <c r="BJ24" i="60"/>
  <c r="BJ23" i="60"/>
  <c r="BC61" i="113"/>
  <c r="BD112" i="60" s="1"/>
  <c r="BA41" i="60" l="1"/>
  <c r="BA42" i="60"/>
  <c r="AY43" i="60"/>
  <c r="AY38" i="60"/>
  <c r="BA27" i="113"/>
  <c r="BA29" i="113" s="1"/>
  <c r="BA31" i="113" s="1"/>
  <c r="BB26" i="113"/>
  <c r="BA24" i="113"/>
  <c r="BA25" i="113" s="1"/>
  <c r="BA33" i="113"/>
  <c r="BA78" i="113"/>
  <c r="BA79" i="113" s="1"/>
  <c r="BA81" i="113"/>
  <c r="BA83" i="113" s="1"/>
  <c r="BA85" i="113" s="1"/>
  <c r="BA87" i="113"/>
  <c r="BB80" i="113"/>
  <c r="AZ40" i="60"/>
  <c r="AZ16" i="60"/>
  <c r="AZ11" i="60"/>
  <c r="BR20" i="113"/>
  <c r="BQ28" i="113"/>
  <c r="BP23" i="113"/>
  <c r="BP77" i="113"/>
  <c r="BR74" i="113"/>
  <c r="BQ82" i="113"/>
  <c r="H34" i="61"/>
  <c r="BK22" i="60"/>
  <c r="BL53" i="113"/>
  <c r="BK60" i="113"/>
  <c r="BK54" i="113"/>
  <c r="BK56" i="113" s="1"/>
  <c r="BK58" i="113" s="1"/>
  <c r="BK51" i="113"/>
  <c r="BK52" i="113" s="1"/>
  <c r="BJ22" i="60"/>
  <c r="BB13" i="60" l="1"/>
  <c r="AJ23" i="78"/>
  <c r="AZ38" i="60"/>
  <c r="AZ43" i="60"/>
  <c r="BC80" i="113"/>
  <c r="BB78" i="113"/>
  <c r="BB79" i="113" s="1"/>
  <c r="BB87" i="113"/>
  <c r="BB81" i="113"/>
  <c r="BB83" i="113" s="1"/>
  <c r="BB85" i="113" s="1"/>
  <c r="BB27" i="113"/>
  <c r="BB29" i="113" s="1"/>
  <c r="BB31" i="113" s="1"/>
  <c r="BB24" i="113"/>
  <c r="BB25" i="113" s="1"/>
  <c r="BB33" i="113"/>
  <c r="BC26" i="113"/>
  <c r="BA40" i="60"/>
  <c r="BQ77" i="113"/>
  <c r="BS74" i="113"/>
  <c r="BR82" i="113"/>
  <c r="BQ23" i="113"/>
  <c r="BS20" i="113"/>
  <c r="BR28" i="113"/>
  <c r="BL24" i="60"/>
  <c r="BL23" i="60"/>
  <c r="BJ20" i="60"/>
  <c r="BJ25" i="60"/>
  <c r="BM53" i="113"/>
  <c r="BL54" i="113"/>
  <c r="BL56" i="113" s="1"/>
  <c r="BL58" i="113" s="1"/>
  <c r="BL51" i="113"/>
  <c r="BL52" i="113" s="1"/>
  <c r="BL60" i="113"/>
  <c r="BK25" i="60"/>
  <c r="BK20" i="60"/>
  <c r="AJ26" i="78" l="1"/>
  <c r="BC42" i="60"/>
  <c r="BC13" i="60"/>
  <c r="BA38" i="60"/>
  <c r="BA43" i="60"/>
  <c r="BC41" i="60"/>
  <c r="BC24" i="113"/>
  <c r="BC25" i="113" s="1"/>
  <c r="BD26" i="113"/>
  <c r="BC27" i="113"/>
  <c r="BC29" i="113" s="1"/>
  <c r="BC31" i="113" s="1"/>
  <c r="BC33" i="113"/>
  <c r="BA16" i="60"/>
  <c r="BA11" i="60"/>
  <c r="BB11" i="60"/>
  <c r="BB16" i="60"/>
  <c r="BB42" i="60"/>
  <c r="BB41" i="60"/>
  <c r="BC87" i="113"/>
  <c r="BC81" i="113"/>
  <c r="BC83" i="113" s="1"/>
  <c r="BC85" i="113" s="1"/>
  <c r="BD80" i="113"/>
  <c r="BC78" i="113"/>
  <c r="BC79" i="113" s="1"/>
  <c r="BR23" i="113"/>
  <c r="BR77" i="113"/>
  <c r="BT74" i="113"/>
  <c r="BS82" i="113"/>
  <c r="BT20" i="113"/>
  <c r="BS28" i="113"/>
  <c r="BM23" i="60"/>
  <c r="BM24" i="60"/>
  <c r="BL22" i="60"/>
  <c r="BM51" i="113"/>
  <c r="BM52" i="113" s="1"/>
  <c r="BM60" i="113"/>
  <c r="BN53" i="113"/>
  <c r="BM54" i="113"/>
  <c r="BM56" i="113" s="1"/>
  <c r="BM58" i="113" s="1"/>
  <c r="BD42" i="60" l="1"/>
  <c r="BD13" i="60"/>
  <c r="BD41" i="60"/>
  <c r="BC16" i="60"/>
  <c r="BC11" i="60"/>
  <c r="BC40" i="60"/>
  <c r="BB40" i="60"/>
  <c r="BD78" i="113"/>
  <c r="BD79" i="113" s="1"/>
  <c r="BD87" i="113"/>
  <c r="BE80" i="113"/>
  <c r="BD81" i="113"/>
  <c r="BD83" i="113" s="1"/>
  <c r="BD85" i="113" s="1"/>
  <c r="BD27" i="113"/>
  <c r="BD29" i="113" s="1"/>
  <c r="BD31" i="113" s="1"/>
  <c r="BE13" i="60" s="1"/>
  <c r="BD33" i="113"/>
  <c r="BD24" i="113"/>
  <c r="BD25" i="113" s="1"/>
  <c r="BE26" i="113"/>
  <c r="BS23" i="113"/>
  <c r="BU20" i="113"/>
  <c r="BT28" i="113"/>
  <c r="BS77" i="113"/>
  <c r="BU74" i="113"/>
  <c r="BT82" i="113"/>
  <c r="BN24" i="60"/>
  <c r="BN23" i="60"/>
  <c r="BL25" i="60"/>
  <c r="BL20" i="60"/>
  <c r="BM22" i="60"/>
  <c r="BN54" i="113"/>
  <c r="BN56" i="113" s="1"/>
  <c r="BN58" i="113" s="1"/>
  <c r="BN51" i="113"/>
  <c r="BN52" i="113" s="1"/>
  <c r="BO53" i="113"/>
  <c r="BN60" i="113"/>
  <c r="H24" i="61"/>
  <c r="H61" i="61"/>
  <c r="BE42" i="60" l="1"/>
  <c r="BE87" i="113"/>
  <c r="BE78" i="113"/>
  <c r="BE79" i="113" s="1"/>
  <c r="BF80" i="113"/>
  <c r="BE81" i="113"/>
  <c r="BE83" i="113" s="1"/>
  <c r="BE85" i="113" s="1"/>
  <c r="BC38" i="60"/>
  <c r="BC43" i="60"/>
  <c r="BE27" i="113"/>
  <c r="BE29" i="113" s="1"/>
  <c r="BE31" i="113" s="1"/>
  <c r="BF26" i="113"/>
  <c r="BE33" i="113"/>
  <c r="BE24" i="113"/>
  <c r="BE25" i="113" s="1"/>
  <c r="BB38" i="60"/>
  <c r="BB43" i="60"/>
  <c r="BD40" i="60"/>
  <c r="BE41" i="60"/>
  <c r="BD16" i="60"/>
  <c r="BD11" i="60"/>
  <c r="BT23" i="113"/>
  <c r="BV74" i="113"/>
  <c r="BU82" i="113"/>
  <c r="BV20" i="113"/>
  <c r="BU28" i="113"/>
  <c r="BT77" i="113"/>
  <c r="BO51" i="113"/>
  <c r="BO52" i="113" s="1"/>
  <c r="BP53" i="113"/>
  <c r="BO54" i="113"/>
  <c r="BO56" i="113" s="1"/>
  <c r="BO58" i="113" s="1"/>
  <c r="BO60" i="113"/>
  <c r="BN22" i="60"/>
  <c r="BO23" i="60"/>
  <c r="BO24" i="60"/>
  <c r="BM20" i="60"/>
  <c r="BM25" i="60"/>
  <c r="BF13" i="60" l="1"/>
  <c r="BF24" i="113"/>
  <c r="BF25" i="113" s="1"/>
  <c r="BF27" i="113"/>
  <c r="BF29" i="113" s="1"/>
  <c r="BF31" i="113" s="1"/>
  <c r="BG13" i="60" s="1"/>
  <c r="BF33" i="113"/>
  <c r="BG26" i="113"/>
  <c r="BE40" i="60"/>
  <c r="BD38" i="60"/>
  <c r="BD43" i="60"/>
  <c r="BG80" i="113"/>
  <c r="BF87" i="113"/>
  <c r="BF81" i="113"/>
  <c r="BF83" i="113" s="1"/>
  <c r="BF85" i="113" s="1"/>
  <c r="BF78" i="113"/>
  <c r="BF79" i="113" s="1"/>
  <c r="BU77" i="113"/>
  <c r="BW74" i="113"/>
  <c r="BV82" i="113"/>
  <c r="BU23" i="113"/>
  <c r="BW20" i="113"/>
  <c r="BV28" i="113"/>
  <c r="AK24" i="78"/>
  <c r="BO22" i="60"/>
  <c r="BP24" i="60"/>
  <c r="BP23" i="60"/>
  <c r="BN25" i="60"/>
  <c r="BN20" i="60"/>
  <c r="BP60" i="113"/>
  <c r="BP54" i="113"/>
  <c r="BP56" i="113" s="1"/>
  <c r="BP58" i="113" s="1"/>
  <c r="BQ53" i="113"/>
  <c r="BP51" i="113"/>
  <c r="BP52" i="113" s="1"/>
  <c r="BF16" i="60" l="1"/>
  <c r="BF11" i="60"/>
  <c r="BH26" i="113"/>
  <c r="BG33" i="113"/>
  <c r="BG24" i="113"/>
  <c r="BG25" i="113" s="1"/>
  <c r="BG27" i="113"/>
  <c r="BG29" i="113" s="1"/>
  <c r="BG31" i="113" s="1"/>
  <c r="BG42" i="60"/>
  <c r="BG41" i="60"/>
  <c r="BE43" i="60"/>
  <c r="BE38" i="60"/>
  <c r="BG81" i="113"/>
  <c r="BG83" i="113" s="1"/>
  <c r="BG85" i="113" s="1"/>
  <c r="BG87" i="113"/>
  <c r="BH80" i="113"/>
  <c r="BG78" i="113"/>
  <c r="BG79" i="113" s="1"/>
  <c r="BE16" i="60"/>
  <c r="BE11" i="60"/>
  <c r="BF42" i="60"/>
  <c r="BF41" i="60"/>
  <c r="BV23" i="113"/>
  <c r="BV77" i="113"/>
  <c r="BX20" i="113"/>
  <c r="BW28" i="113"/>
  <c r="BW23" i="113" s="1"/>
  <c r="BX74" i="113"/>
  <c r="BW82" i="113"/>
  <c r="BW77" i="113" s="1"/>
  <c r="BQ54" i="113"/>
  <c r="BQ56" i="113" s="1"/>
  <c r="BQ58" i="113" s="1"/>
  <c r="BQ51" i="113"/>
  <c r="BQ52" i="113" s="1"/>
  <c r="BR53" i="113"/>
  <c r="BQ60" i="113"/>
  <c r="BQ23" i="60"/>
  <c r="BQ24" i="60"/>
  <c r="BP22" i="60"/>
  <c r="BO20" i="60"/>
  <c r="BO25" i="60"/>
  <c r="BH13" i="60" l="1"/>
  <c r="BF40" i="60"/>
  <c r="BH87" i="113"/>
  <c r="BI80" i="113"/>
  <c r="BH81" i="113"/>
  <c r="BH83" i="113" s="1"/>
  <c r="BH85" i="113" s="1"/>
  <c r="BH78" i="113"/>
  <c r="BH79" i="113" s="1"/>
  <c r="BG40" i="60"/>
  <c r="BH27" i="113"/>
  <c r="BH29" i="113" s="1"/>
  <c r="BH31" i="113" s="1"/>
  <c r="BH24" i="113"/>
  <c r="BH25" i="113" s="1"/>
  <c r="BH33" i="113"/>
  <c r="BI26" i="113"/>
  <c r="BY74" i="113"/>
  <c r="BX82" i="113"/>
  <c r="BX77" i="113" s="1"/>
  <c r="BY20" i="113"/>
  <c r="BX28" i="113"/>
  <c r="BX23" i="113" s="1"/>
  <c r="BP20" i="60"/>
  <c r="BP25" i="60"/>
  <c r="BR24" i="60"/>
  <c r="BR23" i="60"/>
  <c r="BQ22" i="60"/>
  <c r="BS53" i="113"/>
  <c r="BR54" i="113"/>
  <c r="BR56" i="113" s="1"/>
  <c r="BR58" i="113" s="1"/>
  <c r="BR51" i="113"/>
  <c r="BR52" i="113" s="1"/>
  <c r="BR60" i="113"/>
  <c r="BI13" i="60" l="1"/>
  <c r="BF38" i="60"/>
  <c r="BF43" i="60"/>
  <c r="BI24" i="113"/>
  <c r="BI25" i="113" s="1"/>
  <c r="BJ26" i="113"/>
  <c r="BI27" i="113"/>
  <c r="BI29" i="113" s="1"/>
  <c r="BI31" i="113" s="1"/>
  <c r="BI33" i="113"/>
  <c r="BG43" i="60"/>
  <c r="BG38" i="60"/>
  <c r="BI42" i="60"/>
  <c r="BI41" i="60"/>
  <c r="BG16" i="60"/>
  <c r="BG11" i="60"/>
  <c r="BH41" i="60"/>
  <c r="BH42" i="60"/>
  <c r="BH16" i="60"/>
  <c r="BH11" i="60"/>
  <c r="BI87" i="113"/>
  <c r="BI81" i="113"/>
  <c r="BI83" i="113" s="1"/>
  <c r="BI85" i="113" s="1"/>
  <c r="BJ80" i="113"/>
  <c r="BI78" i="113"/>
  <c r="BI79" i="113" s="1"/>
  <c r="BZ20" i="113"/>
  <c r="BY28" i="113"/>
  <c r="BY23" i="113" s="1"/>
  <c r="BZ74" i="113"/>
  <c r="BY82" i="113"/>
  <c r="BY77" i="113" s="1"/>
  <c r="BS24" i="60"/>
  <c r="BS23" i="60"/>
  <c r="BQ25" i="60"/>
  <c r="BQ20" i="60"/>
  <c r="BS54" i="113"/>
  <c r="BS56" i="113" s="1"/>
  <c r="BS58" i="113" s="1"/>
  <c r="BS60" i="113"/>
  <c r="BT53" i="113"/>
  <c r="BS51" i="113"/>
  <c r="BS52" i="113" s="1"/>
  <c r="BR22" i="60"/>
  <c r="BJ41" i="60" l="1"/>
  <c r="BJ13" i="60"/>
  <c r="BJ42" i="60"/>
  <c r="BH40" i="60"/>
  <c r="BJ33" i="113"/>
  <c r="BJ24" i="113"/>
  <c r="BJ25" i="113" s="1"/>
  <c r="BJ27" i="113"/>
  <c r="BJ29" i="113" s="1"/>
  <c r="BJ31" i="113" s="1"/>
  <c r="BK13" i="60" s="1"/>
  <c r="BI16" i="60"/>
  <c r="BI11" i="60"/>
  <c r="BJ78" i="113"/>
  <c r="BJ79" i="113" s="1"/>
  <c r="BJ87" i="113"/>
  <c r="BJ81" i="113"/>
  <c r="BJ83" i="113" s="1"/>
  <c r="BJ85" i="113" s="1"/>
  <c r="BI40" i="60"/>
  <c r="CA74" i="113"/>
  <c r="BZ82" i="113"/>
  <c r="BZ77" i="113" s="1"/>
  <c r="CA20" i="113"/>
  <c r="BZ28" i="113"/>
  <c r="BZ23" i="113" s="1"/>
  <c r="BR25" i="60"/>
  <c r="BR20" i="60"/>
  <c r="BU53" i="113"/>
  <c r="BT51" i="113"/>
  <c r="BT52" i="113" s="1"/>
  <c r="BT54" i="113"/>
  <c r="BT56" i="113" s="1"/>
  <c r="BT58" i="113" s="1"/>
  <c r="BT60" i="113"/>
  <c r="BT23" i="60"/>
  <c r="BT24" i="60"/>
  <c r="BS22" i="60"/>
  <c r="BE88" i="113" l="1"/>
  <c r="BF114" i="60" s="1"/>
  <c r="BF88" i="113"/>
  <c r="BG114" i="60" s="1"/>
  <c r="BI34" i="113"/>
  <c r="BJ111" i="60" s="1"/>
  <c r="BJ34" i="113"/>
  <c r="BK111" i="60" s="1"/>
  <c r="BA34" i="113"/>
  <c r="BB111" i="60" s="1"/>
  <c r="BC34" i="113"/>
  <c r="BD111" i="60" s="1"/>
  <c r="AY34" i="113"/>
  <c r="AZ111" i="60" s="1"/>
  <c r="BH34" i="113"/>
  <c r="BI111" i="60" s="1"/>
  <c r="BE34" i="113"/>
  <c r="BF111" i="60" s="1"/>
  <c r="BF34" i="113"/>
  <c r="BG111" i="60" s="1"/>
  <c r="BG110" i="60" s="1"/>
  <c r="AY5" i="80" s="1"/>
  <c r="AZ34" i="113"/>
  <c r="BA111" i="60" s="1"/>
  <c r="BG34" i="113"/>
  <c r="BH111" i="60" s="1"/>
  <c r="BI38" i="60"/>
  <c r="BI43" i="60"/>
  <c r="BK80" i="113"/>
  <c r="BJ40" i="60"/>
  <c r="BJ16" i="60"/>
  <c r="BJ11" i="60"/>
  <c r="BG88" i="113"/>
  <c r="BH114" i="60" s="1"/>
  <c r="BD34" i="113"/>
  <c r="BE111" i="60" s="1"/>
  <c r="BJ88" i="113"/>
  <c r="BK114" i="60" s="1"/>
  <c r="AY88" i="113"/>
  <c r="AZ114" i="60" s="1"/>
  <c r="BB88" i="113"/>
  <c r="BC114" i="60" s="1"/>
  <c r="BD88" i="113"/>
  <c r="BE114" i="60" s="1"/>
  <c r="BA88" i="113"/>
  <c r="BB114" i="60" s="1"/>
  <c r="BC88" i="113"/>
  <c r="BD114" i="60" s="1"/>
  <c r="AZ88" i="113"/>
  <c r="BA114" i="60" s="1"/>
  <c r="BK26" i="113"/>
  <c r="BB34" i="113"/>
  <c r="BC111" i="60" s="1"/>
  <c r="BH88" i="113"/>
  <c r="BI114" i="60" s="1"/>
  <c r="BH38" i="60"/>
  <c r="BH43" i="60"/>
  <c r="BI88" i="113"/>
  <c r="BJ114" i="60" s="1"/>
  <c r="CB20" i="113"/>
  <c r="CA28" i="113"/>
  <c r="CA23" i="113" s="1"/>
  <c r="CB74" i="113"/>
  <c r="CA82" i="113"/>
  <c r="CA77" i="113" s="1"/>
  <c r="BT22" i="60"/>
  <c r="BU60" i="113"/>
  <c r="BU54" i="113"/>
  <c r="BU56" i="113" s="1"/>
  <c r="BU58" i="113" s="1"/>
  <c r="BU51" i="113"/>
  <c r="BU52" i="113" s="1"/>
  <c r="BV53" i="113"/>
  <c r="BS25" i="60"/>
  <c r="BS20" i="60"/>
  <c r="BU24" i="60"/>
  <c r="BU23" i="60"/>
  <c r="BF110" i="60" l="1"/>
  <c r="AX5" i="80" s="1"/>
  <c r="BD110" i="60"/>
  <c r="AV5" i="80" s="1"/>
  <c r="BJ110" i="60"/>
  <c r="BB5" i="80" s="1"/>
  <c r="BB110" i="60"/>
  <c r="AT5" i="80" s="1"/>
  <c r="BJ38" i="60"/>
  <c r="BJ43" i="60"/>
  <c r="BC110" i="60"/>
  <c r="AU5" i="80" s="1"/>
  <c r="BK87" i="113"/>
  <c r="BL80" i="113"/>
  <c r="BK81" i="113"/>
  <c r="BK83" i="113" s="1"/>
  <c r="BK85" i="113" s="1"/>
  <c r="BK78" i="113"/>
  <c r="BK79" i="113" s="1"/>
  <c r="BH110" i="60"/>
  <c r="AZ5" i="80" s="1"/>
  <c r="BI110" i="60"/>
  <c r="BA5" i="80" s="1"/>
  <c r="BK110" i="60"/>
  <c r="BC5" i="80" s="1"/>
  <c r="BK33" i="113"/>
  <c r="BK24" i="113"/>
  <c r="BK25" i="113" s="1"/>
  <c r="BK27" i="113"/>
  <c r="BK29" i="113" s="1"/>
  <c r="BK31" i="113" s="1"/>
  <c r="BL26" i="113"/>
  <c r="BE110" i="60"/>
  <c r="AW5" i="80" s="1"/>
  <c r="BK42" i="60"/>
  <c r="BK41" i="60"/>
  <c r="BA110" i="60"/>
  <c r="AS5" i="80" s="1"/>
  <c r="AZ110" i="60"/>
  <c r="AR5" i="80" s="1"/>
  <c r="CC74" i="113"/>
  <c r="CB82" i="113"/>
  <c r="CB77" i="113" s="1"/>
  <c r="CC20" i="113"/>
  <c r="CB28" i="113"/>
  <c r="CB23" i="113" s="1"/>
  <c r="BU22" i="60"/>
  <c r="BV54" i="113"/>
  <c r="BV56" i="113" s="1"/>
  <c r="BV58" i="113" s="1"/>
  <c r="BV51" i="113"/>
  <c r="BV52" i="113" s="1"/>
  <c r="BV60" i="113"/>
  <c r="BT25" i="60"/>
  <c r="BT20" i="60"/>
  <c r="BL13" i="60" l="1"/>
  <c r="BK40" i="60"/>
  <c r="BL33" i="113"/>
  <c r="BL27" i="113"/>
  <c r="BL29" i="113" s="1"/>
  <c r="BL31" i="113" s="1"/>
  <c r="BM13" i="60" s="1"/>
  <c r="BM26" i="113"/>
  <c r="BL24" i="113"/>
  <c r="BL25" i="113" s="1"/>
  <c r="BL41" i="60"/>
  <c r="BL42" i="60"/>
  <c r="BL87" i="113"/>
  <c r="BL81" i="113"/>
  <c r="BL83" i="113" s="1"/>
  <c r="BL85" i="113" s="1"/>
  <c r="BM80" i="113"/>
  <c r="BL78" i="113"/>
  <c r="BL79" i="113" s="1"/>
  <c r="BK11" i="60"/>
  <c r="BK16" i="60"/>
  <c r="CD20" i="113"/>
  <c r="CC28" i="113"/>
  <c r="CC23" i="113" s="1"/>
  <c r="CD74" i="113"/>
  <c r="CC82" i="113"/>
  <c r="CC77" i="113" s="1"/>
  <c r="BT61" i="113"/>
  <c r="BU112" i="60" s="1"/>
  <c r="BM61" i="113"/>
  <c r="BN112" i="60" s="1"/>
  <c r="BR61" i="113"/>
  <c r="BS112" i="60" s="1"/>
  <c r="BL61" i="113"/>
  <c r="BM112" i="60" s="1"/>
  <c r="BO61" i="113"/>
  <c r="BP112" i="60" s="1"/>
  <c r="BU61" i="113"/>
  <c r="BV112" i="60" s="1"/>
  <c r="BP61" i="113"/>
  <c r="BQ112" i="60" s="1"/>
  <c r="BW53" i="113"/>
  <c r="BW60" i="113" s="1"/>
  <c r="BV61" i="113"/>
  <c r="BW112" i="60" s="1"/>
  <c r="BS61" i="113"/>
  <c r="BT112" i="60" s="1"/>
  <c r="BK61" i="113"/>
  <c r="BL112" i="60" s="1"/>
  <c r="BN61" i="113"/>
  <c r="BO112" i="60" s="1"/>
  <c r="BQ61" i="113"/>
  <c r="BR112" i="60" s="1"/>
  <c r="BU20" i="60"/>
  <c r="BU25" i="60"/>
  <c r="BV24" i="60"/>
  <c r="BV23" i="60"/>
  <c r="BW24" i="60"/>
  <c r="BW23" i="60"/>
  <c r="BM42" i="60" l="1"/>
  <c r="BM41" i="60"/>
  <c r="BM27" i="113"/>
  <c r="BM29" i="113" s="1"/>
  <c r="BM31" i="113" s="1"/>
  <c r="BM33" i="113"/>
  <c r="BM24" i="113"/>
  <c r="BM25" i="113" s="1"/>
  <c r="BN26" i="113"/>
  <c r="BL40" i="60"/>
  <c r="BM87" i="113"/>
  <c r="BM81" i="113"/>
  <c r="BM83" i="113" s="1"/>
  <c r="BM85" i="113" s="1"/>
  <c r="BM78" i="113"/>
  <c r="BM79" i="113" s="1"/>
  <c r="BN80" i="113"/>
  <c r="BL11" i="60"/>
  <c r="BL16" i="60"/>
  <c r="AK23" i="78" s="1"/>
  <c r="BK38" i="60"/>
  <c r="BK43" i="60"/>
  <c r="CE74" i="113"/>
  <c r="CD82" i="113"/>
  <c r="CD77" i="113" s="1"/>
  <c r="CE20" i="113"/>
  <c r="CD28" i="113"/>
  <c r="CD23" i="113" s="1"/>
  <c r="BW54" i="113"/>
  <c r="BW56" i="113" s="1"/>
  <c r="BW58" i="113" s="1"/>
  <c r="BX24" i="60" s="1"/>
  <c r="BW51" i="113"/>
  <c r="BW52" i="113" s="1"/>
  <c r="BX53" i="113"/>
  <c r="BY53" i="113" s="1"/>
  <c r="BV22" i="60"/>
  <c r="BW22" i="60"/>
  <c r="BN13" i="60" l="1"/>
  <c r="BO80" i="113"/>
  <c r="BN87" i="113"/>
  <c r="BN78" i="113"/>
  <c r="BN79" i="113" s="1"/>
  <c r="BN81" i="113"/>
  <c r="BN83" i="113" s="1"/>
  <c r="BN85" i="113" s="1"/>
  <c r="BL43" i="60"/>
  <c r="BL38" i="60"/>
  <c r="BN33" i="113"/>
  <c r="BO26" i="113"/>
  <c r="BN27" i="113"/>
  <c r="BN29" i="113" s="1"/>
  <c r="BN31" i="113" s="1"/>
  <c r="BN24" i="113"/>
  <c r="BN25" i="113" s="1"/>
  <c r="BM40" i="60"/>
  <c r="CF20" i="113"/>
  <c r="CE28" i="113"/>
  <c r="CE23" i="113" s="1"/>
  <c r="CF74" i="113"/>
  <c r="CE82" i="113"/>
  <c r="CE77" i="113" s="1"/>
  <c r="BX23" i="60"/>
  <c r="BX22" i="60"/>
  <c r="BX60" i="113"/>
  <c r="BX51" i="113"/>
  <c r="BX52" i="113" s="1"/>
  <c r="BX54" i="113"/>
  <c r="BX56" i="113" s="1"/>
  <c r="BX58" i="113" s="1"/>
  <c r="BY24" i="60" s="1"/>
  <c r="BW20" i="60"/>
  <c r="BW25" i="60"/>
  <c r="BZ53" i="113"/>
  <c r="BY51" i="113"/>
  <c r="BY52" i="113" s="1"/>
  <c r="BY60" i="113"/>
  <c r="BY54" i="113"/>
  <c r="BY56" i="113" s="1"/>
  <c r="BY58" i="113" s="1"/>
  <c r="BV25" i="60"/>
  <c r="BV20" i="60"/>
  <c r="BO41" i="60" l="1"/>
  <c r="BO13" i="60"/>
  <c r="BN11" i="60"/>
  <c r="BN16" i="60"/>
  <c r="BN42" i="60"/>
  <c r="BN41" i="60"/>
  <c r="BM11" i="60"/>
  <c r="BM16" i="60"/>
  <c r="BO33" i="113"/>
  <c r="BO24" i="113"/>
  <c r="BO25" i="113" s="1"/>
  <c r="BP26" i="113"/>
  <c r="BO27" i="113"/>
  <c r="BO29" i="113" s="1"/>
  <c r="BO31" i="113" s="1"/>
  <c r="BO78" i="113"/>
  <c r="BO79" i="113" s="1"/>
  <c r="BO87" i="113"/>
  <c r="BO81" i="113"/>
  <c r="BO83" i="113" s="1"/>
  <c r="BO85" i="113" s="1"/>
  <c r="BP80" i="113"/>
  <c r="BM38" i="60"/>
  <c r="BM43" i="60"/>
  <c r="BO42" i="60"/>
  <c r="CG74" i="113"/>
  <c r="CF82" i="113"/>
  <c r="CF77" i="113" s="1"/>
  <c r="CG20" i="113"/>
  <c r="CF28" i="113"/>
  <c r="CF23" i="113" s="1"/>
  <c r="BY22" i="60"/>
  <c r="BY23" i="60"/>
  <c r="BX25" i="60"/>
  <c r="BX20" i="60"/>
  <c r="BZ23" i="60"/>
  <c r="BZ24" i="60"/>
  <c r="CA53" i="113"/>
  <c r="BZ54" i="113"/>
  <c r="BZ56" i="113" s="1"/>
  <c r="BZ58" i="113" s="1"/>
  <c r="BZ51" i="113"/>
  <c r="BZ52" i="113" s="1"/>
  <c r="BZ60" i="113"/>
  <c r="BP42" i="60" l="1"/>
  <c r="BP41" i="60"/>
  <c r="BP13" i="60"/>
  <c r="BO40" i="60"/>
  <c r="BP87" i="113"/>
  <c r="BP78" i="113"/>
  <c r="BP79" i="113" s="1"/>
  <c r="BP81" i="113"/>
  <c r="BP83" i="113" s="1"/>
  <c r="BP85" i="113" s="1"/>
  <c r="BQ80" i="113"/>
  <c r="BP33" i="113"/>
  <c r="BQ26" i="113"/>
  <c r="BP24" i="113"/>
  <c r="BP25" i="113" s="1"/>
  <c r="BP27" i="113"/>
  <c r="BP29" i="113" s="1"/>
  <c r="BP31" i="113" s="1"/>
  <c r="BQ13" i="60" s="1"/>
  <c r="BN40" i="60"/>
  <c r="BO16" i="60"/>
  <c r="BO11" i="60"/>
  <c r="CH20" i="113"/>
  <c r="CH28" i="113" s="1"/>
  <c r="CH23" i="113" s="1"/>
  <c r="CG28" i="113"/>
  <c r="CG23" i="113" s="1"/>
  <c r="CH74" i="113"/>
  <c r="CH82" i="113" s="1"/>
  <c r="CH77" i="113" s="1"/>
  <c r="CG82" i="113"/>
  <c r="CG77" i="113" s="1"/>
  <c r="AL24" i="78"/>
  <c r="BZ22" i="60"/>
  <c r="BY20" i="60"/>
  <c r="BY25" i="60"/>
  <c r="CA24" i="60"/>
  <c r="CA23" i="60"/>
  <c r="CB53" i="113"/>
  <c r="CA51" i="113"/>
  <c r="CA52" i="113" s="1"/>
  <c r="CA54" i="113"/>
  <c r="CA56" i="113" s="1"/>
  <c r="CA58" i="113" s="1"/>
  <c r="CA60" i="113"/>
  <c r="BQ41" i="60" l="1"/>
  <c r="BP11" i="60"/>
  <c r="BP16" i="60"/>
  <c r="BQ42" i="60"/>
  <c r="BP40" i="60"/>
  <c r="BN38" i="60"/>
  <c r="BN43" i="60"/>
  <c r="BQ24" i="113"/>
  <c r="BQ25" i="113" s="1"/>
  <c r="BQ33" i="113"/>
  <c r="BQ27" i="113"/>
  <c r="BQ29" i="113" s="1"/>
  <c r="BQ31" i="113" s="1"/>
  <c r="BR26" i="113"/>
  <c r="BQ87" i="113"/>
  <c r="BR80" i="113"/>
  <c r="BQ78" i="113"/>
  <c r="BQ79" i="113" s="1"/>
  <c r="BQ81" i="113"/>
  <c r="BQ83" i="113" s="1"/>
  <c r="BQ85" i="113" s="1"/>
  <c r="BO43" i="60"/>
  <c r="BO38" i="60"/>
  <c r="CA22" i="60"/>
  <c r="CB24" i="60"/>
  <c r="CB23" i="60"/>
  <c r="BZ25" i="60"/>
  <c r="BZ20" i="60"/>
  <c r="CB51" i="113"/>
  <c r="CB52" i="113" s="1"/>
  <c r="CB54" i="113"/>
  <c r="CB56" i="113" s="1"/>
  <c r="CB58" i="113" s="1"/>
  <c r="CC53" i="113"/>
  <c r="CB60" i="113"/>
  <c r="BR13" i="60" l="1"/>
  <c r="BQ40" i="60"/>
  <c r="BR24" i="113"/>
  <c r="BR25" i="113" s="1"/>
  <c r="BR33" i="113"/>
  <c r="BS26" i="113"/>
  <c r="BR27" i="113"/>
  <c r="BR29" i="113" s="1"/>
  <c r="BR31" i="113" s="1"/>
  <c r="BS80" i="113"/>
  <c r="BR87" i="113"/>
  <c r="BR78" i="113"/>
  <c r="BR79" i="113" s="1"/>
  <c r="BR81" i="113"/>
  <c r="BR83" i="113" s="1"/>
  <c r="BR85" i="113" s="1"/>
  <c r="BP43" i="60"/>
  <c r="BP38" i="60"/>
  <c r="CA20" i="60"/>
  <c r="CA25" i="60"/>
  <c r="CC51" i="113"/>
  <c r="CC52" i="113" s="1"/>
  <c r="CC54" i="113"/>
  <c r="CC56" i="113" s="1"/>
  <c r="CC58" i="113" s="1"/>
  <c r="CD53" i="113"/>
  <c r="CC60" i="113"/>
  <c r="CB22" i="60"/>
  <c r="CC23" i="60"/>
  <c r="CC24" i="60"/>
  <c r="BS42" i="60" l="1"/>
  <c r="BS13" i="60"/>
  <c r="BS87" i="113"/>
  <c r="BS78" i="113"/>
  <c r="BS79" i="113" s="1"/>
  <c r="BT80" i="113"/>
  <c r="BS81" i="113"/>
  <c r="BS83" i="113" s="1"/>
  <c r="BS85" i="113" s="1"/>
  <c r="BQ11" i="60"/>
  <c r="BQ16" i="60"/>
  <c r="BT26" i="113"/>
  <c r="BS27" i="113"/>
  <c r="BS29" i="113" s="1"/>
  <c r="BS31" i="113" s="1"/>
  <c r="BS24" i="113"/>
  <c r="BS25" i="113" s="1"/>
  <c r="BS33" i="113"/>
  <c r="BS41" i="60"/>
  <c r="BR42" i="60"/>
  <c r="BR41" i="60"/>
  <c r="BR11" i="60"/>
  <c r="BR16" i="60"/>
  <c r="BQ38" i="60"/>
  <c r="BQ43" i="60"/>
  <c r="CD23" i="60"/>
  <c r="CD24" i="60"/>
  <c r="CB20" i="60"/>
  <c r="CB25" i="60"/>
  <c r="CC22" i="60"/>
  <c r="CD51" i="113"/>
  <c r="CD52" i="113" s="1"/>
  <c r="CE53" i="113"/>
  <c r="CD60" i="113"/>
  <c r="CD54" i="113"/>
  <c r="CD56" i="113" s="1"/>
  <c r="CD58" i="113" s="1"/>
  <c r="BT13" i="60" l="1"/>
  <c r="BT24" i="113"/>
  <c r="BT25" i="113" s="1"/>
  <c r="BU26" i="113"/>
  <c r="BT33" i="113"/>
  <c r="BT27" i="113"/>
  <c r="BT29" i="113" s="1"/>
  <c r="BT31" i="113" s="1"/>
  <c r="BT78" i="113"/>
  <c r="BT79" i="113" s="1"/>
  <c r="BU80" i="113"/>
  <c r="BT87" i="113"/>
  <c r="BT81" i="113"/>
  <c r="BT83" i="113" s="1"/>
  <c r="BT85" i="113" s="1"/>
  <c r="BS16" i="60"/>
  <c r="BS11" i="60"/>
  <c r="BR40" i="60"/>
  <c r="BS40" i="60"/>
  <c r="CE24" i="60"/>
  <c r="CE23" i="60"/>
  <c r="CC20" i="60"/>
  <c r="CC25" i="60"/>
  <c r="CE51" i="113"/>
  <c r="CE52" i="113" s="1"/>
  <c r="CE54" i="113"/>
  <c r="CE56" i="113" s="1"/>
  <c r="CE58" i="113" s="1"/>
  <c r="CE60" i="113"/>
  <c r="CF53" i="113"/>
  <c r="CD22" i="60"/>
  <c r="BU42" i="60" l="1"/>
  <c r="BU41" i="60"/>
  <c r="BU13" i="60"/>
  <c r="BT11" i="60"/>
  <c r="BT16" i="60"/>
  <c r="BU87" i="113"/>
  <c r="BU78" i="113"/>
  <c r="BU79" i="113" s="1"/>
  <c r="BU81" i="113"/>
  <c r="BU83" i="113" s="1"/>
  <c r="BU85" i="113" s="1"/>
  <c r="BV80" i="113"/>
  <c r="BT42" i="60"/>
  <c r="BT41" i="60"/>
  <c r="BS38" i="60"/>
  <c r="BS43" i="60"/>
  <c r="BU27" i="113"/>
  <c r="BU29" i="113" s="1"/>
  <c r="BU31" i="113" s="1"/>
  <c r="BV26" i="113"/>
  <c r="BU24" i="113"/>
  <c r="BU25" i="113" s="1"/>
  <c r="BU33" i="113"/>
  <c r="BR38" i="60"/>
  <c r="BR43" i="60"/>
  <c r="CF23" i="60"/>
  <c r="CF24" i="60"/>
  <c r="CE22" i="60"/>
  <c r="CD25" i="60"/>
  <c r="CD20" i="60"/>
  <c r="CF51" i="113"/>
  <c r="CF52" i="113" s="1"/>
  <c r="CG53" i="113"/>
  <c r="CF60" i="113"/>
  <c r="CF54" i="113"/>
  <c r="CF56" i="113" s="1"/>
  <c r="CF58" i="113" s="1"/>
  <c r="BV41" i="60" l="1"/>
  <c r="BV13" i="60"/>
  <c r="BU40" i="60"/>
  <c r="BV81" i="113"/>
  <c r="BV83" i="113" s="1"/>
  <c r="BV85" i="113" s="1"/>
  <c r="BV87" i="113"/>
  <c r="BV78" i="113"/>
  <c r="BV79" i="113" s="1"/>
  <c r="BV27" i="113"/>
  <c r="BV29" i="113" s="1"/>
  <c r="BV31" i="113" s="1"/>
  <c r="BW13" i="60" s="1"/>
  <c r="BV24" i="113"/>
  <c r="BV25" i="113" s="1"/>
  <c r="BV33" i="113"/>
  <c r="BV42" i="60"/>
  <c r="BU16" i="60"/>
  <c r="BU11" i="60"/>
  <c r="BT40" i="60"/>
  <c r="CH53" i="113"/>
  <c r="CG54" i="113"/>
  <c r="CG56" i="113" s="1"/>
  <c r="CG58" i="113" s="1"/>
  <c r="CG60" i="113"/>
  <c r="CG51" i="113"/>
  <c r="CG52" i="113" s="1"/>
  <c r="CE20" i="60"/>
  <c r="CE25" i="60"/>
  <c r="CF22" i="60"/>
  <c r="CG23" i="60"/>
  <c r="CG24" i="60"/>
  <c r="BN34" i="113" l="1"/>
  <c r="BO111" i="60" s="1"/>
  <c r="BU88" i="113"/>
  <c r="BV114" i="60" s="1"/>
  <c r="BO34" i="113"/>
  <c r="BP111" i="60" s="1"/>
  <c r="BV11" i="60"/>
  <c r="BV16" i="60"/>
  <c r="BV34" i="113"/>
  <c r="BW111" i="60" s="1"/>
  <c r="BK34" i="113"/>
  <c r="BL111" i="60" s="1"/>
  <c r="BM34" i="113"/>
  <c r="BN111" i="60" s="1"/>
  <c r="BL34" i="113"/>
  <c r="BM111" i="60" s="1"/>
  <c r="BV88" i="113"/>
  <c r="BW114" i="60" s="1"/>
  <c r="BK88" i="113"/>
  <c r="BL114" i="60" s="1"/>
  <c r="BL88" i="113"/>
  <c r="BM114" i="60" s="1"/>
  <c r="BN88" i="113"/>
  <c r="BO114" i="60" s="1"/>
  <c r="BO110" i="60" s="1"/>
  <c r="BG5" i="80" s="1"/>
  <c r="BM88" i="113"/>
  <c r="BN114" i="60" s="1"/>
  <c r="BQ88" i="113"/>
  <c r="BR114" i="60" s="1"/>
  <c r="BS88" i="113"/>
  <c r="BT114" i="60" s="1"/>
  <c r="BT43" i="60"/>
  <c r="BT38" i="60"/>
  <c r="BU34" i="113"/>
  <c r="BV111" i="60" s="1"/>
  <c r="BP88" i="113"/>
  <c r="BQ114" i="60" s="1"/>
  <c r="BS34" i="113"/>
  <c r="BT111" i="60" s="1"/>
  <c r="BR88" i="113"/>
  <c r="BS114" i="60" s="1"/>
  <c r="BT34" i="113"/>
  <c r="BU111" i="60" s="1"/>
  <c r="BQ34" i="113"/>
  <c r="BR111" i="60" s="1"/>
  <c r="BO88" i="113"/>
  <c r="BP114" i="60" s="1"/>
  <c r="BW80" i="113"/>
  <c r="BT88" i="113"/>
  <c r="BU114" i="60" s="1"/>
  <c r="BV40" i="60"/>
  <c r="BW26" i="113"/>
  <c r="BP34" i="113"/>
  <c r="BQ111" i="60" s="1"/>
  <c r="BU38" i="60"/>
  <c r="BU43" i="60"/>
  <c r="BR34" i="113"/>
  <c r="BS111" i="60" s="1"/>
  <c r="CF20" i="60"/>
  <c r="CF25" i="60"/>
  <c r="CH24" i="60"/>
  <c r="CH23" i="60"/>
  <c r="CH60" i="113"/>
  <c r="CH51" i="113"/>
  <c r="CH52" i="113" s="1"/>
  <c r="CH54" i="113"/>
  <c r="CH56" i="113" s="1"/>
  <c r="CH58" i="113" s="1"/>
  <c r="CG22" i="60"/>
  <c r="BV110" i="60" l="1"/>
  <c r="BN5" i="80" s="1"/>
  <c r="BP110" i="60"/>
  <c r="BH5" i="80" s="1"/>
  <c r="BT110" i="60"/>
  <c r="BL5" i="80" s="1"/>
  <c r="BM110" i="60"/>
  <c r="BE5" i="80" s="1"/>
  <c r="BS110" i="60"/>
  <c r="BK5" i="80" s="1"/>
  <c r="BR110" i="60"/>
  <c r="BJ5" i="80" s="1"/>
  <c r="BN110" i="60"/>
  <c r="BF5" i="80" s="1"/>
  <c r="BU110" i="60"/>
  <c r="BM5" i="80" s="1"/>
  <c r="BL110" i="60"/>
  <c r="BD5" i="80" s="1"/>
  <c r="BW33" i="113"/>
  <c r="BW27" i="113"/>
  <c r="BW29" i="113" s="1"/>
  <c r="BW31" i="113" s="1"/>
  <c r="BX26" i="113"/>
  <c r="BW24" i="113"/>
  <c r="BW25" i="113" s="1"/>
  <c r="BW87" i="113"/>
  <c r="BW78" i="113"/>
  <c r="BW79" i="113" s="1"/>
  <c r="BW81" i="113"/>
  <c r="BW83" i="113" s="1"/>
  <c r="BW85" i="113" s="1"/>
  <c r="BX80" i="113"/>
  <c r="BQ110" i="60"/>
  <c r="BI5" i="80" s="1"/>
  <c r="BV38" i="60"/>
  <c r="BV43" i="60"/>
  <c r="BW42" i="60"/>
  <c r="BW41" i="60"/>
  <c r="BW110" i="60"/>
  <c r="BO5" i="80" s="1"/>
  <c r="CI24" i="60"/>
  <c r="CI23" i="60"/>
  <c r="CG25" i="60"/>
  <c r="CG20" i="60"/>
  <c r="BX61" i="113"/>
  <c r="BY112" i="60" s="1"/>
  <c r="CF61" i="113"/>
  <c r="CG112" i="60" s="1"/>
  <c r="CG61" i="113"/>
  <c r="CH112" i="60" s="1"/>
  <c r="BZ61" i="113"/>
  <c r="CA112" i="60" s="1"/>
  <c r="CC61" i="113"/>
  <c r="CD112" i="60" s="1"/>
  <c r="BY61" i="113"/>
  <c r="BZ112" i="60" s="1"/>
  <c r="CE61" i="113"/>
  <c r="CF112" i="60" s="1"/>
  <c r="CH61" i="113"/>
  <c r="CI112" i="60" s="1"/>
  <c r="CD61" i="113"/>
  <c r="CE112" i="60" s="1"/>
  <c r="CA61" i="113"/>
  <c r="CB112" i="60" s="1"/>
  <c r="CB61" i="113"/>
  <c r="CC112" i="60" s="1"/>
  <c r="BW61" i="113"/>
  <c r="BX112" i="60" s="1"/>
  <c r="CH22" i="60"/>
  <c r="BX13" i="60" l="1"/>
  <c r="BY80" i="113"/>
  <c r="BX87" i="113"/>
  <c r="BX78" i="113"/>
  <c r="BX79" i="113" s="1"/>
  <c r="BX81" i="113"/>
  <c r="BX83" i="113" s="1"/>
  <c r="BX85" i="113" s="1"/>
  <c r="BW11" i="60"/>
  <c r="BW16" i="60"/>
  <c r="BX41" i="60"/>
  <c r="BX42" i="60"/>
  <c r="BW40" i="60"/>
  <c r="BY26" i="113"/>
  <c r="BX27" i="113"/>
  <c r="BX29" i="113" s="1"/>
  <c r="BX31" i="113" s="1"/>
  <c r="BX33" i="113"/>
  <c r="BX24" i="113"/>
  <c r="BX25" i="113" s="1"/>
  <c r="CH25" i="60"/>
  <c r="CH20" i="60"/>
  <c r="CI22" i="60"/>
  <c r="BY41" i="60" l="1"/>
  <c r="BY13" i="60"/>
  <c r="BW38" i="60"/>
  <c r="BW43" i="60"/>
  <c r="BX16" i="60"/>
  <c r="BX11" i="60"/>
  <c r="BY42" i="60"/>
  <c r="BY33" i="113"/>
  <c r="BY24" i="113"/>
  <c r="BY25" i="113" s="1"/>
  <c r="BZ26" i="113"/>
  <c r="BY27" i="113"/>
  <c r="BY29" i="113" s="1"/>
  <c r="BY31" i="113" s="1"/>
  <c r="BX40" i="60"/>
  <c r="BY81" i="113"/>
  <c r="BY83" i="113" s="1"/>
  <c r="BY85" i="113" s="1"/>
  <c r="BY87" i="113"/>
  <c r="BZ80" i="113"/>
  <c r="BY78" i="113"/>
  <c r="BY79" i="113" s="1"/>
  <c r="CI20" i="60"/>
  <c r="CI25" i="60"/>
  <c r="BZ42" i="60" l="1"/>
  <c r="BZ13" i="60"/>
  <c r="BY11" i="60"/>
  <c r="BY16" i="60"/>
  <c r="BZ41" i="60"/>
  <c r="CA26" i="113"/>
  <c r="BZ27" i="113"/>
  <c r="BZ29" i="113" s="1"/>
  <c r="BZ31" i="113" s="1"/>
  <c r="BZ33" i="113"/>
  <c r="BZ24" i="113"/>
  <c r="BZ25" i="113" s="1"/>
  <c r="CA80" i="113"/>
  <c r="BZ87" i="113"/>
  <c r="BZ81" i="113"/>
  <c r="BZ83" i="113" s="1"/>
  <c r="BZ85" i="113" s="1"/>
  <c r="BZ78" i="113"/>
  <c r="BZ79" i="113" s="1"/>
  <c r="BY40" i="60"/>
  <c r="BX38" i="60"/>
  <c r="BX43" i="60"/>
  <c r="CA13" i="60" l="1"/>
  <c r="BY38" i="60"/>
  <c r="BY43" i="60"/>
  <c r="CA33" i="113"/>
  <c r="CA27" i="113"/>
  <c r="CA29" i="113" s="1"/>
  <c r="CA31" i="113" s="1"/>
  <c r="CB26" i="113"/>
  <c r="CA24" i="113"/>
  <c r="CA25" i="113" s="1"/>
  <c r="CA78" i="113"/>
  <c r="CA79" i="113" s="1"/>
  <c r="CB80" i="113"/>
  <c r="CA87" i="113"/>
  <c r="CA81" i="113"/>
  <c r="CA83" i="113" s="1"/>
  <c r="CA85" i="113" s="1"/>
  <c r="BZ11" i="60"/>
  <c r="BZ16" i="60"/>
  <c r="CA41" i="60"/>
  <c r="CA42" i="60"/>
  <c r="BZ40" i="60"/>
  <c r="CB42" i="60" l="1"/>
  <c r="CB41" i="60"/>
  <c r="CB13" i="60"/>
  <c r="CA40" i="60"/>
  <c r="CB27" i="113"/>
  <c r="CB29" i="113" s="1"/>
  <c r="CB31" i="113" s="1"/>
  <c r="CB33" i="113"/>
  <c r="CC26" i="113"/>
  <c r="CB24" i="113"/>
  <c r="CB25" i="113" s="1"/>
  <c r="CA16" i="60"/>
  <c r="CA11" i="60"/>
  <c r="CB78" i="113"/>
  <c r="CB79" i="113" s="1"/>
  <c r="CB81" i="113"/>
  <c r="CB83" i="113" s="1"/>
  <c r="CB85" i="113" s="1"/>
  <c r="CC80" i="113"/>
  <c r="CB87" i="113"/>
  <c r="BZ38" i="60"/>
  <c r="BZ43" i="60"/>
  <c r="CM80" i="80"/>
  <c r="CK80" i="80"/>
  <c r="CL80" i="80"/>
  <c r="CC42" i="60" l="1"/>
  <c r="CC13" i="60"/>
  <c r="CC78" i="113"/>
  <c r="CC79" i="113" s="1"/>
  <c r="CC81" i="113"/>
  <c r="CC83" i="113" s="1"/>
  <c r="CC85" i="113" s="1"/>
  <c r="CD80" i="113"/>
  <c r="CC87" i="113"/>
  <c r="CC41" i="60"/>
  <c r="CB40" i="60"/>
  <c r="CB11" i="60"/>
  <c r="CB16" i="60"/>
  <c r="CC24" i="113"/>
  <c r="CC25" i="113" s="1"/>
  <c r="CD26" i="113"/>
  <c r="CC27" i="113"/>
  <c r="CC29" i="113" s="1"/>
  <c r="CC31" i="113" s="1"/>
  <c r="CC33" i="113"/>
  <c r="CA43" i="60"/>
  <c r="CA38" i="60"/>
  <c r="E90" i="60"/>
  <c r="Q90" i="60" s="1"/>
  <c r="AC90" i="60" s="1"/>
  <c r="F90" i="60"/>
  <c r="R90" i="60" s="1"/>
  <c r="AD90" i="60" s="1"/>
  <c r="G90" i="60"/>
  <c r="S90" i="60" s="1"/>
  <c r="AE90" i="60" s="1"/>
  <c r="H90" i="60"/>
  <c r="T90" i="60" s="1"/>
  <c r="AF90" i="60" s="1"/>
  <c r="I90" i="60"/>
  <c r="U90" i="60" s="1"/>
  <c r="AG90" i="60" s="1"/>
  <c r="J90" i="60"/>
  <c r="V90" i="60" s="1"/>
  <c r="AH90" i="60" s="1"/>
  <c r="K90" i="60"/>
  <c r="W90" i="60" s="1"/>
  <c r="AI90" i="60" s="1"/>
  <c r="L90" i="60"/>
  <c r="X90" i="60" s="1"/>
  <c r="AJ90" i="60" s="1"/>
  <c r="M90" i="60"/>
  <c r="Y90" i="60" s="1"/>
  <c r="N90" i="60"/>
  <c r="Z90" i="60" s="1"/>
  <c r="O90" i="60"/>
  <c r="AA90" i="60" s="1"/>
  <c r="E91" i="60"/>
  <c r="Q91" i="60" s="1"/>
  <c r="AC91" i="60" s="1"/>
  <c r="F91" i="60"/>
  <c r="R91" i="60" s="1"/>
  <c r="AD91" i="60" s="1"/>
  <c r="G91" i="60"/>
  <c r="S91" i="60" s="1"/>
  <c r="AE91" i="60" s="1"/>
  <c r="H91" i="60"/>
  <c r="T91" i="60" s="1"/>
  <c r="AF91" i="60" s="1"/>
  <c r="I91" i="60"/>
  <c r="U91" i="60" s="1"/>
  <c r="AG91" i="60" s="1"/>
  <c r="J91" i="60"/>
  <c r="V91" i="60" s="1"/>
  <c r="AH91" i="60" s="1"/>
  <c r="K91" i="60"/>
  <c r="W91" i="60" s="1"/>
  <c r="AI91" i="60" s="1"/>
  <c r="L91" i="60"/>
  <c r="X91" i="60" s="1"/>
  <c r="AJ91" i="60" s="1"/>
  <c r="M91" i="60"/>
  <c r="Y91" i="60" s="1"/>
  <c r="N91" i="60"/>
  <c r="Z91" i="60" s="1"/>
  <c r="O91" i="60"/>
  <c r="AA91" i="60" s="1"/>
  <c r="CD41" i="60" l="1"/>
  <c r="CD13" i="60"/>
  <c r="CC16" i="60"/>
  <c r="CC11" i="60"/>
  <c r="CC40" i="60"/>
  <c r="CD87" i="113"/>
  <c r="CD78" i="113"/>
  <c r="CD79" i="113" s="1"/>
  <c r="CD81" i="113"/>
  <c r="CD83" i="113" s="1"/>
  <c r="CD85" i="113" s="1"/>
  <c r="CE80" i="113"/>
  <c r="CB43" i="60"/>
  <c r="CB38" i="60"/>
  <c r="CD42" i="60"/>
  <c r="CD33" i="113"/>
  <c r="CE26" i="113"/>
  <c r="CD24" i="113"/>
  <c r="CD25" i="113" s="1"/>
  <c r="CD27" i="113"/>
  <c r="CD29" i="113" s="1"/>
  <c r="CD31" i="113" s="1"/>
  <c r="AU91" i="60"/>
  <c r="BG91" i="60" s="1"/>
  <c r="BS91" i="60" s="1"/>
  <c r="CE91" i="60" s="1"/>
  <c r="N92" i="115"/>
  <c r="N92" i="65"/>
  <c r="O91" i="115"/>
  <c r="AV90" i="60"/>
  <c r="BH90" i="60" s="1"/>
  <c r="BT90" i="60" s="1"/>
  <c r="CF90" i="60" s="1"/>
  <c r="O91" i="65"/>
  <c r="R79" i="20"/>
  <c r="D28" i="76" s="1"/>
  <c r="D90" i="60"/>
  <c r="P90" i="60" s="1"/>
  <c r="AB90" i="60" s="1"/>
  <c r="AT91" i="60"/>
  <c r="BF91" i="60" s="1"/>
  <c r="BR91" i="60" s="1"/>
  <c r="CD91" i="60" s="1"/>
  <c r="M92" i="115"/>
  <c r="M92" i="65"/>
  <c r="F91" i="115"/>
  <c r="F91" i="65"/>
  <c r="AM90" i="60"/>
  <c r="AY90" i="60" s="1"/>
  <c r="BK90" i="60" s="1"/>
  <c r="BW90" i="60" s="1"/>
  <c r="CI90" i="60" s="1"/>
  <c r="J91" i="115"/>
  <c r="J91" i="65"/>
  <c r="AQ90" i="60"/>
  <c r="BC90" i="60" s="1"/>
  <c r="BO90" i="60" s="1"/>
  <c r="CA90" i="60" s="1"/>
  <c r="AK91" i="60"/>
  <c r="AW91" i="60" s="1"/>
  <c r="BI91" i="60" s="1"/>
  <c r="BU91" i="60" s="1"/>
  <c r="CG91" i="60" s="1"/>
  <c r="D92" i="65"/>
  <c r="D92" i="115"/>
  <c r="AS91" i="60"/>
  <c r="BE91" i="60" s="1"/>
  <c r="BQ91" i="60" s="1"/>
  <c r="CC91" i="60" s="1"/>
  <c r="L92" i="65"/>
  <c r="L92" i="115"/>
  <c r="H92" i="115"/>
  <c r="H92" i="65"/>
  <c r="AO91" i="60"/>
  <c r="BA91" i="60" s="1"/>
  <c r="BM91" i="60" s="1"/>
  <c r="BY91" i="60" s="1"/>
  <c r="E91" i="65"/>
  <c r="AL90" i="60"/>
  <c r="AX90" i="60" s="1"/>
  <c r="BJ90" i="60" s="1"/>
  <c r="BV90" i="60" s="1"/>
  <c r="CH90" i="60" s="1"/>
  <c r="E91" i="115"/>
  <c r="AT90" i="60"/>
  <c r="BF90" i="60" s="1"/>
  <c r="BR90" i="60" s="1"/>
  <c r="CD90" i="60" s="1"/>
  <c r="M91" i="65"/>
  <c r="M91" i="115"/>
  <c r="I91" i="115"/>
  <c r="AP90" i="60"/>
  <c r="BB90" i="60" s="1"/>
  <c r="BN90" i="60" s="1"/>
  <c r="BZ90" i="60" s="1"/>
  <c r="I91" i="65"/>
  <c r="F92" i="115"/>
  <c r="AM91" i="60"/>
  <c r="AY91" i="60" s="1"/>
  <c r="BK91" i="60" s="1"/>
  <c r="BW91" i="60" s="1"/>
  <c r="CI91" i="60" s="1"/>
  <c r="F92" i="65"/>
  <c r="J92" i="65"/>
  <c r="J92" i="115"/>
  <c r="AQ91" i="60"/>
  <c r="BC91" i="60" s="1"/>
  <c r="BO91" i="60" s="1"/>
  <c r="CA91" i="60" s="1"/>
  <c r="K91" i="115"/>
  <c r="K91" i="65"/>
  <c r="AR90" i="60"/>
  <c r="BD90" i="60" s="1"/>
  <c r="BP90" i="60" s="1"/>
  <c r="CB90" i="60" s="1"/>
  <c r="AL91" i="60"/>
  <c r="AX91" i="60" s="1"/>
  <c r="BJ91" i="60" s="1"/>
  <c r="BV91" i="60" s="1"/>
  <c r="CH91" i="60" s="1"/>
  <c r="E92" i="65"/>
  <c r="E92" i="115"/>
  <c r="AP91" i="60"/>
  <c r="BB91" i="60" s="1"/>
  <c r="BN91" i="60" s="1"/>
  <c r="BZ91" i="60" s="1"/>
  <c r="I92" i="115"/>
  <c r="I92" i="65"/>
  <c r="AU90" i="60"/>
  <c r="BG90" i="60" s="1"/>
  <c r="BS90" i="60" s="1"/>
  <c r="CE90" i="60" s="1"/>
  <c r="N91" i="115"/>
  <c r="N91" i="65"/>
  <c r="AV91" i="60"/>
  <c r="BH91" i="60" s="1"/>
  <c r="BT91" i="60" s="1"/>
  <c r="CF91" i="60" s="1"/>
  <c r="O92" i="115"/>
  <c r="O92" i="65"/>
  <c r="K92" i="65"/>
  <c r="K92" i="115"/>
  <c r="AR91" i="60"/>
  <c r="BD91" i="60" s="1"/>
  <c r="BP91" i="60" s="1"/>
  <c r="CB91" i="60" s="1"/>
  <c r="D91" i="60"/>
  <c r="P91" i="60" s="1"/>
  <c r="AB91" i="60" s="1"/>
  <c r="R80" i="20"/>
  <c r="D91" i="115"/>
  <c r="AK90" i="60"/>
  <c r="AW90" i="60" s="1"/>
  <c r="BI90" i="60" s="1"/>
  <c r="BU90" i="60" s="1"/>
  <c r="CG90" i="60" s="1"/>
  <c r="D91" i="65"/>
  <c r="L91" i="115"/>
  <c r="L91" i="65"/>
  <c r="AS90" i="60"/>
  <c r="BE90" i="60" s="1"/>
  <c r="BQ90" i="60" s="1"/>
  <c r="CC90" i="60" s="1"/>
  <c r="H91" i="115"/>
  <c r="H91" i="65"/>
  <c r="AO90" i="60"/>
  <c r="CE13" i="60" l="1"/>
  <c r="CE33" i="113"/>
  <c r="CF26" i="113"/>
  <c r="CE24" i="113"/>
  <c r="CE25" i="113" s="1"/>
  <c r="CE27" i="113"/>
  <c r="CE29" i="113" s="1"/>
  <c r="CE31" i="113" s="1"/>
  <c r="CD11" i="60"/>
  <c r="CD16" i="60"/>
  <c r="CE78" i="113"/>
  <c r="CE79" i="113" s="1"/>
  <c r="CE87" i="113"/>
  <c r="CE81" i="113"/>
  <c r="CE83" i="113" s="1"/>
  <c r="CE85" i="113" s="1"/>
  <c r="CF80" i="113"/>
  <c r="CC38" i="60"/>
  <c r="CC43" i="60"/>
  <c r="CD40" i="60"/>
  <c r="CE41" i="60"/>
  <c r="CE42" i="60"/>
  <c r="G92" i="65"/>
  <c r="P92" i="65" s="1"/>
  <c r="AN91" i="60"/>
  <c r="AZ91" i="60" s="1"/>
  <c r="BL91" i="60" s="1"/>
  <c r="BX91" i="60" s="1"/>
  <c r="G92" i="115"/>
  <c r="P92" i="115" s="1"/>
  <c r="Q92" i="115" s="1"/>
  <c r="D28" i="91"/>
  <c r="P28" i="91" s="1"/>
  <c r="P28" i="76"/>
  <c r="BA90" i="60"/>
  <c r="BM90" i="60" s="1"/>
  <c r="BY90" i="60" s="1"/>
  <c r="G91" i="65"/>
  <c r="P91" i="65" s="1"/>
  <c r="G91" i="115"/>
  <c r="P91" i="115" s="1"/>
  <c r="Q91" i="115" s="1"/>
  <c r="AN90" i="60"/>
  <c r="AZ90" i="60" s="1"/>
  <c r="BL90" i="60" s="1"/>
  <c r="BX90" i="60" s="1"/>
  <c r="CF41" i="60" l="1"/>
  <c r="CF42" i="60"/>
  <c r="CF13" i="60"/>
  <c r="CD43" i="60"/>
  <c r="CD38" i="60"/>
  <c r="CE40" i="60"/>
  <c r="CE16" i="60"/>
  <c r="CE11" i="60"/>
  <c r="CG80" i="113"/>
  <c r="CF87" i="113"/>
  <c r="CF78" i="113"/>
  <c r="CF79" i="113" s="1"/>
  <c r="CF81" i="113"/>
  <c r="CF83" i="113" s="1"/>
  <c r="CF85" i="113" s="1"/>
  <c r="CG26" i="113"/>
  <c r="CF24" i="113"/>
  <c r="CF25" i="113" s="1"/>
  <c r="CF33" i="113"/>
  <c r="CF27" i="113"/>
  <c r="CF29" i="113" s="1"/>
  <c r="CF31" i="113" s="1"/>
  <c r="Q91" i="65"/>
  <c r="F44" i="61"/>
  <c r="Q92" i="65"/>
  <c r="R92" i="65" s="1"/>
  <c r="F45" i="61"/>
  <c r="P30" i="91"/>
  <c r="P30" i="76"/>
  <c r="R91" i="65" l="1"/>
  <c r="CG13" i="60"/>
  <c r="CG78" i="113"/>
  <c r="CG79" i="113" s="1"/>
  <c r="CG87" i="113"/>
  <c r="CH80" i="113"/>
  <c r="CG81" i="113"/>
  <c r="CG83" i="113" s="1"/>
  <c r="CG85" i="113" s="1"/>
  <c r="CG41" i="60"/>
  <c r="CG42" i="60"/>
  <c r="CF11" i="60"/>
  <c r="CF16" i="60"/>
  <c r="CG24" i="113"/>
  <c r="CG25" i="113" s="1"/>
  <c r="CG27" i="113"/>
  <c r="CG29" i="113" s="1"/>
  <c r="CG31" i="113" s="1"/>
  <c r="CH26" i="113"/>
  <c r="CG33" i="113"/>
  <c r="CF40" i="60"/>
  <c r="CE38" i="60"/>
  <c r="CE43" i="60"/>
  <c r="E92" i="60"/>
  <c r="Q92" i="60" s="1"/>
  <c r="AC92" i="60" s="1"/>
  <c r="F92" i="60"/>
  <c r="R92" i="60" s="1"/>
  <c r="AD92" i="60" s="1"/>
  <c r="G92" i="60"/>
  <c r="S92" i="60" s="1"/>
  <c r="AE92" i="60" s="1"/>
  <c r="H92" i="60"/>
  <c r="T92" i="60" s="1"/>
  <c r="AF92" i="60" s="1"/>
  <c r="I92" i="60"/>
  <c r="U92" i="60" s="1"/>
  <c r="AG92" i="60" s="1"/>
  <c r="J92" i="60"/>
  <c r="V92" i="60" s="1"/>
  <c r="AH92" i="60" s="1"/>
  <c r="K92" i="60"/>
  <c r="W92" i="60" s="1"/>
  <c r="AI92" i="60" s="1"/>
  <c r="L92" i="60"/>
  <c r="X92" i="60" s="1"/>
  <c r="AJ92" i="60" s="1"/>
  <c r="M92" i="60"/>
  <c r="Y92" i="60" s="1"/>
  <c r="N92" i="60"/>
  <c r="Z92" i="60" s="1"/>
  <c r="O92" i="60"/>
  <c r="AA92" i="60" s="1"/>
  <c r="E94" i="60"/>
  <c r="Q94" i="60" s="1"/>
  <c r="AC94" i="60" s="1"/>
  <c r="F94" i="60"/>
  <c r="R94" i="60" s="1"/>
  <c r="AD94" i="60" s="1"/>
  <c r="G94" i="60"/>
  <c r="S94" i="60" s="1"/>
  <c r="AE94" i="60" s="1"/>
  <c r="H94" i="60"/>
  <c r="T94" i="60" s="1"/>
  <c r="AF94" i="60" s="1"/>
  <c r="I94" i="60"/>
  <c r="U94" i="60" s="1"/>
  <c r="AG94" i="60" s="1"/>
  <c r="J94" i="60"/>
  <c r="V94" i="60" s="1"/>
  <c r="AH94" i="60" s="1"/>
  <c r="K94" i="60"/>
  <c r="W94" i="60" s="1"/>
  <c r="AI94" i="60" s="1"/>
  <c r="L94" i="60"/>
  <c r="X94" i="60" s="1"/>
  <c r="AJ94" i="60" s="1"/>
  <c r="M94" i="60"/>
  <c r="Y94" i="60" s="1"/>
  <c r="N94" i="60"/>
  <c r="Z94" i="60" s="1"/>
  <c r="O94" i="60"/>
  <c r="AA94" i="60" s="1"/>
  <c r="E64" i="60"/>
  <c r="E63" i="60" s="1"/>
  <c r="F64" i="60"/>
  <c r="F63" i="60" s="1"/>
  <c r="G64" i="60"/>
  <c r="G63" i="60" s="1"/>
  <c r="H64" i="60"/>
  <c r="H63" i="60" s="1"/>
  <c r="I64" i="60"/>
  <c r="I63" i="60" s="1"/>
  <c r="J64" i="60"/>
  <c r="J63" i="60" s="1"/>
  <c r="K64" i="60"/>
  <c r="K63" i="60" s="1"/>
  <c r="L64" i="60"/>
  <c r="L63" i="60" s="1"/>
  <c r="M64" i="60"/>
  <c r="M63" i="60" s="1"/>
  <c r="N64" i="60"/>
  <c r="N63" i="60" s="1"/>
  <c r="O64" i="60"/>
  <c r="O63" i="60" s="1"/>
  <c r="E56" i="60"/>
  <c r="F56" i="60"/>
  <c r="G56" i="60"/>
  <c r="H56" i="60"/>
  <c r="I56" i="60"/>
  <c r="J56" i="60"/>
  <c r="K56" i="60"/>
  <c r="L56" i="60"/>
  <c r="M56" i="60"/>
  <c r="N56" i="60"/>
  <c r="O56" i="60"/>
  <c r="C77" i="20" l="1"/>
  <c r="CH41" i="60"/>
  <c r="CH13" i="60"/>
  <c r="CH24" i="113"/>
  <c r="CH25" i="113" s="1"/>
  <c r="CH27" i="113"/>
  <c r="CH29" i="113" s="1"/>
  <c r="CH31" i="113" s="1"/>
  <c r="CH33" i="113"/>
  <c r="CG40" i="60"/>
  <c r="CH81" i="113"/>
  <c r="CH83" i="113" s="1"/>
  <c r="CH85" i="113" s="1"/>
  <c r="CH78" i="113"/>
  <c r="CH79" i="113" s="1"/>
  <c r="CH87" i="113"/>
  <c r="CG11" i="60"/>
  <c r="CG16" i="60"/>
  <c r="CF38" i="60"/>
  <c r="CF43" i="60"/>
  <c r="CH42" i="60"/>
  <c r="N89" i="60"/>
  <c r="G32" i="78" s="1"/>
  <c r="F89" i="60"/>
  <c r="Z64" i="60"/>
  <c r="Z63" i="60" s="1"/>
  <c r="R64" i="60"/>
  <c r="R63" i="60" s="1"/>
  <c r="J80" i="60"/>
  <c r="C31" i="78" s="1"/>
  <c r="R81" i="20"/>
  <c r="E29" i="76" s="1"/>
  <c r="D92" i="60"/>
  <c r="P92" i="60" s="1"/>
  <c r="AB92" i="60" s="1"/>
  <c r="L95" i="65"/>
  <c r="L95" i="115"/>
  <c r="AS94" i="60"/>
  <c r="BE94" i="60" s="1"/>
  <c r="BQ94" i="60" s="1"/>
  <c r="CC94" i="60" s="1"/>
  <c r="D93" i="115"/>
  <c r="AK92" i="60"/>
  <c r="AW92" i="60" s="1"/>
  <c r="BI92" i="60" s="1"/>
  <c r="BU92" i="60" s="1"/>
  <c r="CG92" i="60" s="1"/>
  <c r="D93" i="65"/>
  <c r="L93" i="65"/>
  <c r="AS92" i="60"/>
  <c r="BE92" i="60" s="1"/>
  <c r="BQ92" i="60" s="1"/>
  <c r="CC92" i="60" s="1"/>
  <c r="L93" i="115"/>
  <c r="M89" i="60"/>
  <c r="F32" i="78" s="1"/>
  <c r="E89" i="60"/>
  <c r="Y64" i="60"/>
  <c r="Q64" i="60"/>
  <c r="Q63" i="60" s="1"/>
  <c r="I80" i="60"/>
  <c r="K95" i="115"/>
  <c r="AR94" i="60"/>
  <c r="BD94" i="60" s="1"/>
  <c r="BP94" i="60" s="1"/>
  <c r="CB94" i="60" s="1"/>
  <c r="K95" i="65"/>
  <c r="K93" i="65"/>
  <c r="AR92" i="60"/>
  <c r="BD92" i="60" s="1"/>
  <c r="BP92" i="60" s="1"/>
  <c r="CB92" i="60" s="1"/>
  <c r="K93" i="115"/>
  <c r="E13" i="78"/>
  <c r="E15" i="78" s="1"/>
  <c r="X56" i="60"/>
  <c r="T56" i="60"/>
  <c r="D56" i="60"/>
  <c r="O47" i="20"/>
  <c r="L89" i="60"/>
  <c r="E32" i="78" s="1"/>
  <c r="H89" i="60"/>
  <c r="X64" i="60"/>
  <c r="X63" i="60" s="1"/>
  <c r="T64" i="60"/>
  <c r="T63" i="60" s="1"/>
  <c r="O53" i="20"/>
  <c r="D64" i="60"/>
  <c r="D63" i="60" s="1"/>
  <c r="L80" i="60"/>
  <c r="E31" i="78" s="1"/>
  <c r="H80" i="60"/>
  <c r="F95" i="115"/>
  <c r="AM94" i="60"/>
  <c r="AY94" i="60" s="1"/>
  <c r="BK94" i="60" s="1"/>
  <c r="BW94" i="60" s="1"/>
  <c r="CI94" i="60" s="1"/>
  <c r="F95" i="65"/>
  <c r="N95" i="65"/>
  <c r="N95" i="115"/>
  <c r="AU94" i="60"/>
  <c r="BG94" i="60" s="1"/>
  <c r="BS94" i="60" s="1"/>
  <c r="CE94" i="60" s="1"/>
  <c r="AQ94" i="60"/>
  <c r="BC94" i="60" s="1"/>
  <c r="BO94" i="60" s="1"/>
  <c r="CA94" i="60" s="1"/>
  <c r="J95" i="115"/>
  <c r="J95" i="65"/>
  <c r="F93" i="65"/>
  <c r="F93" i="115"/>
  <c r="AM92" i="60"/>
  <c r="AY92" i="60" s="1"/>
  <c r="BK92" i="60" s="1"/>
  <c r="BW92" i="60" s="1"/>
  <c r="CI92" i="60" s="1"/>
  <c r="N93" i="65"/>
  <c r="AU92" i="60"/>
  <c r="BG92" i="60" s="1"/>
  <c r="BS92" i="60" s="1"/>
  <c r="CE92" i="60" s="1"/>
  <c r="N93" i="115"/>
  <c r="J93" i="65"/>
  <c r="J93" i="115"/>
  <c r="AQ92" i="60"/>
  <c r="BC92" i="60" s="1"/>
  <c r="BO92" i="60" s="1"/>
  <c r="CA92" i="60" s="1"/>
  <c r="G13" i="78"/>
  <c r="G15" i="78" s="1"/>
  <c r="Z56" i="60"/>
  <c r="C13" i="78"/>
  <c r="V56" i="60"/>
  <c r="R56" i="60"/>
  <c r="J89" i="60"/>
  <c r="C32" i="78" s="1"/>
  <c r="V64" i="60"/>
  <c r="V63" i="60" s="1"/>
  <c r="N80" i="60"/>
  <c r="G31" i="78" s="1"/>
  <c r="F80" i="60"/>
  <c r="D95" i="115"/>
  <c r="D95" i="65"/>
  <c r="AK94" i="60"/>
  <c r="AW94" i="60" s="1"/>
  <c r="BI94" i="60" s="1"/>
  <c r="BU94" i="60" s="1"/>
  <c r="CG94" i="60" s="1"/>
  <c r="H95" i="65"/>
  <c r="H95" i="115"/>
  <c r="AO94" i="60"/>
  <c r="BA94" i="60" s="1"/>
  <c r="BM94" i="60" s="1"/>
  <c r="BY94" i="60" s="1"/>
  <c r="H93" i="65"/>
  <c r="H93" i="115"/>
  <c r="AO92" i="60"/>
  <c r="BA92" i="60" s="1"/>
  <c r="BM92" i="60" s="1"/>
  <c r="BY92" i="60" s="1"/>
  <c r="F13" i="78"/>
  <c r="F15" i="78" s="1"/>
  <c r="Y56" i="60"/>
  <c r="U56" i="60"/>
  <c r="Q56" i="60"/>
  <c r="I89" i="60"/>
  <c r="U64" i="60"/>
  <c r="U63" i="60" s="1"/>
  <c r="M80" i="60"/>
  <c r="F31" i="78" s="1"/>
  <c r="E80" i="60"/>
  <c r="O95" i="115"/>
  <c r="O95" i="65"/>
  <c r="AV94" i="60"/>
  <c r="BH94" i="60" s="1"/>
  <c r="BT94" i="60" s="1"/>
  <c r="CF94" i="60" s="1"/>
  <c r="AV92" i="60"/>
  <c r="BH92" i="60" s="1"/>
  <c r="BT92" i="60" s="1"/>
  <c r="CF92" i="60" s="1"/>
  <c r="O93" i="115"/>
  <c r="O93" i="65"/>
  <c r="AA56" i="60"/>
  <c r="H13" i="78"/>
  <c r="H15" i="78" s="1"/>
  <c r="D13" i="78"/>
  <c r="D15" i="78" s="1"/>
  <c r="W56" i="60"/>
  <c r="S56" i="60"/>
  <c r="O89" i="60"/>
  <c r="H32" i="78" s="1"/>
  <c r="K89" i="60"/>
  <c r="D32" i="78" s="1"/>
  <c r="G89" i="60"/>
  <c r="AA64" i="60"/>
  <c r="AA63" i="60" s="1"/>
  <c r="W64" i="60"/>
  <c r="W63" i="60" s="1"/>
  <c r="S64" i="60"/>
  <c r="S63" i="60" s="1"/>
  <c r="O80" i="60"/>
  <c r="H31" i="78" s="1"/>
  <c r="K80" i="60"/>
  <c r="D31" i="78" s="1"/>
  <c r="G80" i="60"/>
  <c r="R83" i="20"/>
  <c r="D94" i="60"/>
  <c r="P94" i="60" s="1"/>
  <c r="AB94" i="60" s="1"/>
  <c r="E95" i="65"/>
  <c r="AL94" i="60"/>
  <c r="AX94" i="60" s="1"/>
  <c r="BJ94" i="60" s="1"/>
  <c r="BV94" i="60" s="1"/>
  <c r="CH94" i="60" s="1"/>
  <c r="E95" i="115"/>
  <c r="M95" i="115"/>
  <c r="AT94" i="60"/>
  <c r="BF94" i="60" s="1"/>
  <c r="BR94" i="60" s="1"/>
  <c r="CD94" i="60" s="1"/>
  <c r="M95" i="65"/>
  <c r="AP94" i="60"/>
  <c r="BB94" i="60" s="1"/>
  <c r="BN94" i="60" s="1"/>
  <c r="BZ94" i="60" s="1"/>
  <c r="I95" i="115"/>
  <c r="I95" i="65"/>
  <c r="AL92" i="60"/>
  <c r="AX92" i="60" s="1"/>
  <c r="BJ92" i="60" s="1"/>
  <c r="BV92" i="60" s="1"/>
  <c r="CH92" i="60" s="1"/>
  <c r="E93" i="115"/>
  <c r="E93" i="65"/>
  <c r="M93" i="65"/>
  <c r="AT92" i="60"/>
  <c r="BF92" i="60" s="1"/>
  <c r="BR92" i="60" s="1"/>
  <c r="CD92" i="60" s="1"/>
  <c r="M93" i="115"/>
  <c r="I93" i="115"/>
  <c r="AP92" i="60"/>
  <c r="BB92" i="60" s="1"/>
  <c r="BN92" i="60" s="1"/>
  <c r="BZ92" i="60" s="1"/>
  <c r="I93" i="65"/>
  <c r="Y63" i="60" l="1"/>
  <c r="G33" i="78"/>
  <c r="CI13" i="60"/>
  <c r="H33" i="78"/>
  <c r="E33" i="78"/>
  <c r="F33" i="78"/>
  <c r="D33" i="78"/>
  <c r="C33" i="78"/>
  <c r="CF88" i="113"/>
  <c r="CG114" i="60" s="1"/>
  <c r="CB34" i="113"/>
  <c r="CC111" i="60" s="1"/>
  <c r="CG88" i="113"/>
  <c r="CH114" i="60" s="1"/>
  <c r="CB88" i="113"/>
  <c r="CC114" i="60" s="1"/>
  <c r="CC34" i="113"/>
  <c r="CD111" i="60" s="1"/>
  <c r="CH88" i="113"/>
  <c r="CI114" i="60" s="1"/>
  <c r="BW88" i="113"/>
  <c r="BX114" i="60" s="1"/>
  <c r="BY88" i="113"/>
  <c r="BZ114" i="60" s="1"/>
  <c r="BZ88" i="113"/>
  <c r="CA114" i="60" s="1"/>
  <c r="BX88" i="113"/>
  <c r="BY114" i="60" s="1"/>
  <c r="CA88" i="113"/>
  <c r="CB114" i="60" s="1"/>
  <c r="CE88" i="113"/>
  <c r="CF114" i="60" s="1"/>
  <c r="CG43" i="60"/>
  <c r="CG38" i="60"/>
  <c r="CH16" i="60"/>
  <c r="CH11" i="60"/>
  <c r="CH40" i="60"/>
  <c r="CG34" i="113"/>
  <c r="CH111" i="60" s="1"/>
  <c r="CE34" i="113"/>
  <c r="CF111" i="60" s="1"/>
  <c r="CD88" i="113"/>
  <c r="CE114" i="60" s="1"/>
  <c r="CI41" i="60"/>
  <c r="CI42" i="60"/>
  <c r="CH34" i="113"/>
  <c r="CI111" i="60" s="1"/>
  <c r="BZ34" i="113"/>
  <c r="CA111" i="60" s="1"/>
  <c r="BX34" i="113"/>
  <c r="BY111" i="60" s="1"/>
  <c r="BW34" i="113"/>
  <c r="BX111" i="60" s="1"/>
  <c r="BY34" i="113"/>
  <c r="BZ111" i="60" s="1"/>
  <c r="CA34" i="113"/>
  <c r="CB111" i="60" s="1"/>
  <c r="CD34" i="113"/>
  <c r="CE111" i="60" s="1"/>
  <c r="CC88" i="113"/>
  <c r="CD114" i="60" s="1"/>
  <c r="CF34" i="113"/>
  <c r="CG111" i="60" s="1"/>
  <c r="AN94" i="60"/>
  <c r="AZ94" i="60" s="1"/>
  <c r="BL94" i="60" s="1"/>
  <c r="BX94" i="60" s="1"/>
  <c r="G95" i="115"/>
  <c r="P95" i="115" s="1"/>
  <c r="G95" i="65"/>
  <c r="P95" i="65" s="1"/>
  <c r="AA80" i="60"/>
  <c r="V31" i="78" s="1"/>
  <c r="O79" i="60"/>
  <c r="H20" i="72" s="1"/>
  <c r="AI64" i="60"/>
  <c r="AI63" i="60" s="1"/>
  <c r="W89" i="60"/>
  <c r="Q32" i="78" s="1"/>
  <c r="K88" i="60"/>
  <c r="Q13" i="78"/>
  <c r="Q15" i="78" s="1"/>
  <c r="AI56" i="60"/>
  <c r="Q80" i="60"/>
  <c r="J31" i="78" s="1"/>
  <c r="E79" i="60"/>
  <c r="U89" i="60"/>
  <c r="N32" i="78" s="1"/>
  <c r="I88" i="60"/>
  <c r="Z80" i="60"/>
  <c r="U31" i="78" s="1"/>
  <c r="N79" i="60"/>
  <c r="G20" i="72" s="1"/>
  <c r="C15" i="78"/>
  <c r="X80" i="60"/>
  <c r="R31" i="78" s="1"/>
  <c r="L79" i="60"/>
  <c r="E20" i="72" s="1"/>
  <c r="AF64" i="60"/>
  <c r="AF63" i="60" s="1"/>
  <c r="T89" i="60"/>
  <c r="M32" i="78" s="1"/>
  <c r="H88" i="60"/>
  <c r="Q89" i="60"/>
  <c r="J32" i="78" s="1"/>
  <c r="E88" i="60"/>
  <c r="E29" i="91"/>
  <c r="P29" i="91" s="1"/>
  <c r="P29" i="76"/>
  <c r="AA89" i="60"/>
  <c r="V32" i="78" s="1"/>
  <c r="O88" i="60"/>
  <c r="F57" i="115"/>
  <c r="F57" i="65"/>
  <c r="AM56" i="60"/>
  <c r="V13" i="78"/>
  <c r="V15" i="78" s="1"/>
  <c r="Y80" i="60"/>
  <c r="T31" i="78" s="1"/>
  <c r="M79" i="60"/>
  <c r="F20" i="72" s="1"/>
  <c r="N13" i="78"/>
  <c r="N15" i="78" s="1"/>
  <c r="AG56" i="60"/>
  <c r="AH64" i="60"/>
  <c r="AH63" i="60" s="1"/>
  <c r="AH56" i="60"/>
  <c r="P13" i="78"/>
  <c r="P15" i="78" s="1"/>
  <c r="O69" i="20"/>
  <c r="D80" i="60"/>
  <c r="R53" i="20"/>
  <c r="R60" i="20" s="1"/>
  <c r="D25" i="76"/>
  <c r="O60" i="20"/>
  <c r="AJ64" i="60"/>
  <c r="AJ63" i="60" s="1"/>
  <c r="R47" i="20"/>
  <c r="O50" i="20"/>
  <c r="D20" i="76"/>
  <c r="AD64" i="60"/>
  <c r="AD63" i="60" s="1"/>
  <c r="R89" i="60"/>
  <c r="K32" i="78" s="1"/>
  <c r="F88" i="60"/>
  <c r="AD56" i="60"/>
  <c r="K13" i="78"/>
  <c r="K15" i="78" s="1"/>
  <c r="E57" i="65"/>
  <c r="AL56" i="60"/>
  <c r="U13" i="78"/>
  <c r="U15" i="78" s="1"/>
  <c r="E57" i="115"/>
  <c r="P64" i="60"/>
  <c r="P63" i="60" s="1"/>
  <c r="X89" i="60"/>
  <c r="R32" i="78" s="1"/>
  <c r="L88" i="60"/>
  <c r="M13" i="78"/>
  <c r="M15" i="78" s="1"/>
  <c r="AF56" i="60"/>
  <c r="AC64" i="60"/>
  <c r="AC63" i="60" s="1"/>
  <c r="Y89" i="60"/>
  <c r="T32" i="78" s="1"/>
  <c r="M88" i="60"/>
  <c r="V80" i="60"/>
  <c r="P31" i="78" s="1"/>
  <c r="J79" i="60"/>
  <c r="C20" i="72" s="1"/>
  <c r="E65" i="115"/>
  <c r="E64" i="115" s="1"/>
  <c r="AL64" i="60"/>
  <c r="AL63" i="60" s="1"/>
  <c r="E65" i="65"/>
  <c r="E64" i="65" s="1"/>
  <c r="S80" i="60"/>
  <c r="L31" i="78" s="1"/>
  <c r="G79" i="60"/>
  <c r="AE64" i="60"/>
  <c r="AE63" i="60" s="1"/>
  <c r="F65" i="115"/>
  <c r="F64" i="115" s="1"/>
  <c r="AM64" i="60"/>
  <c r="AM63" i="60" s="1"/>
  <c r="F65" i="65"/>
  <c r="F64" i="65" s="1"/>
  <c r="W80" i="60"/>
  <c r="Q31" i="78" s="1"/>
  <c r="K79" i="60"/>
  <c r="D20" i="72" s="1"/>
  <c r="S89" i="60"/>
  <c r="L32" i="78" s="1"/>
  <c r="G88" i="60"/>
  <c r="L13" i="78"/>
  <c r="L15" i="78" s="1"/>
  <c r="AE56" i="60"/>
  <c r="AG64" i="60"/>
  <c r="AG63" i="60" s="1"/>
  <c r="AC56" i="60"/>
  <c r="J13" i="78"/>
  <c r="J15" i="78" s="1"/>
  <c r="T13" i="78"/>
  <c r="D57" i="115"/>
  <c r="D57" i="65"/>
  <c r="AK56" i="60"/>
  <c r="R80" i="60"/>
  <c r="K31" i="78" s="1"/>
  <c r="K33" i="78" s="1"/>
  <c r="F79" i="60"/>
  <c r="V89" i="60"/>
  <c r="P32" i="78" s="1"/>
  <c r="J88" i="60"/>
  <c r="T80" i="60"/>
  <c r="M31" i="78" s="1"/>
  <c r="H79" i="60"/>
  <c r="O78" i="20"/>
  <c r="D89" i="60"/>
  <c r="P56" i="60"/>
  <c r="R13" i="78"/>
  <c r="R15" i="78" s="1"/>
  <c r="AJ56" i="60"/>
  <c r="U80" i="60"/>
  <c r="N31" i="78" s="1"/>
  <c r="I79" i="60"/>
  <c r="D65" i="65"/>
  <c r="D64" i="65" s="1"/>
  <c r="AK64" i="60"/>
  <c r="AK63" i="60" s="1"/>
  <c r="D65" i="115"/>
  <c r="D64" i="115" s="1"/>
  <c r="G93" i="115"/>
  <c r="P93" i="115" s="1"/>
  <c r="Q93" i="115" s="1"/>
  <c r="G45" i="44" s="1"/>
  <c r="AN92" i="60"/>
  <c r="AZ92" i="60" s="1"/>
  <c r="BL92" i="60" s="1"/>
  <c r="BX92" i="60" s="1"/>
  <c r="G93" i="65"/>
  <c r="J53" i="61" s="1"/>
  <c r="J54" i="61" s="1"/>
  <c r="J59" i="61" s="1"/>
  <c r="Z89" i="60"/>
  <c r="U32" i="78" s="1"/>
  <c r="N88" i="60"/>
  <c r="P38" i="91" l="1"/>
  <c r="P38" i="76"/>
  <c r="M33" i="78"/>
  <c r="CH110" i="60"/>
  <c r="BZ5" i="80" s="1"/>
  <c r="P33" i="78"/>
  <c r="Q33" i="78"/>
  <c r="CC110" i="60"/>
  <c r="BU5" i="80" s="1"/>
  <c r="CG110" i="60"/>
  <c r="BY5" i="80" s="1"/>
  <c r="J33" i="78"/>
  <c r="N33" i="78"/>
  <c r="V33" i="78"/>
  <c r="L33" i="78"/>
  <c r="T33" i="78"/>
  <c r="U33" i="78"/>
  <c r="R33" i="78"/>
  <c r="CD110" i="60"/>
  <c r="BV5" i="80" s="1"/>
  <c r="CB110" i="60"/>
  <c r="BT5" i="80" s="1"/>
  <c r="BX110" i="60"/>
  <c r="BP5" i="80" s="1"/>
  <c r="CI40" i="60"/>
  <c r="CH43" i="60"/>
  <c r="CH38" i="60"/>
  <c r="BY110" i="60"/>
  <c r="BQ5" i="80" s="1"/>
  <c r="CI110" i="60"/>
  <c r="CA5" i="80" s="1"/>
  <c r="CI16" i="60"/>
  <c r="CI11" i="60"/>
  <c r="CE110" i="60"/>
  <c r="BW5" i="80" s="1"/>
  <c r="CA110" i="60"/>
  <c r="BS5" i="80" s="1"/>
  <c r="CF110" i="60"/>
  <c r="BX5" i="80" s="1"/>
  <c r="BZ110" i="60"/>
  <c r="BR5" i="80" s="1"/>
  <c r="C17" i="81"/>
  <c r="AI80" i="60"/>
  <c r="AD31" i="78" s="1"/>
  <c r="W79" i="60"/>
  <c r="Q20" i="72" s="1"/>
  <c r="AE80" i="60"/>
  <c r="Z31" i="78" s="1"/>
  <c r="S79" i="60"/>
  <c r="L20" i="72" s="1"/>
  <c r="F21" i="72"/>
  <c r="F22" i="72" s="1"/>
  <c r="K57" i="65"/>
  <c r="AR56" i="60"/>
  <c r="AA13" i="78"/>
  <c r="AA15" i="78" s="1"/>
  <c r="K57" i="115"/>
  <c r="AJ89" i="60"/>
  <c r="AE32" i="78" s="1"/>
  <c r="X88" i="60"/>
  <c r="D26" i="76"/>
  <c r="R69" i="20"/>
  <c r="R75" i="20" s="1"/>
  <c r="O75" i="20"/>
  <c r="AT64" i="60"/>
  <c r="AT63" i="60" s="1"/>
  <c r="M65" i="115"/>
  <c r="M64" i="115" s="1"/>
  <c r="M65" i="65"/>
  <c r="M64" i="65" s="1"/>
  <c r="AM89" i="60"/>
  <c r="F90" i="65"/>
  <c r="F89" i="65" s="1"/>
  <c r="F90" i="115"/>
  <c r="F89" i="115" s="1"/>
  <c r="AA88" i="60"/>
  <c r="AC89" i="60"/>
  <c r="X32" i="78" s="1"/>
  <c r="Q88" i="60"/>
  <c r="AU56" i="60"/>
  <c r="N57" i="115"/>
  <c r="AD13" i="78"/>
  <c r="AD15" i="78" s="1"/>
  <c r="N57" i="65"/>
  <c r="AI89" i="60"/>
  <c r="W88" i="60"/>
  <c r="AM80" i="60"/>
  <c r="F81" i="115"/>
  <c r="F80" i="115" s="1"/>
  <c r="F81" i="65"/>
  <c r="F80" i="65" s="1"/>
  <c r="AA79" i="60"/>
  <c r="V20" i="72" s="1"/>
  <c r="O84" i="20"/>
  <c r="D27" i="76"/>
  <c r="R78" i="20"/>
  <c r="R84" i="20" s="1"/>
  <c r="C21" i="72"/>
  <c r="L65" i="115"/>
  <c r="L64" i="115" s="1"/>
  <c r="L65" i="65"/>
  <c r="L64" i="65" s="1"/>
  <c r="AS64" i="60"/>
  <c r="AS63" i="60" s="1"/>
  <c r="D90" i="65"/>
  <c r="AK89" i="60"/>
  <c r="D90" i="115"/>
  <c r="Y88" i="60"/>
  <c r="AX56" i="60"/>
  <c r="I45" i="44"/>
  <c r="Q95" i="65"/>
  <c r="AP64" i="60"/>
  <c r="AP63" i="60" s="1"/>
  <c r="I65" i="115"/>
  <c r="I64" i="115" s="1"/>
  <c r="I65" i="65"/>
  <c r="I64" i="65" s="1"/>
  <c r="K65" i="65"/>
  <c r="K64" i="65" s="1"/>
  <c r="K65" i="115"/>
  <c r="K64" i="115" s="1"/>
  <c r="AR64" i="60"/>
  <c r="AR63" i="60" s="1"/>
  <c r="AG89" i="60"/>
  <c r="AB32" i="78" s="1"/>
  <c r="U88" i="60"/>
  <c r="U79" i="60"/>
  <c r="N20" i="72" s="1"/>
  <c r="AG80" i="60"/>
  <c r="AH89" i="60"/>
  <c r="AC32" i="78" s="1"/>
  <c r="V88" i="60"/>
  <c r="AW56" i="60"/>
  <c r="T15" i="78"/>
  <c r="J57" i="115"/>
  <c r="Z13" i="78"/>
  <c r="Z15" i="78" s="1"/>
  <c r="AQ56" i="60"/>
  <c r="J57" i="65"/>
  <c r="AE89" i="60"/>
  <c r="Z32" i="78" s="1"/>
  <c r="S88" i="60"/>
  <c r="J65" i="115"/>
  <c r="J64" i="115" s="1"/>
  <c r="J65" i="65"/>
  <c r="J64" i="65" s="1"/>
  <c r="AQ64" i="60"/>
  <c r="AQ63" i="60" s="1"/>
  <c r="AH80" i="60"/>
  <c r="AC31" i="78" s="1"/>
  <c r="V79" i="60"/>
  <c r="P20" i="72" s="1"/>
  <c r="AB64" i="60"/>
  <c r="AV64" i="60"/>
  <c r="AV63" i="60" s="1"/>
  <c r="O65" i="115"/>
  <c r="O64" i="115" s="1"/>
  <c r="O65" i="65"/>
  <c r="O64" i="65" s="1"/>
  <c r="AT56" i="60"/>
  <c r="M57" i="65"/>
  <c r="AC13" i="78"/>
  <c r="AC15" i="78" s="1"/>
  <c r="M57" i="115"/>
  <c r="Q95" i="115"/>
  <c r="J45" i="44"/>
  <c r="E17" i="81"/>
  <c r="N65" i="115"/>
  <c r="N64" i="115" s="1"/>
  <c r="N65" i="65"/>
  <c r="N64" i="65" s="1"/>
  <c r="AU64" i="60"/>
  <c r="AU63" i="60" s="1"/>
  <c r="AL89" i="60"/>
  <c r="E90" i="115"/>
  <c r="E89" i="115" s="1"/>
  <c r="E90" i="65"/>
  <c r="E89" i="65" s="1"/>
  <c r="Z88" i="60"/>
  <c r="G46" i="44"/>
  <c r="P89" i="60"/>
  <c r="I32" i="78" s="1"/>
  <c r="O32" i="78" s="1"/>
  <c r="D88" i="60"/>
  <c r="AD80" i="60"/>
  <c r="Y31" i="78" s="1"/>
  <c r="R79" i="60"/>
  <c r="K20" i="72" s="1"/>
  <c r="D25" i="91"/>
  <c r="P25" i="76"/>
  <c r="G21" i="72"/>
  <c r="G22" i="72" s="1"/>
  <c r="AW64" i="60"/>
  <c r="AW63" i="60" s="1"/>
  <c r="O57" i="115"/>
  <c r="O57" i="65"/>
  <c r="AE13" i="78"/>
  <c r="AE15" i="78" s="1"/>
  <c r="AV56" i="60"/>
  <c r="AB56" i="60"/>
  <c r="I13" i="78"/>
  <c r="AF80" i="60"/>
  <c r="AA31" i="78" s="1"/>
  <c r="T79" i="60"/>
  <c r="M20" i="72" s="1"/>
  <c r="H57" i="65"/>
  <c r="AO56" i="60"/>
  <c r="X13" i="78"/>
  <c r="X15" i="78" s="1"/>
  <c r="H57" i="115"/>
  <c r="AY64" i="60"/>
  <c r="AY63" i="60" s="1"/>
  <c r="AX64" i="60"/>
  <c r="AX63" i="60" s="1"/>
  <c r="P93" i="65"/>
  <c r="H65" i="115"/>
  <c r="H64" i="115" s="1"/>
  <c r="H65" i="65"/>
  <c r="H64" i="65" s="1"/>
  <c r="AO64" i="60"/>
  <c r="AO63" i="60" s="1"/>
  <c r="E21" i="72"/>
  <c r="E22" i="72" s="1"/>
  <c r="D17" i="81"/>
  <c r="I57" i="65"/>
  <c r="Y13" i="78"/>
  <c r="Y15" i="78" s="1"/>
  <c r="I57" i="115"/>
  <c r="AP56" i="60"/>
  <c r="AD89" i="60"/>
  <c r="R88" i="60"/>
  <c r="P20" i="76"/>
  <c r="D20" i="91"/>
  <c r="Q20" i="91" s="1"/>
  <c r="P80" i="60"/>
  <c r="I31" i="78" s="1"/>
  <c r="D79" i="60"/>
  <c r="AS56" i="60"/>
  <c r="AB13" i="78"/>
  <c r="AB15" i="78" s="1"/>
  <c r="L57" i="115"/>
  <c r="L57" i="65"/>
  <c r="AK80" i="60"/>
  <c r="D81" i="115"/>
  <c r="D81" i="65"/>
  <c r="Y79" i="60"/>
  <c r="T20" i="72" s="1"/>
  <c r="AY56" i="60"/>
  <c r="H21" i="72"/>
  <c r="H22" i="72" s="1"/>
  <c r="AF89" i="60"/>
  <c r="AA32" i="78" s="1"/>
  <c r="T88" i="60"/>
  <c r="AJ80" i="60"/>
  <c r="AE31" i="78" s="1"/>
  <c r="X79" i="60"/>
  <c r="R20" i="72" s="1"/>
  <c r="AL80" i="60"/>
  <c r="E81" i="115"/>
  <c r="E80" i="115" s="1"/>
  <c r="E81" i="65"/>
  <c r="E80" i="65" s="1"/>
  <c r="Z79" i="60"/>
  <c r="U20" i="72" s="1"/>
  <c r="AC80" i="60"/>
  <c r="X31" i="78" s="1"/>
  <c r="Q79" i="60"/>
  <c r="J20" i="72" s="1"/>
  <c r="D21" i="72"/>
  <c r="D22" i="72" s="1"/>
  <c r="O58" i="60"/>
  <c r="AA58" i="60" s="1"/>
  <c r="N58" i="60"/>
  <c r="Z58" i="60" s="1"/>
  <c r="M58" i="60"/>
  <c r="Y58" i="60" s="1"/>
  <c r="L58" i="60"/>
  <c r="X58" i="60" s="1"/>
  <c r="AJ58" i="60" s="1"/>
  <c r="K58" i="60"/>
  <c r="W58" i="60" s="1"/>
  <c r="AI58" i="60" s="1"/>
  <c r="J58" i="60"/>
  <c r="V58" i="60" s="1"/>
  <c r="AH58" i="60" s="1"/>
  <c r="I58" i="60"/>
  <c r="U58" i="60" s="1"/>
  <c r="AG58" i="60" s="1"/>
  <c r="H58" i="60"/>
  <c r="T58" i="60" s="1"/>
  <c r="AF58" i="60" s="1"/>
  <c r="G58" i="60"/>
  <c r="S58" i="60" s="1"/>
  <c r="AE58" i="60" s="1"/>
  <c r="F58" i="60"/>
  <c r="R58" i="60" s="1"/>
  <c r="AD58" i="60" s="1"/>
  <c r="E58" i="60"/>
  <c r="Q58" i="60" s="1"/>
  <c r="AC58" i="60" s="1"/>
  <c r="P25" i="91" l="1"/>
  <c r="Q25" i="91"/>
  <c r="R95" i="65"/>
  <c r="S66" i="65"/>
  <c r="AB63" i="60"/>
  <c r="X33" i="78"/>
  <c r="AE33" i="78"/>
  <c r="CC5" i="80"/>
  <c r="CD5" i="80"/>
  <c r="CB5" i="80"/>
  <c r="K17" i="81"/>
  <c r="AA33" i="78"/>
  <c r="AB31" i="78"/>
  <c r="AB33" i="78" s="1"/>
  <c r="I33" i="78"/>
  <c r="O31" i="78"/>
  <c r="O33" i="78" s="1"/>
  <c r="AC33" i="78"/>
  <c r="M17" i="81"/>
  <c r="AD32" i="78"/>
  <c r="AD33" i="78" s="1"/>
  <c r="Z33" i="78"/>
  <c r="H17" i="81"/>
  <c r="Y32" i="78"/>
  <c r="Y33" i="78" s="1"/>
  <c r="AH23" i="78"/>
  <c r="AL23" i="78"/>
  <c r="CI38" i="60"/>
  <c r="CI43" i="60"/>
  <c r="L17" i="81"/>
  <c r="I59" i="115"/>
  <c r="I59" i="65"/>
  <c r="AP58" i="60"/>
  <c r="BB58" i="60" s="1"/>
  <c r="BN58" i="60" s="1"/>
  <c r="BZ58" i="60" s="1"/>
  <c r="AT58" i="60"/>
  <c r="BF58" i="60" s="1"/>
  <c r="BR58" i="60" s="1"/>
  <c r="CD58" i="60" s="1"/>
  <c r="M59" i="115"/>
  <c r="M59" i="65"/>
  <c r="E59" i="115"/>
  <c r="E59" i="65"/>
  <c r="AL58" i="60"/>
  <c r="AX58" i="60" s="1"/>
  <c r="BJ58" i="60" s="1"/>
  <c r="BV58" i="60" s="1"/>
  <c r="CH58" i="60" s="1"/>
  <c r="F59" i="115"/>
  <c r="AM58" i="60"/>
  <c r="AY58" i="60" s="1"/>
  <c r="BK58" i="60" s="1"/>
  <c r="BW58" i="60" s="1"/>
  <c r="CI58" i="60" s="1"/>
  <c r="F59" i="65"/>
  <c r="N17" i="81"/>
  <c r="H59" i="115"/>
  <c r="AO58" i="60"/>
  <c r="BA58" i="60" s="1"/>
  <c r="BM58" i="60" s="1"/>
  <c r="BY58" i="60" s="1"/>
  <c r="H59" i="65"/>
  <c r="L59" i="115"/>
  <c r="L59" i="65"/>
  <c r="AS58" i="60"/>
  <c r="BE58" i="60" s="1"/>
  <c r="BQ58" i="60" s="1"/>
  <c r="CC58" i="60" s="1"/>
  <c r="D59" i="115"/>
  <c r="D59" i="65"/>
  <c r="AK58" i="60"/>
  <c r="AW58" i="60" s="1"/>
  <c r="BI58" i="60" s="1"/>
  <c r="BU58" i="60" s="1"/>
  <c r="CG58" i="60" s="1"/>
  <c r="J59" i="65"/>
  <c r="AQ58" i="60"/>
  <c r="BC58" i="60" s="1"/>
  <c r="BO58" i="60" s="1"/>
  <c r="CA58" i="60" s="1"/>
  <c r="J59" i="115"/>
  <c r="N59" i="65"/>
  <c r="AU58" i="60"/>
  <c r="BG58" i="60" s="1"/>
  <c r="BS58" i="60" s="1"/>
  <c r="CE58" i="60" s="1"/>
  <c r="N59" i="115"/>
  <c r="D58" i="60"/>
  <c r="P58" i="60" s="1"/>
  <c r="AB58" i="60" s="1"/>
  <c r="P49" i="20"/>
  <c r="K59" i="115"/>
  <c r="AR58" i="60"/>
  <c r="K59" i="65"/>
  <c r="O59" i="65"/>
  <c r="AV58" i="60"/>
  <c r="BH58" i="60" s="1"/>
  <c r="O59" i="115"/>
  <c r="BK56" i="60"/>
  <c r="AW80" i="60"/>
  <c r="AK79" i="60"/>
  <c r="AB80" i="60"/>
  <c r="W31" i="78" s="1"/>
  <c r="P79" i="60"/>
  <c r="I20" i="72" s="1"/>
  <c r="Q93" i="65"/>
  <c r="D53" i="61"/>
  <c r="BK64" i="60"/>
  <c r="BK63" i="60" s="1"/>
  <c r="I15" i="78"/>
  <c r="O15" i="78" s="1"/>
  <c r="O13" i="78"/>
  <c r="AB89" i="60"/>
  <c r="W32" i="78" s="1"/>
  <c r="P88" i="60"/>
  <c r="AX89" i="60"/>
  <c r="AL88" i="60"/>
  <c r="BH64" i="60"/>
  <c r="BH63" i="60" s="1"/>
  <c r="BC64" i="60"/>
  <c r="BC63" i="60" s="1"/>
  <c r="L21" i="72"/>
  <c r="L22" i="72" s="1"/>
  <c r="BB64" i="60"/>
  <c r="BB63" i="60" s="1"/>
  <c r="AM79" i="60"/>
  <c r="AY80" i="60"/>
  <c r="BG56" i="60"/>
  <c r="V21" i="72"/>
  <c r="D26" i="91"/>
  <c r="P26" i="76"/>
  <c r="BE56" i="60"/>
  <c r="K21" i="72"/>
  <c r="K22" i="72" s="1"/>
  <c r="BA64" i="60"/>
  <c r="BA63" i="60" s="1"/>
  <c r="AR80" i="60"/>
  <c r="K81" i="115"/>
  <c r="K80" i="115" s="1"/>
  <c r="K81" i="65"/>
  <c r="K80" i="65" s="1"/>
  <c r="AF79" i="60"/>
  <c r="AA20" i="72" s="1"/>
  <c r="AN56" i="60"/>
  <c r="G57" i="115"/>
  <c r="G57" i="65"/>
  <c r="W13" i="78"/>
  <c r="U21" i="72"/>
  <c r="K45" i="44"/>
  <c r="J90" i="115"/>
  <c r="J89" i="115" s="1"/>
  <c r="J90" i="65"/>
  <c r="J89" i="65" s="1"/>
  <c r="AQ89" i="60"/>
  <c r="AE88" i="60"/>
  <c r="BC56" i="60"/>
  <c r="M90" i="115"/>
  <c r="M89" i="115" s="1"/>
  <c r="AT89" i="60"/>
  <c r="M90" i="65"/>
  <c r="M89" i="65" s="1"/>
  <c r="AH88" i="60"/>
  <c r="BD64" i="60"/>
  <c r="BD63" i="60" s="1"/>
  <c r="BJ56" i="60"/>
  <c r="AW89" i="60"/>
  <c r="AK88" i="60"/>
  <c r="BI64" i="60"/>
  <c r="BI63" i="60" s="1"/>
  <c r="I81" i="65"/>
  <c r="I80" i="65" s="1"/>
  <c r="AD79" i="60"/>
  <c r="Y20" i="72" s="1"/>
  <c r="I81" i="115"/>
  <c r="I80" i="115" s="1"/>
  <c r="AP80" i="60"/>
  <c r="BG64" i="60"/>
  <c r="BG63" i="60" s="1"/>
  <c r="AS80" i="60"/>
  <c r="AG79" i="60"/>
  <c r="AB20" i="72" s="1"/>
  <c r="L81" i="115"/>
  <c r="L80" i="115" s="1"/>
  <c r="L81" i="65"/>
  <c r="L80" i="65" s="1"/>
  <c r="N21" i="72"/>
  <c r="D89" i="65"/>
  <c r="BE64" i="60"/>
  <c r="BE63" i="60" s="1"/>
  <c r="AU89" i="60"/>
  <c r="N90" i="115"/>
  <c r="N89" i="115" s="1"/>
  <c r="N90" i="65"/>
  <c r="N89" i="65" s="1"/>
  <c r="AI88" i="60"/>
  <c r="J21" i="72"/>
  <c r="J22" i="72" s="1"/>
  <c r="R21" i="72"/>
  <c r="J17" i="81"/>
  <c r="AV80" i="60"/>
  <c r="O81" i="115"/>
  <c r="O80" i="115" s="1"/>
  <c r="O81" i="65"/>
  <c r="O80" i="65" s="1"/>
  <c r="AJ79" i="60"/>
  <c r="AE20" i="72" s="1"/>
  <c r="P21" i="72"/>
  <c r="D89" i="115"/>
  <c r="BF64" i="60"/>
  <c r="BF63" i="60" s="1"/>
  <c r="BD56" i="60"/>
  <c r="M21" i="72"/>
  <c r="C22" i="72"/>
  <c r="Q21" i="72"/>
  <c r="AQ80" i="60"/>
  <c r="J81" i="115"/>
  <c r="J80" i="115" s="1"/>
  <c r="J81" i="65"/>
  <c r="J80" i="65" s="1"/>
  <c r="AE79" i="60"/>
  <c r="Z20" i="72" s="1"/>
  <c r="H81" i="115"/>
  <c r="H80" i="115" s="1"/>
  <c r="H81" i="65"/>
  <c r="H80" i="65" s="1"/>
  <c r="AO80" i="60"/>
  <c r="AC79" i="60"/>
  <c r="X20" i="72" s="1"/>
  <c r="AX80" i="60"/>
  <c r="AL79" i="60"/>
  <c r="AR89" i="60"/>
  <c r="K90" i="115"/>
  <c r="K89" i="115" s="1"/>
  <c r="K90" i="65"/>
  <c r="K89" i="65" s="1"/>
  <c r="AF88" i="60"/>
  <c r="D80" i="65"/>
  <c r="D40" i="76"/>
  <c r="I90" i="65"/>
  <c r="I89" i="65" s="1"/>
  <c r="I90" i="115"/>
  <c r="I89" i="115" s="1"/>
  <c r="AP89" i="60"/>
  <c r="AD88" i="60"/>
  <c r="BJ64" i="60"/>
  <c r="BJ63" i="60" s="1"/>
  <c r="D80" i="115"/>
  <c r="P20" i="91"/>
  <c r="BB56" i="60"/>
  <c r="G17" i="81"/>
  <c r="BA56" i="60"/>
  <c r="AG15" i="78"/>
  <c r="BH56" i="60"/>
  <c r="BF56" i="60"/>
  <c r="G65" i="115"/>
  <c r="G64" i="115" s="1"/>
  <c r="AN64" i="60"/>
  <c r="AN63" i="60" s="1"/>
  <c r="G65" i="65"/>
  <c r="M81" i="115"/>
  <c r="M80" i="115" s="1"/>
  <c r="AT80" i="60"/>
  <c r="AH79" i="60"/>
  <c r="AC20" i="72" s="1"/>
  <c r="M81" i="65"/>
  <c r="M80" i="65" s="1"/>
  <c r="I17" i="81"/>
  <c r="BI56" i="60"/>
  <c r="L90" i="115"/>
  <c r="L89" i="115" s="1"/>
  <c r="AS89" i="60"/>
  <c r="L90" i="65"/>
  <c r="L89" i="65" s="1"/>
  <c r="AG88" i="60"/>
  <c r="T21" i="72"/>
  <c r="D27" i="91"/>
  <c r="P27" i="76"/>
  <c r="H90" i="65"/>
  <c r="H89" i="65" s="1"/>
  <c r="AO89" i="60"/>
  <c r="H90" i="115"/>
  <c r="H89" i="115" s="1"/>
  <c r="AC88" i="60"/>
  <c r="AY89" i="60"/>
  <c r="AM88" i="60"/>
  <c r="AV89" i="60"/>
  <c r="O90" i="115"/>
  <c r="O89" i="115" s="1"/>
  <c r="O90" i="65"/>
  <c r="O89" i="65" s="1"/>
  <c r="AJ88" i="60"/>
  <c r="N81" i="115"/>
  <c r="N80" i="115" s="1"/>
  <c r="N81" i="65"/>
  <c r="N80" i="65" s="1"/>
  <c r="AU80" i="60"/>
  <c r="AI79" i="60"/>
  <c r="AD20" i="72" s="1"/>
  <c r="P27" i="91" l="1"/>
  <c r="Q27" i="91"/>
  <c r="P26" i="91"/>
  <c r="Q26" i="91"/>
  <c r="Q40" i="91" s="1"/>
  <c r="Q41" i="91" s="1"/>
  <c r="F45" i="44"/>
  <c r="H45" i="44" s="1"/>
  <c r="R93" i="65"/>
  <c r="S67" i="65"/>
  <c r="G64" i="65"/>
  <c r="P64" i="65" s="1"/>
  <c r="C39" i="61" s="1"/>
  <c r="F39" i="61" s="1"/>
  <c r="AF32" i="78"/>
  <c r="AG32" i="78" s="1"/>
  <c r="W33" i="78"/>
  <c r="AF31" i="78"/>
  <c r="AG31" i="78" s="1"/>
  <c r="AH26" i="78"/>
  <c r="AK26" i="78"/>
  <c r="AL26" i="78"/>
  <c r="F17" i="81"/>
  <c r="O17" i="81" s="1"/>
  <c r="M57" i="60"/>
  <c r="L50" i="20"/>
  <c r="H57" i="60"/>
  <c r="G50" i="20"/>
  <c r="BT58" i="60"/>
  <c r="G57" i="60"/>
  <c r="F50" i="20"/>
  <c r="P48" i="20"/>
  <c r="C50" i="20"/>
  <c r="D57" i="60"/>
  <c r="M50" i="20"/>
  <c r="N57" i="60"/>
  <c r="H50" i="20"/>
  <c r="I57" i="60"/>
  <c r="E22" i="76"/>
  <c r="R49" i="20"/>
  <c r="G59" i="65"/>
  <c r="P59" i="65" s="1"/>
  <c r="Q59" i="65" s="1"/>
  <c r="G59" i="115"/>
  <c r="P59" i="115" s="1"/>
  <c r="Q59" i="115" s="1"/>
  <c r="AN58" i="60"/>
  <c r="AZ58" i="60" s="1"/>
  <c r="BL58" i="60" s="1"/>
  <c r="BX58" i="60" s="1"/>
  <c r="N50" i="20"/>
  <c r="O57" i="60"/>
  <c r="I50" i="20"/>
  <c r="J57" i="60"/>
  <c r="E57" i="60"/>
  <c r="D50" i="20"/>
  <c r="J50" i="20"/>
  <c r="K57" i="60"/>
  <c r="E50" i="20"/>
  <c r="F57" i="60"/>
  <c r="K50" i="20"/>
  <c r="L57" i="60"/>
  <c r="BD58" i="60"/>
  <c r="BP58" i="60" s="1"/>
  <c r="CB58" i="60" s="1"/>
  <c r="X21" i="72"/>
  <c r="AB21" i="72"/>
  <c r="BM56" i="60"/>
  <c r="BB89" i="60"/>
  <c r="AP88" i="60"/>
  <c r="BS64" i="60"/>
  <c r="BS63" i="60" s="1"/>
  <c r="BU64" i="60"/>
  <c r="BU63" i="60" s="1"/>
  <c r="AC21" i="72"/>
  <c r="AY79" i="60"/>
  <c r="BK80" i="60"/>
  <c r="BN64" i="60"/>
  <c r="BN63" i="60" s="1"/>
  <c r="BO64" i="60"/>
  <c r="BO63" i="60" s="1"/>
  <c r="G81" i="115"/>
  <c r="AN80" i="60"/>
  <c r="G81" i="65"/>
  <c r="AB79" i="60"/>
  <c r="BW56" i="60"/>
  <c r="BH89" i="60"/>
  <c r="AV88" i="60"/>
  <c r="BU56" i="60"/>
  <c r="P65" i="65"/>
  <c r="BT56" i="60"/>
  <c r="BO56" i="60"/>
  <c r="W15" i="78"/>
  <c r="AF15" i="78" s="1"/>
  <c r="AF13" i="78"/>
  <c r="AZ56" i="60"/>
  <c r="BD80" i="60"/>
  <c r="AR79" i="60"/>
  <c r="BQ56" i="60"/>
  <c r="BJ89" i="60"/>
  <c r="AX88" i="60"/>
  <c r="F46" i="44"/>
  <c r="H46" i="44" s="1"/>
  <c r="AE21" i="72"/>
  <c r="BA89" i="60"/>
  <c r="AO88" i="60"/>
  <c r="BE89" i="60"/>
  <c r="AS88" i="60"/>
  <c r="AT79" i="60"/>
  <c r="BF80" i="60"/>
  <c r="AZ64" i="60"/>
  <c r="AZ63" i="60" s="1"/>
  <c r="BV64" i="60"/>
  <c r="BV63" i="60" s="1"/>
  <c r="AA21" i="72"/>
  <c r="AD21" i="72"/>
  <c r="O20" i="72"/>
  <c r="AW88" i="60"/>
  <c r="BI89" i="60"/>
  <c r="BP64" i="60"/>
  <c r="BP63" i="60" s="1"/>
  <c r="AT88" i="60"/>
  <c r="BF89" i="60"/>
  <c r="Z21" i="72"/>
  <c r="J46" i="61"/>
  <c r="P57" i="65"/>
  <c r="I21" i="72"/>
  <c r="O21" i="72" s="1"/>
  <c r="BI80" i="60"/>
  <c r="AW79" i="60"/>
  <c r="BR56" i="60"/>
  <c r="D40" i="91"/>
  <c r="BD89" i="60"/>
  <c r="AR88" i="60"/>
  <c r="BA80" i="60"/>
  <c r="AO79" i="60"/>
  <c r="BR64" i="60"/>
  <c r="BR63" i="60" s="1"/>
  <c r="BH80" i="60"/>
  <c r="AV79" i="60"/>
  <c r="BG89" i="60"/>
  <c r="AU88" i="60"/>
  <c r="BG80" i="60"/>
  <c r="AU79" i="60"/>
  <c r="BK89" i="60"/>
  <c r="AY88" i="60"/>
  <c r="P64" i="115"/>
  <c r="P65" i="115"/>
  <c r="Q65" i="115" s="1"/>
  <c r="BN56" i="60"/>
  <c r="Y21" i="72"/>
  <c r="AX79" i="60"/>
  <c r="BJ80" i="60"/>
  <c r="BC80" i="60"/>
  <c r="AQ79" i="60"/>
  <c r="BP56" i="60"/>
  <c r="BQ64" i="60"/>
  <c r="BQ63" i="60" s="1"/>
  <c r="AS79" i="60"/>
  <c r="BE80" i="60"/>
  <c r="AP79" i="60"/>
  <c r="BB80" i="60"/>
  <c r="BV56" i="60"/>
  <c r="BC89" i="60"/>
  <c r="AQ88" i="60"/>
  <c r="AH15" i="78"/>
  <c r="P57" i="115"/>
  <c r="Q57" i="115" s="1"/>
  <c r="BM64" i="60"/>
  <c r="BM63" i="60" s="1"/>
  <c r="BS56" i="60"/>
  <c r="BT64" i="60"/>
  <c r="BT63" i="60" s="1"/>
  <c r="G90" i="115"/>
  <c r="G90" i="65"/>
  <c r="AN89" i="60"/>
  <c r="AB88" i="60"/>
  <c r="BW64" i="60"/>
  <c r="BW63" i="60" s="1"/>
  <c r="W20" i="72" l="1"/>
  <c r="AF33" i="78"/>
  <c r="AG33" i="78" s="1"/>
  <c r="AH33" i="78" s="1"/>
  <c r="AH32" i="78"/>
  <c r="AG41" i="78"/>
  <c r="AH31" i="78"/>
  <c r="AG40" i="78"/>
  <c r="X57" i="60"/>
  <c r="L59" i="60"/>
  <c r="L106" i="60" s="1"/>
  <c r="L55" i="60"/>
  <c r="L107" i="60" s="1"/>
  <c r="W57" i="60"/>
  <c r="K59" i="60"/>
  <c r="K106" i="60" s="1"/>
  <c r="K55" i="60"/>
  <c r="K107" i="60" s="1"/>
  <c r="E22" i="91"/>
  <c r="H22" i="91" s="1"/>
  <c r="M22" i="91" s="1"/>
  <c r="P22" i="91" s="1"/>
  <c r="H22" i="76"/>
  <c r="M22" i="76" s="1"/>
  <c r="P22" i="76" s="1"/>
  <c r="U57" i="60"/>
  <c r="I59" i="60"/>
  <c r="I106" i="60" s="1"/>
  <c r="I55" i="60"/>
  <c r="P57" i="60"/>
  <c r="D59" i="60"/>
  <c r="D106" i="60" s="1"/>
  <c r="D55" i="60"/>
  <c r="D107" i="60" s="1"/>
  <c r="S57" i="60"/>
  <c r="G59" i="60"/>
  <c r="G106" i="60" s="1"/>
  <c r="G55" i="60"/>
  <c r="CF58" i="60"/>
  <c r="T57" i="60"/>
  <c r="H59" i="60"/>
  <c r="H106" i="60" s="1"/>
  <c r="H55" i="60"/>
  <c r="AA57" i="60"/>
  <c r="O59" i="60"/>
  <c r="O106" i="60" s="1"/>
  <c r="O55" i="60"/>
  <c r="O107" i="60" s="1"/>
  <c r="R57" i="60"/>
  <c r="F59" i="60"/>
  <c r="F106" i="60" s="1"/>
  <c r="F55" i="60"/>
  <c r="Q57" i="60"/>
  <c r="E59" i="60"/>
  <c r="E106" i="60" s="1"/>
  <c r="E55" i="60"/>
  <c r="E107" i="60" s="1"/>
  <c r="N59" i="60"/>
  <c r="N106" i="60" s="1"/>
  <c r="Z57" i="60"/>
  <c r="N55" i="60"/>
  <c r="N107" i="60" s="1"/>
  <c r="E21" i="76"/>
  <c r="P50" i="20"/>
  <c r="R48" i="20"/>
  <c r="R50" i="20" s="1"/>
  <c r="Y57" i="60"/>
  <c r="M59" i="60"/>
  <c r="M106" i="60" s="1"/>
  <c r="M55" i="60"/>
  <c r="M107" i="60" s="1"/>
  <c r="J59" i="60"/>
  <c r="J106" i="60" s="1"/>
  <c r="V57" i="60"/>
  <c r="J55" i="60"/>
  <c r="J107" i="60" s="1"/>
  <c r="CF64" i="60"/>
  <c r="CF63" i="60" s="1"/>
  <c r="BQ80" i="60"/>
  <c r="BE79" i="60"/>
  <c r="G89" i="65"/>
  <c r="P90" i="65"/>
  <c r="Q90" i="65" s="1"/>
  <c r="R90" i="65" s="1"/>
  <c r="D43" i="44"/>
  <c r="CH56" i="60"/>
  <c r="Q72" i="115"/>
  <c r="BS80" i="60"/>
  <c r="BG79" i="60"/>
  <c r="CD64" i="60"/>
  <c r="CD63" i="60" s="1"/>
  <c r="BV89" i="60"/>
  <c r="BJ88" i="60"/>
  <c r="BF88" i="60"/>
  <c r="BR89" i="60"/>
  <c r="BI88" i="60"/>
  <c r="BU89" i="60"/>
  <c r="BL64" i="60"/>
  <c r="BL63" i="60" s="1"/>
  <c r="BE88" i="60"/>
  <c r="BQ89" i="60"/>
  <c r="BM89" i="60"/>
  <c r="BA88" i="60"/>
  <c r="BL56" i="60"/>
  <c r="CA56" i="60"/>
  <c r="CF56" i="60"/>
  <c r="BK79" i="60"/>
  <c r="BW80" i="60"/>
  <c r="AZ89" i="60"/>
  <c r="AN88" i="60"/>
  <c r="BY64" i="60"/>
  <c r="BY63" i="60" s="1"/>
  <c r="CB56" i="60"/>
  <c r="BT80" i="60"/>
  <c r="BH79" i="60"/>
  <c r="BM80" i="60"/>
  <c r="BA79" i="60"/>
  <c r="CI56" i="60"/>
  <c r="AZ80" i="60"/>
  <c r="AN79" i="60"/>
  <c r="BZ64" i="60"/>
  <c r="BZ63" i="60" s="1"/>
  <c r="CB64" i="60"/>
  <c r="CB63" i="60" s="1"/>
  <c r="AI15" i="78"/>
  <c r="CG56" i="60"/>
  <c r="G80" i="115"/>
  <c r="P80" i="115" s="1"/>
  <c r="P81" i="115"/>
  <c r="Q81" i="115" s="1"/>
  <c r="Q87" i="115" s="1"/>
  <c r="CG64" i="60"/>
  <c r="CG63" i="60" s="1"/>
  <c r="BB88" i="60"/>
  <c r="BN89" i="60"/>
  <c r="BY56" i="60"/>
  <c r="CI64" i="60"/>
  <c r="CI63" i="60" s="1"/>
  <c r="G89" i="115"/>
  <c r="P90" i="115"/>
  <c r="Q90" i="115" s="1"/>
  <c r="CE56" i="60"/>
  <c r="BO89" i="60"/>
  <c r="BC88" i="60"/>
  <c r="BN80" i="60"/>
  <c r="BB79" i="60"/>
  <c r="BO80" i="60"/>
  <c r="BC79" i="60"/>
  <c r="BS89" i="60"/>
  <c r="BG88" i="60"/>
  <c r="BP89" i="60"/>
  <c r="BD88" i="60"/>
  <c r="W21" i="72"/>
  <c r="AF21" i="72" s="1"/>
  <c r="CC64" i="60"/>
  <c r="CC63" i="60" s="1"/>
  <c r="BJ79" i="60"/>
  <c r="BV80" i="60"/>
  <c r="BZ56" i="60"/>
  <c r="BW89" i="60"/>
  <c r="BK88" i="60"/>
  <c r="CD56" i="60"/>
  <c r="BU80" i="60"/>
  <c r="BI79" i="60"/>
  <c r="G73" i="44"/>
  <c r="Q57" i="65"/>
  <c r="D46" i="61"/>
  <c r="I22" i="72"/>
  <c r="CH64" i="60"/>
  <c r="CH63" i="60" s="1"/>
  <c r="BF79" i="60"/>
  <c r="BR80" i="60"/>
  <c r="CC56" i="60"/>
  <c r="BP80" i="60"/>
  <c r="BD79" i="60"/>
  <c r="Q65" i="65"/>
  <c r="R65" i="65" s="1"/>
  <c r="R72" i="65" s="1"/>
  <c r="BH88" i="60"/>
  <c r="BT89" i="60"/>
  <c r="G80" i="65"/>
  <c r="P80" i="65" s="1"/>
  <c r="C40" i="61" s="1"/>
  <c r="F40" i="61" s="1"/>
  <c r="P81" i="65"/>
  <c r="Q81" i="65" s="1"/>
  <c r="CA64" i="60"/>
  <c r="CA63" i="60" s="1"/>
  <c r="CE64" i="60"/>
  <c r="CE63" i="60" s="1"/>
  <c r="Q87" i="65" l="1"/>
  <c r="R87" i="65" s="1"/>
  <c r="R81" i="65"/>
  <c r="S65" i="65"/>
  <c r="H107" i="60"/>
  <c r="H101" i="60" s="1"/>
  <c r="G107" i="60"/>
  <c r="G101" i="60" s="1"/>
  <c r="F107" i="60"/>
  <c r="F101" i="60" s="1"/>
  <c r="I107" i="60"/>
  <c r="I101" i="60" s="1"/>
  <c r="D101" i="60"/>
  <c r="AG42" i="78"/>
  <c r="AI31" i="78"/>
  <c r="AH40" i="78"/>
  <c r="AI33" i="78"/>
  <c r="AH42" i="78"/>
  <c r="AI32" i="78"/>
  <c r="AH41" i="78"/>
  <c r="D44" i="44"/>
  <c r="M44" i="44" s="1"/>
  <c r="D61" i="44" s="1"/>
  <c r="AH57" i="60"/>
  <c r="V59" i="60"/>
  <c r="V55" i="60"/>
  <c r="V107" i="60" s="1"/>
  <c r="Y59" i="60"/>
  <c r="D58" i="115"/>
  <c r="D58" i="65"/>
  <c r="AK57" i="60"/>
  <c r="Y55" i="60"/>
  <c r="N101" i="60"/>
  <c r="E101" i="60"/>
  <c r="F61" i="60"/>
  <c r="F108" i="60" s="1"/>
  <c r="F102" i="60" s="1"/>
  <c r="F115" i="60"/>
  <c r="I115" i="60"/>
  <c r="I61" i="60"/>
  <c r="I108" i="60" s="1"/>
  <c r="I102" i="60" s="1"/>
  <c r="K101" i="60"/>
  <c r="E19" i="78"/>
  <c r="E21" i="78" s="1"/>
  <c r="L115" i="60"/>
  <c r="L61" i="60"/>
  <c r="L108" i="60" s="1"/>
  <c r="L102" i="60" s="1"/>
  <c r="E25" i="72" s="1"/>
  <c r="E21" i="91"/>
  <c r="E40" i="76"/>
  <c r="H21" i="76"/>
  <c r="J61" i="60"/>
  <c r="J108" i="60" s="1"/>
  <c r="J102" i="60" s="1"/>
  <c r="C25" i="72" s="1"/>
  <c r="C19" i="78"/>
  <c r="C21" i="78" s="1"/>
  <c r="J115" i="60"/>
  <c r="E58" i="115"/>
  <c r="E58" i="65"/>
  <c r="AL57" i="60"/>
  <c r="Z59" i="60"/>
  <c r="D18" i="81" s="1"/>
  <c r="Z55" i="60"/>
  <c r="Z107" i="60" s="1"/>
  <c r="E61" i="60"/>
  <c r="E108" i="60" s="1"/>
  <c r="E102" i="60" s="1"/>
  <c r="E115" i="60"/>
  <c r="AD57" i="60"/>
  <c r="R59" i="60"/>
  <c r="R55" i="60"/>
  <c r="R107" i="60" s="1"/>
  <c r="O101" i="60"/>
  <c r="H61" i="60"/>
  <c r="H108" i="60" s="1"/>
  <c r="H102" i="60" s="1"/>
  <c r="H115" i="60"/>
  <c r="D61" i="60"/>
  <c r="D108" i="60" s="1"/>
  <c r="D102" i="60" s="1"/>
  <c r="D115" i="60"/>
  <c r="AG57" i="60"/>
  <c r="U59" i="60"/>
  <c r="U55" i="60"/>
  <c r="U107" i="60" s="1"/>
  <c r="K61" i="60"/>
  <c r="K108" i="60" s="1"/>
  <c r="K102" i="60" s="1"/>
  <c r="D25" i="72" s="1"/>
  <c r="K115" i="60"/>
  <c r="D19" i="78"/>
  <c r="D21" i="78" s="1"/>
  <c r="AJ57" i="60"/>
  <c r="X59" i="60"/>
  <c r="X55" i="60"/>
  <c r="X107" i="60" s="1"/>
  <c r="J101" i="60"/>
  <c r="M115" i="60"/>
  <c r="F19" i="78"/>
  <c r="F21" i="78" s="1"/>
  <c r="M61" i="60"/>
  <c r="M108" i="60" s="1"/>
  <c r="M102" i="60" s="1"/>
  <c r="F25" i="72" s="1"/>
  <c r="F58" i="115"/>
  <c r="F58" i="65"/>
  <c r="AM57" i="60"/>
  <c r="AA59" i="60"/>
  <c r="E18" i="81" s="1"/>
  <c r="AA55" i="60"/>
  <c r="AA107" i="60" s="1"/>
  <c r="AE57" i="60"/>
  <c r="S59" i="60"/>
  <c r="S55" i="60"/>
  <c r="S107" i="60" s="1"/>
  <c r="L101" i="60"/>
  <c r="M101" i="60"/>
  <c r="G19" i="78"/>
  <c r="G21" i="78" s="1"/>
  <c r="N115" i="60"/>
  <c r="N61" i="60"/>
  <c r="N108" i="60" s="1"/>
  <c r="N102" i="60" s="1"/>
  <c r="G25" i="72" s="1"/>
  <c r="AC57" i="60"/>
  <c r="Q59" i="60"/>
  <c r="Q55" i="60"/>
  <c r="Q107" i="60" s="1"/>
  <c r="O115" i="60"/>
  <c r="H19" i="78"/>
  <c r="H21" i="78" s="1"/>
  <c r="O61" i="60"/>
  <c r="O108" i="60" s="1"/>
  <c r="O102" i="60" s="1"/>
  <c r="H25" i="72" s="1"/>
  <c r="AF57" i="60"/>
  <c r="T59" i="60"/>
  <c r="T55" i="60"/>
  <c r="T107" i="60" s="1"/>
  <c r="G115" i="60"/>
  <c r="G61" i="60"/>
  <c r="G108" i="60" s="1"/>
  <c r="G102" i="60" s="1"/>
  <c r="AB57" i="60"/>
  <c r="P59" i="60"/>
  <c r="P55" i="60"/>
  <c r="P107" i="60" s="1"/>
  <c r="AI57" i="60"/>
  <c r="W59" i="60"/>
  <c r="W55" i="60"/>
  <c r="W107" i="60" s="1"/>
  <c r="CA80" i="60"/>
  <c r="CA79" i="60" s="1"/>
  <c r="BO79" i="60"/>
  <c r="CA89" i="60"/>
  <c r="CA88" i="60" s="1"/>
  <c r="BO88" i="60"/>
  <c r="P89" i="115"/>
  <c r="CF80" i="60"/>
  <c r="CF79" i="60" s="1"/>
  <c r="BT79" i="60"/>
  <c r="C45" i="44"/>
  <c r="Q96" i="65"/>
  <c r="CD89" i="60"/>
  <c r="CD88" i="60" s="1"/>
  <c r="BR88" i="60"/>
  <c r="CE80" i="60"/>
  <c r="CE79" i="60" s="1"/>
  <c r="BS79" i="60"/>
  <c r="P89" i="65"/>
  <c r="CC80" i="60"/>
  <c r="CC79" i="60" s="1"/>
  <c r="BQ79" i="60"/>
  <c r="G76" i="44"/>
  <c r="L73" i="44" s="1"/>
  <c r="BR79" i="60"/>
  <c r="CD80" i="60"/>
  <c r="CD79" i="60" s="1"/>
  <c r="C43" i="44"/>
  <c r="E43" i="44" s="1"/>
  <c r="CH80" i="60"/>
  <c r="CH79" i="60" s="1"/>
  <c r="BV79" i="60"/>
  <c r="BN79" i="60"/>
  <c r="BZ80" i="60"/>
  <c r="BZ79" i="60" s="1"/>
  <c r="BL80" i="60"/>
  <c r="AZ79" i="60"/>
  <c r="BY80" i="60"/>
  <c r="BY79" i="60" s="1"/>
  <c r="BM79" i="60"/>
  <c r="AZ88" i="60"/>
  <c r="BL89" i="60"/>
  <c r="BW79" i="60"/>
  <c r="CI80" i="60"/>
  <c r="CI79" i="60" s="1"/>
  <c r="BY89" i="60"/>
  <c r="BY88" i="60" s="1"/>
  <c r="BM88" i="60"/>
  <c r="BX64" i="60"/>
  <c r="BX63" i="60" s="1"/>
  <c r="CH89" i="60"/>
  <c r="CH88" i="60" s="1"/>
  <c r="BV88" i="60"/>
  <c r="Q72" i="65"/>
  <c r="P44" i="44" s="1"/>
  <c r="C44" i="44"/>
  <c r="CB80" i="60"/>
  <c r="CB79" i="60" s="1"/>
  <c r="BP79" i="60"/>
  <c r="F46" i="61"/>
  <c r="CG80" i="60"/>
  <c r="CG79" i="60" s="1"/>
  <c r="BU79" i="60"/>
  <c r="CE89" i="60"/>
  <c r="CE88" i="60" s="1"/>
  <c r="BS88" i="60"/>
  <c r="AJ15" i="78"/>
  <c r="CF89" i="60"/>
  <c r="CF88" i="60" s="1"/>
  <c r="BT88" i="60"/>
  <c r="F43" i="61"/>
  <c r="L72" i="44"/>
  <c r="G74" i="44"/>
  <c r="CI89" i="60"/>
  <c r="CI88" i="60" s="1"/>
  <c r="BW88" i="60"/>
  <c r="BP88" i="60"/>
  <c r="CB89" i="60"/>
  <c r="CB88" i="60" s="1"/>
  <c r="D45" i="44"/>
  <c r="Q96" i="115"/>
  <c r="BN88" i="60"/>
  <c r="BZ89" i="60"/>
  <c r="BZ88" i="60" s="1"/>
  <c r="BX56" i="60"/>
  <c r="BQ88" i="60"/>
  <c r="CC89" i="60"/>
  <c r="CC88" i="60" s="1"/>
  <c r="BU88" i="60"/>
  <c r="CG89" i="60"/>
  <c r="CG88" i="60" s="1"/>
  <c r="P45" i="44" l="1"/>
  <c r="R96" i="65"/>
  <c r="S68" i="65"/>
  <c r="C18" i="81"/>
  <c r="Y107" i="60"/>
  <c r="G103" i="60"/>
  <c r="H103" i="60"/>
  <c r="F103" i="60"/>
  <c r="I103" i="60"/>
  <c r="D103" i="60"/>
  <c r="AJ33" i="78"/>
  <c r="AI42" i="78"/>
  <c r="E13" i="72"/>
  <c r="E15" i="72" s="1"/>
  <c r="E23" i="72" s="1"/>
  <c r="E28" i="72" s="1"/>
  <c r="AJ32" i="78"/>
  <c r="AI41" i="78"/>
  <c r="AJ31" i="78"/>
  <c r="AI40" i="78"/>
  <c r="D46" i="44"/>
  <c r="L103" i="60"/>
  <c r="G79" i="44"/>
  <c r="F13" i="72"/>
  <c r="F15" i="72" s="1"/>
  <c r="F23" i="72" s="1"/>
  <c r="F28" i="72" s="1"/>
  <c r="C13" i="72"/>
  <c r="C15" i="72" s="1"/>
  <c r="C23" i="72" s="1"/>
  <c r="C28" i="72" s="1"/>
  <c r="P61" i="60"/>
  <c r="I13" i="72" s="1"/>
  <c r="I15" i="72" s="1"/>
  <c r="P115" i="60"/>
  <c r="I19" i="78"/>
  <c r="Q101" i="60"/>
  <c r="AQ57" i="60"/>
  <c r="J58" i="115"/>
  <c r="J58" i="65"/>
  <c r="AE59" i="60"/>
  <c r="I18" i="81" s="1"/>
  <c r="AE55" i="60"/>
  <c r="AE107" i="60" s="1"/>
  <c r="F60" i="65"/>
  <c r="F107" i="65" s="1"/>
  <c r="F56" i="65"/>
  <c r="F108" i="65" s="1"/>
  <c r="R101" i="60"/>
  <c r="P101" i="60"/>
  <c r="AR57" i="60"/>
  <c r="K58" i="115"/>
  <c r="K58" i="65"/>
  <c r="AF59" i="60"/>
  <c r="J18" i="81" s="1"/>
  <c r="AF55" i="60"/>
  <c r="AF107" i="60" s="1"/>
  <c r="G6" i="80"/>
  <c r="M103" i="60"/>
  <c r="S61" i="60"/>
  <c r="S108" i="60" s="1"/>
  <c r="S102" i="60" s="1"/>
  <c r="L25" i="72" s="1"/>
  <c r="S115" i="60"/>
  <c r="L19" i="78"/>
  <c r="L21" i="78" s="1"/>
  <c r="AY57" i="60"/>
  <c r="AM59" i="60"/>
  <c r="AM115" i="60" s="1"/>
  <c r="AM55" i="60"/>
  <c r="AM107" i="60" s="1"/>
  <c r="J103" i="60"/>
  <c r="AV57" i="60"/>
  <c r="AJ59" i="60"/>
  <c r="N18" i="81" s="1"/>
  <c r="O58" i="115"/>
  <c r="O58" i="65"/>
  <c r="AJ55" i="60"/>
  <c r="AJ107" i="60" s="1"/>
  <c r="H13" i="72"/>
  <c r="H15" i="72" s="1"/>
  <c r="H23" i="72" s="1"/>
  <c r="H28" i="72" s="1"/>
  <c r="E60" i="65"/>
  <c r="E107" i="65" s="1"/>
  <c r="E56" i="65"/>
  <c r="E108" i="65" s="1"/>
  <c r="D13" i="72"/>
  <c r="D15" i="72" s="1"/>
  <c r="D23" i="72" s="1"/>
  <c r="D28" i="72" s="1"/>
  <c r="G13" i="72"/>
  <c r="G15" i="72" s="1"/>
  <c r="G23" i="72" s="1"/>
  <c r="G28" i="72" s="1"/>
  <c r="D60" i="115"/>
  <c r="D107" i="115" s="1"/>
  <c r="D56" i="115"/>
  <c r="D108" i="115" s="1"/>
  <c r="M58" i="115"/>
  <c r="M58" i="65"/>
  <c r="AT57" i="60"/>
  <c r="AH59" i="60"/>
  <c r="L18" i="81" s="1"/>
  <c r="AH55" i="60"/>
  <c r="AH107" i="60" s="1"/>
  <c r="T19" i="78"/>
  <c r="Y115" i="60"/>
  <c r="G82" i="44"/>
  <c r="G86" i="44" s="1"/>
  <c r="Q115" i="60"/>
  <c r="Q61" i="60"/>
  <c r="Q108" i="60" s="1"/>
  <c r="Q102" i="60" s="1"/>
  <c r="J19" i="78"/>
  <c r="J21" i="78" s="1"/>
  <c r="F6" i="80"/>
  <c r="F60" i="115"/>
  <c r="F107" i="115" s="1"/>
  <c r="F56" i="115"/>
  <c r="F108" i="115" s="1"/>
  <c r="U115" i="60"/>
  <c r="N19" i="78"/>
  <c r="N21" i="78" s="1"/>
  <c r="R61" i="60"/>
  <c r="R108" i="60" s="1"/>
  <c r="R102" i="60" s="1"/>
  <c r="K25" i="72" s="1"/>
  <c r="R115" i="60"/>
  <c r="K19" i="78"/>
  <c r="K21" i="78" s="1"/>
  <c r="U19" i="78"/>
  <c r="U21" i="78" s="1"/>
  <c r="Z115" i="60"/>
  <c r="E103" i="60"/>
  <c r="AK59" i="60"/>
  <c r="AK115" i="60" s="1"/>
  <c r="AW57" i="60"/>
  <c r="AK55" i="60"/>
  <c r="AK107" i="60" s="1"/>
  <c r="E60" i="115"/>
  <c r="E107" i="115" s="1"/>
  <c r="E56" i="115"/>
  <c r="E108" i="115" s="1"/>
  <c r="M21" i="76"/>
  <c r="H40" i="76"/>
  <c r="D6" i="80"/>
  <c r="W115" i="60"/>
  <c r="Q19" i="78"/>
  <c r="Q21" i="78" s="1"/>
  <c r="AN57" i="60"/>
  <c r="G58" i="115"/>
  <c r="G58" i="65"/>
  <c r="AB59" i="60"/>
  <c r="AB55" i="60"/>
  <c r="AB107" i="60" s="1"/>
  <c r="N58" i="115"/>
  <c r="N58" i="65"/>
  <c r="AU57" i="60"/>
  <c r="AI59" i="60"/>
  <c r="M18" i="81" s="1"/>
  <c r="AI55" i="60"/>
  <c r="AI107" i="60" s="1"/>
  <c r="T115" i="60"/>
  <c r="M19" i="78"/>
  <c r="M21" i="78" s="1"/>
  <c r="H58" i="115"/>
  <c r="AO57" i="60"/>
  <c r="H58" i="65"/>
  <c r="AC59" i="60"/>
  <c r="G18" i="81" s="1"/>
  <c r="AC55" i="60"/>
  <c r="AC107" i="60" s="1"/>
  <c r="S101" i="60"/>
  <c r="AA115" i="60"/>
  <c r="V19" i="78"/>
  <c r="V21" i="78" s="1"/>
  <c r="E6" i="80"/>
  <c r="R19" i="78"/>
  <c r="R21" i="78" s="1"/>
  <c r="X115" i="60"/>
  <c r="C6" i="80"/>
  <c r="L58" i="115"/>
  <c r="AS57" i="60"/>
  <c r="L58" i="65"/>
  <c r="AG59" i="60"/>
  <c r="K18" i="81" s="1"/>
  <c r="AG55" i="60"/>
  <c r="AG107" i="60" s="1"/>
  <c r="O103" i="60"/>
  <c r="I58" i="115"/>
  <c r="I58" i="65"/>
  <c r="AP57" i="60"/>
  <c r="AD59" i="60"/>
  <c r="H18" i="81" s="1"/>
  <c r="AD55" i="60"/>
  <c r="AD107" i="60" s="1"/>
  <c r="AX57" i="60"/>
  <c r="AL59" i="60"/>
  <c r="AL115" i="60" s="1"/>
  <c r="AL55" i="60"/>
  <c r="AL107" i="60" s="1"/>
  <c r="E40" i="91"/>
  <c r="H21" i="91"/>
  <c r="K103" i="60"/>
  <c r="N103" i="60"/>
  <c r="D60" i="65"/>
  <c r="D107" i="65" s="1"/>
  <c r="D56" i="65"/>
  <c r="D108" i="65" s="1"/>
  <c r="P19" i="78"/>
  <c r="P21" i="78" s="1"/>
  <c r="V115" i="60"/>
  <c r="L45" i="44"/>
  <c r="C62" i="44" s="1"/>
  <c r="BX80" i="60"/>
  <c r="BX79" i="60" s="1"/>
  <c r="BL79" i="60"/>
  <c r="C46" i="44"/>
  <c r="AF20" i="72"/>
  <c r="AG20" i="72" s="1"/>
  <c r="E44" i="44"/>
  <c r="L44" i="44"/>
  <c r="R74" i="44" s="1"/>
  <c r="C41" i="61"/>
  <c r="BX89" i="60"/>
  <c r="BX88" i="60" s="1"/>
  <c r="BL88" i="60"/>
  <c r="AK15" i="78"/>
  <c r="E45" i="44"/>
  <c r="M45" i="44"/>
  <c r="D62" i="44" s="1"/>
  <c r="AH20" i="72" l="1"/>
  <c r="AI20" i="72" s="1"/>
  <c r="AJ20" i="72" s="1"/>
  <c r="AK20" i="72" s="1"/>
  <c r="AL20" i="72" s="1"/>
  <c r="AG22" i="72"/>
  <c r="AH25" i="78"/>
  <c r="F18" i="81"/>
  <c r="AK32" i="78"/>
  <c r="AJ41" i="78"/>
  <c r="AK31" i="78"/>
  <c r="AJ40" i="78"/>
  <c r="AK33" i="78"/>
  <c r="AJ42" i="78"/>
  <c r="L13" i="72"/>
  <c r="L15" i="72" s="1"/>
  <c r="L23" i="72" s="1"/>
  <c r="L28" i="72" s="1"/>
  <c r="P58" i="65"/>
  <c r="Q58" i="65" s="1"/>
  <c r="O44" i="44"/>
  <c r="J47" i="61"/>
  <c r="P58" i="115"/>
  <c r="P60" i="115" s="1"/>
  <c r="N6" i="80"/>
  <c r="M21" i="91"/>
  <c r="H40" i="91"/>
  <c r="I60" i="65"/>
  <c r="I107" i="65" s="1"/>
  <c r="I56" i="65"/>
  <c r="I108" i="65" s="1"/>
  <c r="AG115" i="60"/>
  <c r="AB19" i="78"/>
  <c r="AB21" i="78" s="1"/>
  <c r="S6" i="80"/>
  <c r="AC115" i="60"/>
  <c r="X19" i="78"/>
  <c r="X21" i="78" s="1"/>
  <c r="BG57" i="60"/>
  <c r="AU59" i="60"/>
  <c r="AU115" i="60" s="1"/>
  <c r="AU55" i="60"/>
  <c r="AU107" i="60" s="1"/>
  <c r="O60" i="115"/>
  <c r="O107" i="115" s="1"/>
  <c r="O56" i="115"/>
  <c r="O108" i="115" s="1"/>
  <c r="G7" i="80"/>
  <c r="G8" i="80"/>
  <c r="G9" i="80" s="1"/>
  <c r="G10" i="80" s="1"/>
  <c r="G28" i="80" s="1"/>
  <c r="K56" i="115"/>
  <c r="K108" i="115" s="1"/>
  <c r="K60" i="115"/>
  <c r="K107" i="115" s="1"/>
  <c r="I56" i="115"/>
  <c r="I108" i="115" s="1"/>
  <c r="I60" i="115"/>
  <c r="I107" i="115" s="1"/>
  <c r="L60" i="65"/>
  <c r="L107" i="65" s="1"/>
  <c r="L56" i="65"/>
  <c r="L108" i="65" s="1"/>
  <c r="C7" i="80"/>
  <c r="C8" i="80"/>
  <c r="C9" i="80" s="1"/>
  <c r="C10" i="80" s="1"/>
  <c r="C28" i="80" s="1"/>
  <c r="E8" i="80"/>
  <c r="E9" i="80" s="1"/>
  <c r="E10" i="80" s="1"/>
  <c r="E28" i="80" s="1"/>
  <c r="E7" i="80"/>
  <c r="P66" i="72"/>
  <c r="S103" i="60"/>
  <c r="H60" i="65"/>
  <c r="H107" i="65" s="1"/>
  <c r="H56" i="65"/>
  <c r="H108" i="65" s="1"/>
  <c r="L6" i="80"/>
  <c r="N60" i="65"/>
  <c r="N107" i="65" s="1"/>
  <c r="N56" i="65"/>
  <c r="N108" i="65" s="1"/>
  <c r="AB115" i="60"/>
  <c r="W19" i="78"/>
  <c r="W21" i="78" s="1"/>
  <c r="D8" i="80"/>
  <c r="D9" i="80" s="1"/>
  <c r="D10" i="80" s="1"/>
  <c r="D28" i="80" s="1"/>
  <c r="D7" i="80"/>
  <c r="AG21" i="78"/>
  <c r="AG27" i="78" s="1"/>
  <c r="AG25" i="78"/>
  <c r="T21" i="78"/>
  <c r="AC19" i="78"/>
  <c r="AC21" i="78" s="1"/>
  <c r="AH115" i="60"/>
  <c r="AE19" i="78"/>
  <c r="AE21" i="78" s="1"/>
  <c r="AJ115" i="60"/>
  <c r="AE6" i="80"/>
  <c r="BD57" i="60"/>
  <c r="AR55" i="60"/>
  <c r="AR107" i="60" s="1"/>
  <c r="AR59" i="60"/>
  <c r="AR115" i="60" s="1"/>
  <c r="N66" i="72"/>
  <c r="R103" i="60"/>
  <c r="BC57" i="60"/>
  <c r="AQ59" i="60"/>
  <c r="AQ115" i="60" s="1"/>
  <c r="AQ55" i="60"/>
  <c r="AQ107" i="60" s="1"/>
  <c r="H6" i="80"/>
  <c r="H80" i="80" s="1"/>
  <c r="BJ57" i="60"/>
  <c r="AX59" i="60"/>
  <c r="AX115" i="60" s="1"/>
  <c r="AX55" i="60"/>
  <c r="AX107" i="60" s="1"/>
  <c r="AZ57" i="60"/>
  <c r="AN59" i="60"/>
  <c r="AN115" i="60" s="1"/>
  <c r="AN55" i="60"/>
  <c r="AN107" i="60" s="1"/>
  <c r="AC6" i="80"/>
  <c r="K6" i="80"/>
  <c r="J56" i="115"/>
  <c r="J108" i="115" s="1"/>
  <c r="J60" i="115"/>
  <c r="J107" i="115" s="1"/>
  <c r="AD115" i="60"/>
  <c r="Y19" i="78"/>
  <c r="Y21" i="78" s="1"/>
  <c r="BE57" i="60"/>
  <c r="AS59" i="60"/>
  <c r="AS115" i="60" s="1"/>
  <c r="AS55" i="60"/>
  <c r="AS107" i="60" s="1"/>
  <c r="P6" i="80"/>
  <c r="BA57" i="60"/>
  <c r="AO59" i="60"/>
  <c r="AO55" i="60"/>
  <c r="AO107" i="60" s="1"/>
  <c r="N56" i="115"/>
  <c r="N108" i="115" s="1"/>
  <c r="N60" i="115"/>
  <c r="N107" i="115" s="1"/>
  <c r="G60" i="65"/>
  <c r="G107" i="65" s="1"/>
  <c r="G56" i="65"/>
  <c r="G108" i="65" s="1"/>
  <c r="O6" i="80"/>
  <c r="I24" i="81"/>
  <c r="I25" i="81" s="1"/>
  <c r="I26" i="81" s="1"/>
  <c r="M6" i="80"/>
  <c r="F7" i="80"/>
  <c r="F8" i="80"/>
  <c r="F9" i="80" s="1"/>
  <c r="F10" i="80" s="1"/>
  <c r="F28" i="80" s="1"/>
  <c r="J25" i="72"/>
  <c r="AT59" i="60"/>
  <c r="AT115" i="60" s="1"/>
  <c r="BF57" i="60"/>
  <c r="AT55" i="60"/>
  <c r="AT107" i="60" s="1"/>
  <c r="BH57" i="60"/>
  <c r="AV59" i="60"/>
  <c r="AV115" i="60" s="1"/>
  <c r="AV55" i="60"/>
  <c r="AV107" i="60" s="1"/>
  <c r="AY59" i="60"/>
  <c r="AY115" i="60" s="1"/>
  <c r="BK57" i="60"/>
  <c r="AY55" i="60"/>
  <c r="AY107" i="60" s="1"/>
  <c r="AF115" i="60"/>
  <c r="AA19" i="78"/>
  <c r="AA21" i="78" s="1"/>
  <c r="L66" i="72"/>
  <c r="K13" i="72"/>
  <c r="K15" i="72" s="1"/>
  <c r="K23" i="72" s="1"/>
  <c r="K28" i="72" s="1"/>
  <c r="AE115" i="60"/>
  <c r="Z19" i="78"/>
  <c r="Z21" i="78" s="1"/>
  <c r="M66" i="72"/>
  <c r="Q103" i="60"/>
  <c r="P108" i="60"/>
  <c r="P102" i="60" s="1"/>
  <c r="AG15" i="72"/>
  <c r="AG23" i="72" s="1"/>
  <c r="Q6" i="80"/>
  <c r="M60" i="115"/>
  <c r="M107" i="115" s="1"/>
  <c r="M56" i="115"/>
  <c r="M108" i="115" s="1"/>
  <c r="O19" i="78"/>
  <c r="I21" i="78"/>
  <c r="O21" i="78" s="1"/>
  <c r="AD6" i="80"/>
  <c r="BB57" i="60"/>
  <c r="AP59" i="60"/>
  <c r="AP115" i="60" s="1"/>
  <c r="AP55" i="60"/>
  <c r="AP107" i="60" s="1"/>
  <c r="L56" i="115"/>
  <c r="L108" i="115" s="1"/>
  <c r="L60" i="115"/>
  <c r="L107" i="115" s="1"/>
  <c r="H56" i="115"/>
  <c r="H108" i="115" s="1"/>
  <c r="H60" i="115"/>
  <c r="H107" i="115" s="1"/>
  <c r="AI115" i="60"/>
  <c r="AD19" i="78"/>
  <c r="AD21" i="78" s="1"/>
  <c r="G60" i="115"/>
  <c r="G107" i="115" s="1"/>
  <c r="G56" i="115"/>
  <c r="G108" i="115" s="1"/>
  <c r="P21" i="76"/>
  <c r="AW59" i="60"/>
  <c r="AW115" i="60" s="1"/>
  <c r="BI57" i="60"/>
  <c r="AW55" i="60"/>
  <c r="AW107" i="60" s="1"/>
  <c r="R6" i="80"/>
  <c r="J6" i="80"/>
  <c r="I6" i="80"/>
  <c r="I80" i="80" s="1"/>
  <c r="M60" i="65"/>
  <c r="M107" i="65" s="1"/>
  <c r="M56" i="65"/>
  <c r="M108" i="65" s="1"/>
  <c r="O60" i="65"/>
  <c r="O107" i="65" s="1"/>
  <c r="O56" i="65"/>
  <c r="O108" i="65" s="1"/>
  <c r="K60" i="65"/>
  <c r="K107" i="65" s="1"/>
  <c r="K56" i="65"/>
  <c r="K108" i="65" s="1"/>
  <c r="I23" i="72"/>
  <c r="J60" i="65"/>
  <c r="J107" i="65" s="1"/>
  <c r="J56" i="65"/>
  <c r="J108" i="65" s="1"/>
  <c r="J13" i="72"/>
  <c r="J15" i="72" s="1"/>
  <c r="J23" i="72" s="1"/>
  <c r="AL15" i="78"/>
  <c r="O45" i="44"/>
  <c r="N45" i="44"/>
  <c r="R45" i="44" s="1"/>
  <c r="D76" i="44"/>
  <c r="N44" i="44"/>
  <c r="F41" i="61"/>
  <c r="C61" i="44"/>
  <c r="E46" i="44"/>
  <c r="R75" i="44"/>
  <c r="C76" i="44"/>
  <c r="P107" i="115" l="1"/>
  <c r="I73" i="44"/>
  <c r="P60" i="65"/>
  <c r="P107" i="65" s="1"/>
  <c r="AH21" i="78"/>
  <c r="AH27" i="78" s="1"/>
  <c r="L67" i="72"/>
  <c r="AL31" i="78"/>
  <c r="AL40" i="78" s="1"/>
  <c r="AK40" i="78"/>
  <c r="AL33" i="78"/>
  <c r="AL42" i="78" s="1"/>
  <c r="AK42" i="78"/>
  <c r="AL32" i="78"/>
  <c r="AL41" i="78" s="1"/>
  <c r="AK41" i="78"/>
  <c r="J28" i="72"/>
  <c r="D47" i="61"/>
  <c r="D54" i="61" s="1"/>
  <c r="D59" i="61" s="1"/>
  <c r="Q58" i="115"/>
  <c r="J43" i="44" s="1"/>
  <c r="J8" i="80"/>
  <c r="J9" i="80" s="1"/>
  <c r="J10" i="80" s="1"/>
  <c r="J7" i="80"/>
  <c r="AD8" i="80"/>
  <c r="AD9" i="80" s="1"/>
  <c r="AD10" i="80" s="1"/>
  <c r="AD7" i="80"/>
  <c r="Q8" i="80"/>
  <c r="Q9" i="80" s="1"/>
  <c r="Q10" i="80" s="1"/>
  <c r="Q7" i="80"/>
  <c r="W6" i="80"/>
  <c r="AN6" i="80"/>
  <c r="I7" i="80"/>
  <c r="I8" i="80"/>
  <c r="I9" i="80" s="1"/>
  <c r="I10" i="80" s="1"/>
  <c r="X6" i="80"/>
  <c r="AL6" i="80"/>
  <c r="O8" i="80"/>
  <c r="O9" i="80" s="1"/>
  <c r="O10" i="80" s="1"/>
  <c r="O7" i="80"/>
  <c r="P7" i="80"/>
  <c r="P8" i="80"/>
  <c r="P9" i="80" s="1"/>
  <c r="P10" i="80" s="1"/>
  <c r="I43" i="44"/>
  <c r="Q60" i="65"/>
  <c r="AJ6" i="80"/>
  <c r="AB6" i="80"/>
  <c r="T6" i="80"/>
  <c r="L7" i="80"/>
  <c r="L8" i="80"/>
  <c r="L9" i="80" s="1"/>
  <c r="L10" i="80" s="1"/>
  <c r="AM6" i="80"/>
  <c r="S8" i="80"/>
  <c r="S9" i="80" s="1"/>
  <c r="S10" i="80" s="1"/>
  <c r="S7" i="80"/>
  <c r="BU57" i="60"/>
  <c r="BI59" i="60"/>
  <c r="BI115" i="60" s="1"/>
  <c r="BI55" i="60"/>
  <c r="BI107" i="60" s="1"/>
  <c r="P56" i="115"/>
  <c r="P108" i="115" s="1"/>
  <c r="AA6" i="80"/>
  <c r="P56" i="65"/>
  <c r="AO115" i="60"/>
  <c r="AC8" i="80"/>
  <c r="AC9" i="80" s="1"/>
  <c r="AC10" i="80" s="1"/>
  <c r="AC7" i="80"/>
  <c r="AI6" i="80"/>
  <c r="BS57" i="60"/>
  <c r="BG59" i="60"/>
  <c r="BG115" i="60" s="1"/>
  <c r="BG55" i="60"/>
  <c r="BG107" i="60" s="1"/>
  <c r="N7" i="80"/>
  <c r="N8" i="80"/>
  <c r="N9" i="80" s="1"/>
  <c r="N10" i="80" s="1"/>
  <c r="AO6" i="80"/>
  <c r="AH6" i="80"/>
  <c r="O18" i="81"/>
  <c r="I27" i="81" s="1"/>
  <c r="I29" i="81" s="1"/>
  <c r="I31" i="81" s="1"/>
  <c r="I33" i="81" s="1"/>
  <c r="J33" i="81" s="1"/>
  <c r="BK59" i="60"/>
  <c r="BK115" i="60" s="1"/>
  <c r="BW57" i="60"/>
  <c r="BK55" i="60"/>
  <c r="BK107" i="60" s="1"/>
  <c r="BT57" i="60"/>
  <c r="BH59" i="60"/>
  <c r="BH115" i="60" s="1"/>
  <c r="BH55" i="60"/>
  <c r="BH107" i="60" s="1"/>
  <c r="BM57" i="60"/>
  <c r="BA59" i="60"/>
  <c r="BA55" i="60"/>
  <c r="BA107" i="60" s="1"/>
  <c r="AK6" i="80"/>
  <c r="V6" i="80"/>
  <c r="BL57" i="60"/>
  <c r="AZ59" i="60"/>
  <c r="AZ115" i="60" s="1"/>
  <c r="AZ55" i="60"/>
  <c r="AZ107" i="60" s="1"/>
  <c r="BV57" i="60"/>
  <c r="BJ59" i="60"/>
  <c r="BJ115" i="60" s="1"/>
  <c r="BJ55" i="60"/>
  <c r="BJ107" i="60" s="1"/>
  <c r="BO57" i="60"/>
  <c r="BC59" i="60"/>
  <c r="BC115" i="60" s="1"/>
  <c r="BC55" i="60"/>
  <c r="BC107" i="60" s="1"/>
  <c r="BP57" i="60"/>
  <c r="BD59" i="60"/>
  <c r="BD115" i="60" s="1"/>
  <c r="BD55" i="60"/>
  <c r="BD107" i="60" s="1"/>
  <c r="AE8" i="80"/>
  <c r="AE9" i="80" s="1"/>
  <c r="AE10" i="80" s="1"/>
  <c r="AE7" i="80"/>
  <c r="U6" i="80"/>
  <c r="I25" i="72"/>
  <c r="AG28" i="72"/>
  <c r="P103" i="60"/>
  <c r="K8" i="80"/>
  <c r="K9" i="80" s="1"/>
  <c r="K10" i="80" s="1"/>
  <c r="K7" i="80"/>
  <c r="AF6" i="80"/>
  <c r="AP6" i="80"/>
  <c r="AF21" i="78"/>
  <c r="AF27" i="78" s="1"/>
  <c r="R8" i="80"/>
  <c r="R9" i="80" s="1"/>
  <c r="R10" i="80" s="1"/>
  <c r="R7" i="80"/>
  <c r="BN57" i="60"/>
  <c r="BB59" i="60"/>
  <c r="BB115" i="60" s="1"/>
  <c r="BB55" i="60"/>
  <c r="BB107" i="60" s="1"/>
  <c r="AQ6" i="80"/>
  <c r="BR57" i="60"/>
  <c r="BF59" i="60"/>
  <c r="BF115" i="60" s="1"/>
  <c r="BF55" i="60"/>
  <c r="BF107" i="60" s="1"/>
  <c r="M8" i="80"/>
  <c r="M9" i="80" s="1"/>
  <c r="M10" i="80" s="1"/>
  <c r="M7" i="80"/>
  <c r="BQ57" i="60"/>
  <c r="BE59" i="60"/>
  <c r="BE115" i="60" s="1"/>
  <c r="BE55" i="60"/>
  <c r="BE107" i="60" s="1"/>
  <c r="H8" i="80"/>
  <c r="H9" i="80" s="1"/>
  <c r="H10" i="80" s="1"/>
  <c r="H7" i="80"/>
  <c r="Z6" i="80"/>
  <c r="AF19" i="78"/>
  <c r="AF25" i="78" s="1"/>
  <c r="Y6" i="80"/>
  <c r="P21" i="91"/>
  <c r="P40" i="91" s="1"/>
  <c r="M40" i="91"/>
  <c r="E76" i="44"/>
  <c r="AD41" i="44"/>
  <c r="R44" i="44"/>
  <c r="X48" i="44"/>
  <c r="AD42" i="44" s="1"/>
  <c r="I28" i="72" l="1"/>
  <c r="I74" i="44"/>
  <c r="I82" i="44" s="1"/>
  <c r="I79" i="44"/>
  <c r="F47" i="61"/>
  <c r="Q60" i="115"/>
  <c r="CC57" i="60"/>
  <c r="BQ59" i="60"/>
  <c r="BQ115" i="60" s="1"/>
  <c r="BQ55" i="60"/>
  <c r="BQ107" i="60" s="1"/>
  <c r="AX6" i="80"/>
  <c r="AQ7" i="80"/>
  <c r="AQ8" i="80"/>
  <c r="AQ9" i="80" s="1"/>
  <c r="AQ10" i="80" s="1"/>
  <c r="BZ57" i="60"/>
  <c r="BN59" i="60"/>
  <c r="BN115" i="60" s="1"/>
  <c r="BN55" i="60"/>
  <c r="BN107" i="60" s="1"/>
  <c r="R28" i="80"/>
  <c r="R56" i="80"/>
  <c r="AP7" i="80"/>
  <c r="AP8" i="80"/>
  <c r="AP9" i="80" s="1"/>
  <c r="AP10" i="80" s="1"/>
  <c r="K28" i="80"/>
  <c r="K56" i="80"/>
  <c r="AU6" i="80"/>
  <c r="CH57" i="60"/>
  <c r="BV59" i="60"/>
  <c r="BV115" i="60" s="1"/>
  <c r="BV55" i="60"/>
  <c r="BV107" i="60" s="1"/>
  <c r="AK7" i="80"/>
  <c r="AK8" i="80"/>
  <c r="AK9" i="80" s="1"/>
  <c r="AK10" i="80" s="1"/>
  <c r="CF57" i="60"/>
  <c r="BT59" i="60"/>
  <c r="BT115" i="60" s="1"/>
  <c r="BT55" i="60"/>
  <c r="BT107" i="60" s="1"/>
  <c r="N56" i="80"/>
  <c r="N28" i="80"/>
  <c r="CE57" i="60"/>
  <c r="BS59" i="60"/>
  <c r="BS115" i="60" s="1"/>
  <c r="BS55" i="60"/>
  <c r="BS107" i="60" s="1"/>
  <c r="AI7" i="80"/>
  <c r="AI8" i="80"/>
  <c r="AI9" i="80" s="1"/>
  <c r="AI10" i="80" s="1"/>
  <c r="AM7" i="80"/>
  <c r="AM8" i="80"/>
  <c r="AM9" i="80" s="1"/>
  <c r="AM10" i="80" s="1"/>
  <c r="AB8" i="80"/>
  <c r="AB9" i="80" s="1"/>
  <c r="AB10" i="80" s="1"/>
  <c r="AB7" i="80"/>
  <c r="P43" i="44"/>
  <c r="W7" i="80"/>
  <c r="W8" i="80"/>
  <c r="W9" i="80" s="1"/>
  <c r="W10" i="80" s="1"/>
  <c r="AD28" i="80"/>
  <c r="AD56" i="80"/>
  <c r="K43" i="44"/>
  <c r="J46" i="44"/>
  <c r="M43" i="44"/>
  <c r="Y7" i="80"/>
  <c r="Y8" i="80"/>
  <c r="Y9" i="80" s="1"/>
  <c r="Y10" i="80" s="1"/>
  <c r="BR59" i="60"/>
  <c r="BR115" i="60" s="1"/>
  <c r="CD57" i="60"/>
  <c r="BR55" i="60"/>
  <c r="BR107" i="60" s="1"/>
  <c r="AV6" i="80"/>
  <c r="CA57" i="60"/>
  <c r="BO59" i="60"/>
  <c r="BO115" i="60" s="1"/>
  <c r="BO55" i="60"/>
  <c r="BO107" i="60" s="1"/>
  <c r="AG6" i="80"/>
  <c r="I46" i="44"/>
  <c r="L43" i="44"/>
  <c r="P28" i="80"/>
  <c r="P56" i="80"/>
  <c r="O56" i="80"/>
  <c r="O28" i="80"/>
  <c r="AI21" i="78"/>
  <c r="AI27" i="78" s="1"/>
  <c r="AI25" i="78"/>
  <c r="Z8" i="80"/>
  <c r="Z9" i="80" s="1"/>
  <c r="Z10" i="80" s="1"/>
  <c r="Z7" i="80"/>
  <c r="H28" i="80"/>
  <c r="H56" i="80"/>
  <c r="M56" i="80"/>
  <c r="M28" i="80"/>
  <c r="AF8" i="80"/>
  <c r="AF9" i="80" s="1"/>
  <c r="AF10" i="80" s="1"/>
  <c r="AF7" i="80"/>
  <c r="CB57" i="60"/>
  <c r="BP59" i="60"/>
  <c r="BP115" i="60" s="1"/>
  <c r="BP55" i="60"/>
  <c r="BP107" i="60" s="1"/>
  <c r="AR6" i="80"/>
  <c r="V8" i="80"/>
  <c r="V9" i="80" s="1"/>
  <c r="V10" i="80" s="1"/>
  <c r="V7" i="80"/>
  <c r="BA115" i="60"/>
  <c r="CI57" i="60"/>
  <c r="BW59" i="60"/>
  <c r="BW115" i="60" s="1"/>
  <c r="BW55" i="60"/>
  <c r="BW107" i="60" s="1"/>
  <c r="AO7" i="80"/>
  <c r="AO8" i="80"/>
  <c r="AO9" i="80" s="1"/>
  <c r="AO10" i="80" s="1"/>
  <c r="AC28" i="80"/>
  <c r="AC56" i="80"/>
  <c r="AA7" i="80"/>
  <c r="AA8" i="80"/>
  <c r="AA9" i="80" s="1"/>
  <c r="AA10" i="80" s="1"/>
  <c r="BA6" i="80"/>
  <c r="S56" i="80"/>
  <c r="S28" i="80"/>
  <c r="T8" i="80"/>
  <c r="T9" i="80" s="1"/>
  <c r="T10" i="80" s="1"/>
  <c r="T7" i="80"/>
  <c r="AJ8" i="80"/>
  <c r="AJ9" i="80" s="1"/>
  <c r="AJ10" i="80" s="1"/>
  <c r="AJ7" i="80"/>
  <c r="X8" i="80"/>
  <c r="X9" i="80" s="1"/>
  <c r="X10" i="80" s="1"/>
  <c r="X7" i="80"/>
  <c r="AN8" i="80"/>
  <c r="AN9" i="80" s="1"/>
  <c r="AN10" i="80" s="1"/>
  <c r="AN7" i="80"/>
  <c r="Q28" i="80"/>
  <c r="Q56" i="80"/>
  <c r="AW6" i="80"/>
  <c r="AT6" i="80"/>
  <c r="U8" i="80"/>
  <c r="U9" i="80" s="1"/>
  <c r="U10" i="80" s="1"/>
  <c r="U7" i="80"/>
  <c r="AE28" i="80"/>
  <c r="AE56" i="80"/>
  <c r="BB6" i="80"/>
  <c r="BX57" i="60"/>
  <c r="BL59" i="60"/>
  <c r="BL115" i="60" s="1"/>
  <c r="BL55" i="60"/>
  <c r="BL107" i="60" s="1"/>
  <c r="BY57" i="60"/>
  <c r="BM59" i="60"/>
  <c r="BM55" i="60"/>
  <c r="BM107" i="60" s="1"/>
  <c r="AZ6" i="80"/>
  <c r="BC6" i="80"/>
  <c r="AH8" i="80"/>
  <c r="AH9" i="80" s="1"/>
  <c r="AH10" i="80" s="1"/>
  <c r="AH7" i="80"/>
  <c r="AY6" i="80"/>
  <c r="C38" i="61"/>
  <c r="P108" i="65"/>
  <c r="BU59" i="60"/>
  <c r="BU115" i="60" s="1"/>
  <c r="CG57" i="60"/>
  <c r="BU55" i="60"/>
  <c r="BU107" i="60" s="1"/>
  <c r="L28" i="80"/>
  <c r="L56" i="80"/>
  <c r="AL7" i="80"/>
  <c r="AL8" i="80"/>
  <c r="AL9" i="80" s="1"/>
  <c r="AL10" i="80" s="1"/>
  <c r="I28" i="80"/>
  <c r="I56" i="80"/>
  <c r="J28" i="80"/>
  <c r="J56" i="80"/>
  <c r="F76" i="44"/>
  <c r="H76" i="44"/>
  <c r="AK21" i="78" l="1"/>
  <c r="AK27" i="78" s="1"/>
  <c r="D60" i="44"/>
  <c r="M46" i="44"/>
  <c r="S43" i="44" s="1"/>
  <c r="T43" i="44" s="1"/>
  <c r="U43" i="44" s="1"/>
  <c r="V43" i="44" s="1"/>
  <c r="O43" i="44"/>
  <c r="N69" i="80"/>
  <c r="N67" i="80"/>
  <c r="N62" i="80"/>
  <c r="CH59" i="60"/>
  <c r="CH115" i="60" s="1"/>
  <c r="CH55" i="60"/>
  <c r="CH107" i="60" s="1"/>
  <c r="R69" i="80"/>
  <c r="R67" i="80"/>
  <c r="R62" i="80"/>
  <c r="BZ59" i="60"/>
  <c r="BZ115" i="60" s="1"/>
  <c r="BZ55" i="60"/>
  <c r="BZ107" i="60" s="1"/>
  <c r="L62" i="80"/>
  <c r="L67" i="80"/>
  <c r="L69" i="80"/>
  <c r="BM6" i="80"/>
  <c r="AH56" i="80"/>
  <c r="AH28" i="80"/>
  <c r="AZ7" i="80"/>
  <c r="AZ8" i="80"/>
  <c r="AZ9" i="80" s="1"/>
  <c r="AZ10" i="80" s="1"/>
  <c r="BB8" i="80"/>
  <c r="BB9" i="80" s="1"/>
  <c r="BB10" i="80" s="1"/>
  <c r="BB7" i="80"/>
  <c r="AN56" i="80"/>
  <c r="AN28" i="80"/>
  <c r="AJ28" i="80"/>
  <c r="AJ56" i="80"/>
  <c r="S69" i="80"/>
  <c r="S67" i="80"/>
  <c r="S62" i="80"/>
  <c r="BO6" i="80"/>
  <c r="BH6" i="80"/>
  <c r="H69" i="80"/>
  <c r="H62" i="80"/>
  <c r="H67" i="80"/>
  <c r="P67" i="80"/>
  <c r="P62" i="80"/>
  <c r="P69" i="80"/>
  <c r="BG6" i="80"/>
  <c r="Y28" i="80"/>
  <c r="Y56" i="80"/>
  <c r="AB28" i="80"/>
  <c r="AB56" i="80"/>
  <c r="AI56" i="80"/>
  <c r="AI28" i="80"/>
  <c r="CE59" i="60"/>
  <c r="CE115" i="60" s="1"/>
  <c r="CE55" i="60"/>
  <c r="CE107" i="60" s="1"/>
  <c r="BL6" i="80"/>
  <c r="AU7" i="80"/>
  <c r="AU8" i="80"/>
  <c r="AU9" i="80" s="1"/>
  <c r="AU10" i="80" s="1"/>
  <c r="AP56" i="80"/>
  <c r="AP28" i="80"/>
  <c r="BI6" i="80"/>
  <c r="BC7" i="80"/>
  <c r="BC8" i="80"/>
  <c r="BC9" i="80" s="1"/>
  <c r="BC10" i="80" s="1"/>
  <c r="AE67" i="80"/>
  <c r="AE69" i="80"/>
  <c r="AE62" i="80"/>
  <c r="T28" i="80"/>
  <c r="T56" i="80"/>
  <c r="BA7" i="80"/>
  <c r="BA8" i="80"/>
  <c r="BA9" i="80" s="1"/>
  <c r="BA10" i="80" s="1"/>
  <c r="N43" i="44"/>
  <c r="C60" i="44"/>
  <c r="L46" i="44"/>
  <c r="L54" i="44" s="1"/>
  <c r="R73" i="44"/>
  <c r="J62" i="80"/>
  <c r="J67" i="80"/>
  <c r="J69" i="80"/>
  <c r="AL28" i="80"/>
  <c r="AL56" i="80"/>
  <c r="BD6" i="80"/>
  <c r="U56" i="80"/>
  <c r="U28" i="80"/>
  <c r="Q62" i="80"/>
  <c r="Q67" i="80"/>
  <c r="Q69" i="80"/>
  <c r="AO56" i="80"/>
  <c r="AO28" i="80"/>
  <c r="CI59" i="60"/>
  <c r="CI115" i="60" s="1"/>
  <c r="CI55" i="60"/>
  <c r="CI107" i="60" s="1"/>
  <c r="AS6" i="80"/>
  <c r="AR7" i="80"/>
  <c r="AR8" i="80"/>
  <c r="AR9" i="80" s="1"/>
  <c r="AR10" i="80" s="1"/>
  <c r="CB59" i="60"/>
  <c r="CB115" i="60" s="1"/>
  <c r="CB55" i="60"/>
  <c r="CB107" i="60" s="1"/>
  <c r="CA59" i="60"/>
  <c r="CA115" i="60" s="1"/>
  <c r="CA55" i="60"/>
  <c r="CA107" i="60" s="1"/>
  <c r="CD59" i="60"/>
  <c r="CD115" i="60" s="1"/>
  <c r="CD55" i="60"/>
  <c r="CD107" i="60" s="1"/>
  <c r="AD62" i="80"/>
  <c r="AD67" i="80"/>
  <c r="AD69" i="80"/>
  <c r="AM28" i="80"/>
  <c r="AM56" i="80"/>
  <c r="CF59" i="60"/>
  <c r="CF115" i="60" s="1"/>
  <c r="CF55" i="60"/>
  <c r="CF107" i="60" s="1"/>
  <c r="BN6" i="80"/>
  <c r="BF6" i="80"/>
  <c r="CC59" i="60"/>
  <c r="CC115" i="60" s="1"/>
  <c r="CC55" i="60"/>
  <c r="CC107" i="60" s="1"/>
  <c r="AY8" i="80"/>
  <c r="AY9" i="80" s="1"/>
  <c r="AY10" i="80" s="1"/>
  <c r="AY7" i="80"/>
  <c r="BM115" i="60"/>
  <c r="BX59" i="60"/>
  <c r="BX115" i="60" s="1"/>
  <c r="BX55" i="60"/>
  <c r="BX107" i="60" s="1"/>
  <c r="AW8" i="80"/>
  <c r="AW9" i="80" s="1"/>
  <c r="AW10" i="80" s="1"/>
  <c r="AW7" i="80"/>
  <c r="X28" i="80"/>
  <c r="X56" i="80"/>
  <c r="AC67" i="80"/>
  <c r="AC69" i="80"/>
  <c r="AC62" i="80"/>
  <c r="M69" i="80"/>
  <c r="M62" i="80"/>
  <c r="M67" i="80"/>
  <c r="AG7" i="80"/>
  <c r="AG8" i="80"/>
  <c r="AG9" i="80" s="1"/>
  <c r="AG10" i="80" s="1"/>
  <c r="BJ6" i="80"/>
  <c r="AK28" i="80"/>
  <c r="AK56" i="80"/>
  <c r="K69" i="80"/>
  <c r="K62" i="80"/>
  <c r="K67" i="80"/>
  <c r="AX8" i="80"/>
  <c r="AX9" i="80" s="1"/>
  <c r="AX10" i="80" s="1"/>
  <c r="AX7" i="80"/>
  <c r="I67" i="80"/>
  <c r="I62" i="80"/>
  <c r="I69" i="80"/>
  <c r="CG59" i="60"/>
  <c r="CG115" i="60" s="1"/>
  <c r="CG55" i="60"/>
  <c r="CG107" i="60" s="1"/>
  <c r="F38" i="61"/>
  <c r="F54" i="61" s="1"/>
  <c r="C54" i="61"/>
  <c r="C59" i="61" s="1"/>
  <c r="BY59" i="60"/>
  <c r="BY115" i="60" s="1"/>
  <c r="BY55" i="60"/>
  <c r="BY107" i="60" s="1"/>
  <c r="AT7" i="80"/>
  <c r="AT8" i="80"/>
  <c r="AT9" i="80" s="1"/>
  <c r="AT10" i="80" s="1"/>
  <c r="AA56" i="80"/>
  <c r="AA28" i="80"/>
  <c r="V56" i="80"/>
  <c r="V28" i="80"/>
  <c r="AF56" i="80"/>
  <c r="AF28" i="80"/>
  <c r="Z28" i="80"/>
  <c r="Z56" i="80"/>
  <c r="O67" i="80"/>
  <c r="O62" i="80"/>
  <c r="O69" i="80"/>
  <c r="AV7" i="80"/>
  <c r="AV8" i="80"/>
  <c r="AV9" i="80" s="1"/>
  <c r="AV10" i="80" s="1"/>
  <c r="K46" i="44"/>
  <c r="W28" i="80"/>
  <c r="W56" i="80"/>
  <c r="AJ21" i="78"/>
  <c r="AJ27" i="78" s="1"/>
  <c r="AJ25" i="78"/>
  <c r="BK6" i="80"/>
  <c r="AQ28" i="80"/>
  <c r="AQ56" i="80"/>
  <c r="I65" i="80" l="1"/>
  <c r="I72" i="80" s="1"/>
  <c r="Z43" i="80"/>
  <c r="AK25" i="78"/>
  <c r="AL21" i="78"/>
  <c r="AL27" i="78" s="1"/>
  <c r="AV28" i="80"/>
  <c r="AV56" i="80"/>
  <c r="V67" i="80"/>
  <c r="V62" i="80"/>
  <c r="V69" i="80"/>
  <c r="BZ6" i="80"/>
  <c r="BQ6" i="80"/>
  <c r="CC6" i="80" s="1"/>
  <c r="BJ8" i="80"/>
  <c r="BJ9" i="80" s="1"/>
  <c r="BJ10" i="80" s="1"/>
  <c r="BJ7" i="80"/>
  <c r="AW56" i="80"/>
  <c r="AW28" i="80"/>
  <c r="BF8" i="80"/>
  <c r="BF9" i="80" s="1"/>
  <c r="BF10" i="80" s="1"/>
  <c r="BF7" i="80"/>
  <c r="BX6" i="80"/>
  <c r="BT6" i="80"/>
  <c r="AS7" i="80"/>
  <c r="AS8" i="80"/>
  <c r="AS9" i="80" s="1"/>
  <c r="AS10" i="80" s="1"/>
  <c r="AO69" i="80"/>
  <c r="AO67" i="80"/>
  <c r="AO62" i="80"/>
  <c r="BD8" i="80"/>
  <c r="BD9" i="80" s="1"/>
  <c r="BD10" i="80" s="1"/>
  <c r="BD7" i="80"/>
  <c r="BC28" i="80"/>
  <c r="BC56" i="80"/>
  <c r="AB69" i="80"/>
  <c r="AB67" i="80"/>
  <c r="AB62" i="80"/>
  <c r="BO7" i="80"/>
  <c r="BO8" i="80"/>
  <c r="BO9" i="80" s="1"/>
  <c r="BO10" i="80" s="1"/>
  <c r="AJ67" i="80"/>
  <c r="AJ62" i="80"/>
  <c r="AJ69" i="80"/>
  <c r="AZ28" i="80"/>
  <c r="AZ56" i="80"/>
  <c r="AY56" i="80"/>
  <c r="AY28" i="80"/>
  <c r="BV6" i="80"/>
  <c r="AD39" i="44"/>
  <c r="N46" i="44"/>
  <c r="N54" i="44" s="1"/>
  <c r="T62" i="80"/>
  <c r="T69" i="80"/>
  <c r="T67" i="80"/>
  <c r="BI7" i="80"/>
  <c r="BI8" i="80"/>
  <c r="BI9" i="80" s="1"/>
  <c r="BI10" i="80" s="1"/>
  <c r="AU56" i="80"/>
  <c r="AU28" i="80"/>
  <c r="BL7" i="80"/>
  <c r="BL8" i="80"/>
  <c r="BL9" i="80" s="1"/>
  <c r="BL10" i="80" s="1"/>
  <c r="AI67" i="80"/>
  <c r="AI62" i="80"/>
  <c r="AI69" i="80"/>
  <c r="AN69" i="80"/>
  <c r="AN67" i="80"/>
  <c r="AN62" i="80"/>
  <c r="AH67" i="80"/>
  <c r="AH69" i="80"/>
  <c r="AH62" i="80"/>
  <c r="AF62" i="80"/>
  <c r="AF69" i="80"/>
  <c r="AF67" i="80"/>
  <c r="AA67" i="80"/>
  <c r="AA62" i="80"/>
  <c r="AA69" i="80"/>
  <c r="BY6" i="80"/>
  <c r="W69" i="80"/>
  <c r="W62" i="80"/>
  <c r="W67" i="80"/>
  <c r="H65" i="80"/>
  <c r="H72" i="80" s="1"/>
  <c r="Z62" i="80"/>
  <c r="Z67" i="80"/>
  <c r="Z69" i="80"/>
  <c r="AT56" i="80"/>
  <c r="AT28" i="80"/>
  <c r="AX28" i="80"/>
  <c r="AX56" i="80"/>
  <c r="AK69" i="80"/>
  <c r="AK62" i="80"/>
  <c r="AK67" i="80"/>
  <c r="AG56" i="80"/>
  <c r="AG28" i="80"/>
  <c r="X69" i="80"/>
  <c r="X67" i="80"/>
  <c r="X62" i="80"/>
  <c r="BE6" i="80"/>
  <c r="AM67" i="80"/>
  <c r="AM69" i="80"/>
  <c r="AM62" i="80"/>
  <c r="BS6" i="80"/>
  <c r="AR28" i="80"/>
  <c r="AR56" i="80"/>
  <c r="O46" i="44"/>
  <c r="R76" i="44"/>
  <c r="BA56" i="80"/>
  <c r="BA28" i="80"/>
  <c r="BW6" i="80"/>
  <c r="BB56" i="80"/>
  <c r="BB28" i="80"/>
  <c r="BM7" i="80"/>
  <c r="BM8" i="80"/>
  <c r="BM9" i="80" s="1"/>
  <c r="BM10" i="80" s="1"/>
  <c r="S41" i="44"/>
  <c r="T41" i="44" s="1"/>
  <c r="U41" i="44" s="1"/>
  <c r="V41" i="44" s="1"/>
  <c r="S45" i="44"/>
  <c r="T45" i="44" s="1"/>
  <c r="S39" i="44"/>
  <c r="T39" i="44" s="1"/>
  <c r="U39" i="44" s="1"/>
  <c r="V39" i="44" s="1"/>
  <c r="S42" i="44"/>
  <c r="T42" i="44" s="1"/>
  <c r="U42" i="44" s="1"/>
  <c r="V42" i="44" s="1"/>
  <c r="S44" i="44"/>
  <c r="T44" i="44" s="1"/>
  <c r="S40" i="44"/>
  <c r="T40" i="44" s="1"/>
  <c r="U40" i="44" s="1"/>
  <c r="V40" i="44" s="1"/>
  <c r="AQ67" i="80"/>
  <c r="AQ69" i="80"/>
  <c r="AQ62" i="80"/>
  <c r="BK7" i="80"/>
  <c r="BK8" i="80"/>
  <c r="BK9" i="80" s="1"/>
  <c r="BK10" i="80" s="1"/>
  <c r="H54" i="61"/>
  <c r="F59" i="61"/>
  <c r="H63" i="61" s="1"/>
  <c r="BP6" i="80"/>
  <c r="CB6" i="80" s="1"/>
  <c r="BU6" i="80"/>
  <c r="BN7" i="80"/>
  <c r="BN8" i="80"/>
  <c r="BN9" i="80" s="1"/>
  <c r="BN10" i="80" s="1"/>
  <c r="CA6" i="80"/>
  <c r="U62" i="80"/>
  <c r="U67" i="80"/>
  <c r="U69" i="80"/>
  <c r="AL62" i="80"/>
  <c r="AL69" i="80"/>
  <c r="AL67" i="80"/>
  <c r="AP67" i="80"/>
  <c r="AP69" i="80"/>
  <c r="AP62" i="80"/>
  <c r="Y67" i="80"/>
  <c r="Y69" i="80"/>
  <c r="Y62" i="80"/>
  <c r="BG7" i="80"/>
  <c r="BG8" i="80"/>
  <c r="BG9" i="80" s="1"/>
  <c r="BG10" i="80" s="1"/>
  <c r="BH7" i="80"/>
  <c r="BH8" i="80"/>
  <c r="BH9" i="80" s="1"/>
  <c r="BH10" i="80" s="1"/>
  <c r="BR6" i="80"/>
  <c r="CD6" i="80" s="1"/>
  <c r="Z51" i="80" l="1"/>
  <c r="CC7" i="80"/>
  <c r="CC8" i="80"/>
  <c r="CC9" i="80" s="1"/>
  <c r="CC10" i="80" s="1"/>
  <c r="CD7" i="80"/>
  <c r="CD8" i="80"/>
  <c r="CD9" i="80" s="1"/>
  <c r="CD10" i="80" s="1"/>
  <c r="CB7" i="80"/>
  <c r="CB8" i="80"/>
  <c r="CB9" i="80" s="1"/>
  <c r="CB10" i="80" s="1"/>
  <c r="AL25" i="78"/>
  <c r="BG56" i="80"/>
  <c r="BG28" i="80"/>
  <c r="AR69" i="80"/>
  <c r="AR67" i="80"/>
  <c r="AR62" i="80"/>
  <c r="BY8" i="80"/>
  <c r="BY9" i="80" s="1"/>
  <c r="BY10" i="80" s="1"/>
  <c r="BY7" i="80"/>
  <c r="BL56" i="80"/>
  <c r="BL28" i="80"/>
  <c r="BH56" i="80"/>
  <c r="BH28" i="80"/>
  <c r="BN56" i="80"/>
  <c r="BN28" i="80"/>
  <c r="BK28" i="80"/>
  <c r="BK56" i="80"/>
  <c r="BM28" i="80"/>
  <c r="BM56" i="80"/>
  <c r="AZ67" i="80"/>
  <c r="AZ69" i="80"/>
  <c r="AZ62" i="80"/>
  <c r="BX8" i="80"/>
  <c r="BX9" i="80" s="1"/>
  <c r="BX10" i="80" s="1"/>
  <c r="BX7" i="80"/>
  <c r="AW67" i="80"/>
  <c r="AW62" i="80"/>
  <c r="AW69" i="80"/>
  <c r="BQ8" i="80"/>
  <c r="BQ9" i="80" s="1"/>
  <c r="BQ10" i="80" s="1"/>
  <c r="BQ7" i="80"/>
  <c r="AV62" i="80"/>
  <c r="AV67" i="80"/>
  <c r="AV69" i="80"/>
  <c r="AT69" i="80"/>
  <c r="AT67" i="80"/>
  <c r="AT62" i="80"/>
  <c r="AU67" i="80"/>
  <c r="AU69" i="80"/>
  <c r="AU62" i="80"/>
  <c r="AY69" i="80"/>
  <c r="AY67" i="80"/>
  <c r="AY62" i="80"/>
  <c r="BO28" i="80"/>
  <c r="BO56" i="80"/>
  <c r="BT8" i="80"/>
  <c r="BT9" i="80" s="1"/>
  <c r="BT10" i="80" s="1"/>
  <c r="BT7" i="80"/>
  <c r="CA7" i="80"/>
  <c r="CA8" i="80"/>
  <c r="CA9" i="80" s="1"/>
  <c r="CA10" i="80" s="1"/>
  <c r="BP7" i="80"/>
  <c r="BP8" i="80"/>
  <c r="BP9" i="80" s="1"/>
  <c r="BP10" i="80" s="1"/>
  <c r="BW8" i="80"/>
  <c r="BW9" i="80" s="1"/>
  <c r="BW10" i="80" s="1"/>
  <c r="BW7" i="80"/>
  <c r="BS7" i="80"/>
  <c r="BS8" i="80"/>
  <c r="BS9" i="80" s="1"/>
  <c r="BS10" i="80" s="1"/>
  <c r="BR7" i="80"/>
  <c r="BR8" i="80"/>
  <c r="BR9" i="80" s="1"/>
  <c r="BR10" i="80" s="1"/>
  <c r="U44" i="44"/>
  <c r="V44" i="44" s="1"/>
  <c r="AG62" i="80"/>
  <c r="AG69" i="80"/>
  <c r="AG67" i="80"/>
  <c r="AX67" i="80"/>
  <c r="AX62" i="80"/>
  <c r="AX69" i="80"/>
  <c r="BI56" i="80"/>
  <c r="BI28" i="80"/>
  <c r="BV7" i="80"/>
  <c r="BV8" i="80"/>
  <c r="BV9" i="80" s="1"/>
  <c r="BV10" i="80" s="1"/>
  <c r="BD28" i="80"/>
  <c r="BD56" i="80"/>
  <c r="AS56" i="80"/>
  <c r="AS28" i="80"/>
  <c r="BF28" i="80"/>
  <c r="BF56" i="80"/>
  <c r="BJ56" i="80"/>
  <c r="BJ28" i="80"/>
  <c r="BZ8" i="80"/>
  <c r="BZ9" i="80" s="1"/>
  <c r="BZ10" i="80" s="1"/>
  <c r="BZ7" i="80"/>
  <c r="BU8" i="80"/>
  <c r="BU9" i="80" s="1"/>
  <c r="BU10" i="80" s="1"/>
  <c r="BU7" i="80"/>
  <c r="BB62" i="80"/>
  <c r="BB67" i="80"/>
  <c r="BB69" i="80"/>
  <c r="BA62" i="80"/>
  <c r="BA69" i="80"/>
  <c r="BA67" i="80"/>
  <c r="BE8" i="80"/>
  <c r="BE9" i="80" s="1"/>
  <c r="BE10" i="80" s="1"/>
  <c r="BE7" i="80"/>
  <c r="BC62" i="80"/>
  <c r="BC67" i="80"/>
  <c r="BC69" i="80"/>
  <c r="AC32" i="72" l="1"/>
  <c r="CC28" i="80"/>
  <c r="CC56" i="80"/>
  <c r="CD28" i="80"/>
  <c r="CD56" i="80"/>
  <c r="CB56" i="80"/>
  <c r="CB28" i="80"/>
  <c r="BV28" i="80"/>
  <c r="BV56" i="80"/>
  <c r="BU56" i="80"/>
  <c r="BU28" i="80"/>
  <c r="BJ62" i="80"/>
  <c r="BJ69" i="80"/>
  <c r="BJ67" i="80"/>
  <c r="AS67" i="80"/>
  <c r="AS62" i="80"/>
  <c r="AS69" i="80"/>
  <c r="BR56" i="80"/>
  <c r="BR28" i="80"/>
  <c r="CA56" i="80"/>
  <c r="CA28" i="80"/>
  <c r="BT28" i="80"/>
  <c r="BT56" i="80"/>
  <c r="BM67" i="80"/>
  <c r="BM62" i="80"/>
  <c r="BM69" i="80"/>
  <c r="BH62" i="80"/>
  <c r="BH67" i="80"/>
  <c r="BH69" i="80"/>
  <c r="BE56" i="80"/>
  <c r="BE28" i="80"/>
  <c r="BF67" i="80"/>
  <c r="BF62" i="80"/>
  <c r="BF69" i="80"/>
  <c r="BD69" i="80"/>
  <c r="BD62" i="80"/>
  <c r="BD67" i="80"/>
  <c r="BW56" i="80"/>
  <c r="BW28" i="80"/>
  <c r="BO67" i="80"/>
  <c r="BO69" i="80"/>
  <c r="BO62" i="80"/>
  <c r="BQ28" i="80"/>
  <c r="BQ56" i="80"/>
  <c r="BN62" i="80"/>
  <c r="BN69" i="80"/>
  <c r="BN67" i="80"/>
  <c r="BL69" i="80"/>
  <c r="BL62" i="80"/>
  <c r="BL67" i="80"/>
  <c r="BY28" i="80"/>
  <c r="BY56" i="80"/>
  <c r="BZ56" i="80"/>
  <c r="BZ28" i="80"/>
  <c r="BI62" i="80"/>
  <c r="BI67" i="80"/>
  <c r="BI69" i="80"/>
  <c r="BS56" i="80"/>
  <c r="BS28" i="80"/>
  <c r="BP28" i="80"/>
  <c r="BP56" i="80"/>
  <c r="BX28" i="80"/>
  <c r="BX56" i="80"/>
  <c r="BK69" i="80"/>
  <c r="BK67" i="80"/>
  <c r="BK62" i="80"/>
  <c r="BG69" i="80"/>
  <c r="BG67" i="80"/>
  <c r="BG62" i="80"/>
  <c r="CC62" i="80" l="1"/>
  <c r="CC67" i="80"/>
  <c r="CC69" i="80"/>
  <c r="CB67" i="80"/>
  <c r="CB62" i="80"/>
  <c r="CB69" i="80"/>
  <c r="CC77" i="80"/>
  <c r="CD67" i="80"/>
  <c r="CD62" i="80"/>
  <c r="CD69" i="80"/>
  <c r="AA43" i="80"/>
  <c r="BW62" i="80"/>
  <c r="BW67" i="80"/>
  <c r="BW69" i="80"/>
  <c r="CA67" i="80"/>
  <c r="CA69" i="80"/>
  <c r="CA62" i="80"/>
  <c r="BX67" i="80"/>
  <c r="BX69" i="80"/>
  <c r="BX62" i="80"/>
  <c r="BQ67" i="80"/>
  <c r="BQ69" i="80"/>
  <c r="BQ62" i="80"/>
  <c r="BT69" i="80"/>
  <c r="BT62" i="80"/>
  <c r="BT67" i="80"/>
  <c r="BP62" i="80"/>
  <c r="BP69" i="80"/>
  <c r="BP67" i="80"/>
  <c r="BV62" i="80"/>
  <c r="BV67" i="80"/>
  <c r="BV69" i="80"/>
  <c r="BY67" i="80"/>
  <c r="BY62" i="80"/>
  <c r="BY69" i="80"/>
  <c r="BS69" i="80"/>
  <c r="BS67" i="80"/>
  <c r="BS62" i="80"/>
  <c r="BZ67" i="80"/>
  <c r="BZ69" i="80"/>
  <c r="BZ62" i="80"/>
  <c r="BE62" i="80"/>
  <c r="BE67" i="80"/>
  <c r="BE69" i="80"/>
  <c r="BR67" i="80"/>
  <c r="BR62" i="80"/>
  <c r="BR69" i="80"/>
  <c r="BU69" i="80"/>
  <c r="BU67" i="80"/>
  <c r="BU62" i="80"/>
  <c r="AA51" i="80" l="1"/>
  <c r="CC78" i="80"/>
  <c r="AB43" i="80"/>
  <c r="T18" i="60"/>
  <c r="T26" i="60"/>
  <c r="T60" i="60"/>
  <c r="T61" i="60" s="1"/>
  <c r="T53" i="60"/>
  <c r="AB51" i="80" l="1"/>
  <c r="AD32" i="72"/>
  <c r="CD80" i="80"/>
  <c r="CD65" i="80" s="1"/>
  <c r="AC43" i="80"/>
  <c r="AC51" i="80" s="1"/>
  <c r="M11" i="72"/>
  <c r="T27" i="60"/>
  <c r="T35" i="60"/>
  <c r="AE32" i="72" l="1"/>
  <c r="AF36" i="72" s="1"/>
  <c r="AD43" i="80"/>
  <c r="AD51" i="80" s="1"/>
  <c r="T36" i="60"/>
  <c r="T44" i="60"/>
  <c r="T45" i="60" s="1"/>
  <c r="M12" i="72"/>
  <c r="AE43" i="80" l="1"/>
  <c r="AE51" i="80" s="1"/>
  <c r="M14" i="72"/>
  <c r="M68" i="72" s="1"/>
  <c r="T108" i="60"/>
  <c r="T102" i="60" s="1"/>
  <c r="U57" i="64"/>
  <c r="M13" i="72"/>
  <c r="U99" i="60" l="1"/>
  <c r="U58" i="64"/>
  <c r="AF43" i="80"/>
  <c r="AF51" i="80" s="1"/>
  <c r="M25" i="72"/>
  <c r="M15" i="72"/>
  <c r="AG43" i="80" l="1"/>
  <c r="M18" i="72"/>
  <c r="M22" i="72" s="1"/>
  <c r="T101" i="60"/>
  <c r="AG44" i="80" l="1"/>
  <c r="AK42" i="80" s="1"/>
  <c r="AK70" i="80" s="1"/>
  <c r="AG51" i="80"/>
  <c r="T103" i="60"/>
  <c r="Q66" i="72"/>
  <c r="M23" i="72"/>
  <c r="N18" i="72"/>
  <c r="U101" i="60"/>
  <c r="AI42" i="80" l="1"/>
  <c r="AI70" i="80" s="1"/>
  <c r="AL42" i="80"/>
  <c r="AL70" i="80" s="1"/>
  <c r="AJ42" i="80"/>
  <c r="AJ70" i="80" s="1"/>
  <c r="AH42" i="80"/>
  <c r="AH70" i="80" s="1"/>
  <c r="O18" i="72"/>
  <c r="N22" i="72"/>
  <c r="M28" i="72"/>
  <c r="R66" i="72"/>
  <c r="AH43" i="80" l="1"/>
  <c r="M67" i="72"/>
  <c r="O22" i="72"/>
  <c r="AI43" i="80" l="1"/>
  <c r="AH51" i="80"/>
  <c r="AI51" i="80" l="1"/>
  <c r="AJ43" i="80"/>
  <c r="AJ51" i="80" l="1"/>
  <c r="AK43" i="80"/>
  <c r="AK51" i="80" l="1"/>
  <c r="AL43" i="80"/>
  <c r="AL51" i="80" s="1"/>
  <c r="AM43" i="80" l="1"/>
  <c r="AM51" i="80" s="1"/>
  <c r="AN43" i="80" l="1"/>
  <c r="AN51" i="80" s="1"/>
  <c r="AO43" i="80" l="1"/>
  <c r="AO51" i="80" s="1"/>
  <c r="AP43" i="80" l="1"/>
  <c r="AP51" i="80" s="1"/>
  <c r="AQ43" i="80" l="1"/>
  <c r="AQ51" i="80" s="1"/>
  <c r="AR43" i="80" l="1"/>
  <c r="AR51" i="80" s="1"/>
  <c r="AS43" i="80" l="1"/>
  <c r="AS44" i="80" l="1"/>
  <c r="AX42" i="80" s="1"/>
  <c r="AX70" i="80" s="1"/>
  <c r="AS51" i="80"/>
  <c r="AV42" i="80" l="1"/>
  <c r="AV70" i="80" s="1"/>
  <c r="AU42" i="80"/>
  <c r="AU70" i="80" s="1"/>
  <c r="AW42" i="80"/>
  <c r="AW70" i="80" s="1"/>
  <c r="AT42" i="80"/>
  <c r="AT70" i="80" s="1"/>
  <c r="AT43" i="80" l="1"/>
  <c r="AT51" i="80" s="1"/>
  <c r="AU43" i="80" l="1"/>
  <c r="AU51" i="80" s="1"/>
  <c r="AV43" i="80" l="1"/>
  <c r="AV51" i="80" s="1"/>
  <c r="AW43" i="80" l="1"/>
  <c r="AW51" i="80" l="1"/>
  <c r="AX43" i="80"/>
  <c r="AX51" i="80" l="1"/>
  <c r="AY43" i="80"/>
  <c r="AY51" i="80" l="1"/>
  <c r="AZ43" i="80"/>
  <c r="AZ51" i="80" l="1"/>
  <c r="BA43" i="80"/>
  <c r="BA51" i="80" l="1"/>
  <c r="BB43" i="80"/>
  <c r="BB51" i="80" l="1"/>
  <c r="BC43" i="80"/>
  <c r="BC51" i="80" l="1"/>
  <c r="BD43" i="80"/>
  <c r="BD51" i="80" l="1"/>
  <c r="BE43" i="80"/>
  <c r="BE44" i="80" l="1"/>
  <c r="BE51" i="80"/>
  <c r="BF42" i="80" l="1"/>
  <c r="BJ42" i="80"/>
  <c r="BJ70" i="80" s="1"/>
  <c r="BH42" i="80"/>
  <c r="BH70" i="80" s="1"/>
  <c r="BI42" i="80"/>
  <c r="BI70" i="80" s="1"/>
  <c r="BG42" i="80"/>
  <c r="BG70" i="80" s="1"/>
  <c r="BF70" i="80" l="1"/>
  <c r="BF43" i="80"/>
  <c r="BG43" i="80" l="1"/>
  <c r="BF51" i="80"/>
  <c r="BG51" i="80" l="1"/>
  <c r="BH43" i="80"/>
  <c r="BH51" i="80" l="1"/>
  <c r="BI43" i="80"/>
  <c r="BI51" i="80" l="1"/>
  <c r="BJ43" i="80"/>
  <c r="BJ51" i="80" l="1"/>
  <c r="BK43" i="80"/>
  <c r="BK51" i="80" l="1"/>
  <c r="BL43" i="80"/>
  <c r="BL51" i="80" l="1"/>
  <c r="BM43" i="80"/>
  <c r="BM51" i="80" l="1"/>
  <c r="BN43" i="80"/>
  <c r="BN51" i="80" l="1"/>
  <c r="BO43" i="80"/>
  <c r="BO51" i="80" l="1"/>
  <c r="BP43" i="80"/>
  <c r="BP51" i="80" l="1"/>
  <c r="BQ43" i="80"/>
  <c r="BQ44" i="80" l="1"/>
  <c r="BQ51" i="80"/>
  <c r="BR42" i="80" l="1"/>
  <c r="BV42" i="80"/>
  <c r="BV70" i="80" s="1"/>
  <c r="BT42" i="80"/>
  <c r="BT70" i="80" s="1"/>
  <c r="BS42" i="80"/>
  <c r="BS70" i="80" s="1"/>
  <c r="BU42" i="80"/>
  <c r="BU70" i="80" s="1"/>
  <c r="BR70" i="80" l="1"/>
  <c r="BR43" i="80"/>
  <c r="BS43" i="80" l="1"/>
  <c r="BR51" i="80"/>
  <c r="BS51" i="80" l="1"/>
  <c r="BT43" i="80"/>
  <c r="BT51" i="80" l="1"/>
  <c r="BU43" i="80"/>
  <c r="BU51" i="80" l="1"/>
  <c r="BV43" i="80"/>
  <c r="BV51" i="80" l="1"/>
  <c r="BW43" i="80"/>
  <c r="BW51" i="80" l="1"/>
  <c r="BX43" i="80"/>
  <c r="BX51" i="80" l="1"/>
  <c r="BY43" i="80"/>
  <c r="BY51" i="80" l="1"/>
  <c r="BZ43" i="80"/>
  <c r="BZ51" i="80" l="1"/>
  <c r="CA43" i="80"/>
  <c r="CA51" i="80" l="1"/>
  <c r="CB43" i="80"/>
  <c r="CB51" i="80" l="1"/>
  <c r="CC43" i="80"/>
  <c r="CC44" i="80" l="1"/>
  <c r="CD42" i="80" s="1"/>
  <c r="CD70" i="80" s="1"/>
  <c r="CD72" i="80" s="1"/>
  <c r="CC51" i="80"/>
  <c r="CD43" i="80" l="1"/>
  <c r="CD51" i="80" s="1"/>
  <c r="AH77" i="80" l="1"/>
  <c r="BF77" i="80"/>
  <c r="AT77" i="80"/>
  <c r="V77" i="80"/>
  <c r="BR77" i="80"/>
  <c r="J77" i="80"/>
  <c r="H78" i="80"/>
  <c r="BR78" i="80" l="1"/>
  <c r="BW80" i="80" s="1"/>
  <c r="BW65" i="80" s="1"/>
  <c r="BW72" i="80" s="1"/>
  <c r="BW85" i="80" s="1"/>
  <c r="J78" i="80"/>
  <c r="J80" i="80" s="1"/>
  <c r="J65" i="80" s="1"/>
  <c r="J72" i="80" s="1"/>
  <c r="BF78" i="80"/>
  <c r="BK80" i="80" s="1"/>
  <c r="BK65" i="80" s="1"/>
  <c r="BK72" i="80" s="1"/>
  <c r="BK85" i="80" s="1"/>
  <c r="V78" i="80"/>
  <c r="V80" i="80" s="1"/>
  <c r="V65" i="80" s="1"/>
  <c r="V72" i="80" s="1"/>
  <c r="V85" i="80" s="1"/>
  <c r="AT78" i="80"/>
  <c r="AV80" i="80" s="1"/>
  <c r="AV65" i="80" s="1"/>
  <c r="AV72" i="80" s="1"/>
  <c r="AV85" i="80" s="1"/>
  <c r="AH78" i="80"/>
  <c r="AJ80" i="80" s="1"/>
  <c r="AJ65" i="80" s="1"/>
  <c r="AJ72" i="80" s="1"/>
  <c r="AJ85" i="80" s="1"/>
  <c r="L80" i="80" l="1"/>
  <c r="L65" i="80" s="1"/>
  <c r="L72" i="80" s="1"/>
  <c r="N80" i="80"/>
  <c r="N65" i="80" s="1"/>
  <c r="N72" i="80" s="1"/>
  <c r="N85" i="80" s="1"/>
  <c r="BS80" i="80"/>
  <c r="BS65" i="80" s="1"/>
  <c r="BS72" i="80" s="1"/>
  <c r="BS85" i="80" s="1"/>
  <c r="BX80" i="80"/>
  <c r="BX65" i="80" s="1"/>
  <c r="BX72" i="80" s="1"/>
  <c r="BX85" i="80" s="1"/>
  <c r="CC80" i="80"/>
  <c r="CC65" i="80" s="1"/>
  <c r="CC72" i="80" s="1"/>
  <c r="CC85" i="80" s="1"/>
  <c r="BR86" i="80"/>
  <c r="BR93" i="80" s="1"/>
  <c r="BS93" i="80" s="1"/>
  <c r="BT93" i="80" s="1"/>
  <c r="AX80" i="80"/>
  <c r="AX65" i="80" s="1"/>
  <c r="AX72" i="80" s="1"/>
  <c r="AX85" i="80" s="1"/>
  <c r="BU80" i="80"/>
  <c r="BU65" i="80" s="1"/>
  <c r="BU72" i="80" s="1"/>
  <c r="BU85" i="80" s="1"/>
  <c r="BT80" i="80"/>
  <c r="BT65" i="80" s="1"/>
  <c r="BT72" i="80" s="1"/>
  <c r="BT85" i="80" s="1"/>
  <c r="BZ80" i="80"/>
  <c r="BZ65" i="80" s="1"/>
  <c r="BZ72" i="80" s="1"/>
  <c r="BZ85" i="80" s="1"/>
  <c r="BD80" i="80"/>
  <c r="BD65" i="80" s="1"/>
  <c r="BD72" i="80" s="1"/>
  <c r="BD85" i="80" s="1"/>
  <c r="BR80" i="80"/>
  <c r="BR65" i="80" s="1"/>
  <c r="BR72" i="80" s="1"/>
  <c r="BR85" i="80" s="1"/>
  <c r="CB80" i="80"/>
  <c r="CB65" i="80" s="1"/>
  <c r="CB72" i="80" s="1"/>
  <c r="CB85" i="80" s="1"/>
  <c r="BV80" i="80"/>
  <c r="BV65" i="80" s="1"/>
  <c r="BV72" i="80" s="1"/>
  <c r="BV85" i="80" s="1"/>
  <c r="BC80" i="80"/>
  <c r="BC65" i="80" s="1"/>
  <c r="BC72" i="80" s="1"/>
  <c r="BC85" i="80" s="1"/>
  <c r="CA80" i="80"/>
  <c r="CA65" i="80" s="1"/>
  <c r="CA72" i="80" s="1"/>
  <c r="CA85" i="80" s="1"/>
  <c r="BU86" i="80"/>
  <c r="BU93" i="80" s="1"/>
  <c r="BV93" i="80" s="1"/>
  <c r="BW93" i="80" s="1"/>
  <c r="BY80" i="80"/>
  <c r="BY65" i="80" s="1"/>
  <c r="BY72" i="80" s="1"/>
  <c r="BY85" i="80" s="1"/>
  <c r="AU80" i="80"/>
  <c r="AU65" i="80" s="1"/>
  <c r="AU72" i="80" s="1"/>
  <c r="AU85" i="80" s="1"/>
  <c r="BA80" i="80"/>
  <c r="BA65" i="80" s="1"/>
  <c r="BA72" i="80" s="1"/>
  <c r="BA85" i="80" s="1"/>
  <c r="AW80" i="80"/>
  <c r="AW65" i="80" s="1"/>
  <c r="AW72" i="80" s="1"/>
  <c r="AW85" i="80" s="1"/>
  <c r="AT86" i="80"/>
  <c r="AU86" i="80" s="1"/>
  <c r="AV86" i="80" s="1"/>
  <c r="AV87" i="80" s="1"/>
  <c r="AV89" i="80" s="1"/>
  <c r="AR80" i="80"/>
  <c r="AR65" i="80" s="1"/>
  <c r="AR72" i="80" s="1"/>
  <c r="AR85" i="80" s="1"/>
  <c r="AO80" i="80"/>
  <c r="AO65" i="80" s="1"/>
  <c r="AO72" i="80" s="1"/>
  <c r="AO85" i="80" s="1"/>
  <c r="AS80" i="80"/>
  <c r="AS65" i="80" s="1"/>
  <c r="AS72" i="80" s="1"/>
  <c r="AS85" i="80" s="1"/>
  <c r="AH86" i="80"/>
  <c r="AH93" i="80" s="1"/>
  <c r="AI93" i="80" s="1"/>
  <c r="AJ93" i="80" s="1"/>
  <c r="AT80" i="80"/>
  <c r="AT65" i="80" s="1"/>
  <c r="AT72" i="80" s="1"/>
  <c r="AT85" i="80" s="1"/>
  <c r="BE80" i="80"/>
  <c r="BE65" i="80" s="1"/>
  <c r="BE72" i="80" s="1"/>
  <c r="BE85" i="80" s="1"/>
  <c r="AY80" i="80"/>
  <c r="AY65" i="80" s="1"/>
  <c r="AY72" i="80" s="1"/>
  <c r="AY85" i="80" s="1"/>
  <c r="AZ80" i="80"/>
  <c r="AZ65" i="80" s="1"/>
  <c r="AZ72" i="80" s="1"/>
  <c r="AZ85" i="80" s="1"/>
  <c r="AW86" i="80"/>
  <c r="AW93" i="80" s="1"/>
  <c r="AX93" i="80" s="1"/>
  <c r="AY93" i="80" s="1"/>
  <c r="BB80" i="80"/>
  <c r="BB65" i="80" s="1"/>
  <c r="BB72" i="80" s="1"/>
  <c r="BB85" i="80" s="1"/>
  <c r="BF80" i="80"/>
  <c r="BF65" i="80" s="1"/>
  <c r="BF72" i="80" s="1"/>
  <c r="BF85" i="80" s="1"/>
  <c r="BN80" i="80"/>
  <c r="BN65" i="80" s="1"/>
  <c r="BN72" i="80" s="1"/>
  <c r="BN85" i="80" s="1"/>
  <c r="AI80" i="80"/>
  <c r="AI65" i="80" s="1"/>
  <c r="AI72" i="80" s="1"/>
  <c r="AI85" i="80" s="1"/>
  <c r="BJ80" i="80"/>
  <c r="BJ65" i="80" s="1"/>
  <c r="BJ72" i="80" s="1"/>
  <c r="BJ85" i="80" s="1"/>
  <c r="BF86" i="80"/>
  <c r="BG86" i="80" s="1"/>
  <c r="BH86" i="80" s="1"/>
  <c r="AN80" i="80"/>
  <c r="AN65" i="80" s="1"/>
  <c r="AN72" i="80" s="1"/>
  <c r="AN85" i="80" s="1"/>
  <c r="AM80" i="80"/>
  <c r="AM65" i="80" s="1"/>
  <c r="AM72" i="80" s="1"/>
  <c r="AM85" i="80" s="1"/>
  <c r="BI86" i="80"/>
  <c r="BI93" i="80" s="1"/>
  <c r="BJ93" i="80" s="1"/>
  <c r="BK93" i="80" s="1"/>
  <c r="P80" i="80"/>
  <c r="P65" i="80" s="1"/>
  <c r="P72" i="80" s="1"/>
  <c r="P85" i="80" s="1"/>
  <c r="AH80" i="80"/>
  <c r="AH65" i="80" s="1"/>
  <c r="AH72" i="80" s="1"/>
  <c r="AH85" i="80" s="1"/>
  <c r="AH87" i="80" s="1"/>
  <c r="AH89" i="80" s="1"/>
  <c r="AP80" i="80"/>
  <c r="AP65" i="80" s="1"/>
  <c r="AP72" i="80" s="1"/>
  <c r="AP85" i="80" s="1"/>
  <c r="BI80" i="80"/>
  <c r="BI65" i="80" s="1"/>
  <c r="BI72" i="80" s="1"/>
  <c r="BI85" i="80" s="1"/>
  <c r="BI84" i="80" s="1"/>
  <c r="BI92" i="80" s="1"/>
  <c r="BM80" i="80"/>
  <c r="BM65" i="80" s="1"/>
  <c r="BM72" i="80" s="1"/>
  <c r="BM85" i="80" s="1"/>
  <c r="U80" i="80"/>
  <c r="U65" i="80" s="1"/>
  <c r="U72" i="80" s="1"/>
  <c r="U85" i="80" s="1"/>
  <c r="AF80" i="80"/>
  <c r="AF65" i="80" s="1"/>
  <c r="AF72" i="80" s="1"/>
  <c r="AF85" i="80" s="1"/>
  <c r="AA80" i="80"/>
  <c r="AA65" i="80" s="1"/>
  <c r="AA72" i="80" s="1"/>
  <c r="AA85" i="80" s="1"/>
  <c r="AC80" i="80"/>
  <c r="AC65" i="80" s="1"/>
  <c r="AC72" i="80" s="1"/>
  <c r="AC85" i="80" s="1"/>
  <c r="AK86" i="80"/>
  <c r="AK93" i="80" s="1"/>
  <c r="AL93" i="80" s="1"/>
  <c r="AM93" i="80" s="1"/>
  <c r="AL80" i="80"/>
  <c r="AL65" i="80" s="1"/>
  <c r="AL72" i="80" s="1"/>
  <c r="AL85" i="80" s="1"/>
  <c r="BO80" i="80"/>
  <c r="BO65" i="80" s="1"/>
  <c r="BO72" i="80" s="1"/>
  <c r="BO85" i="80" s="1"/>
  <c r="BQ80" i="80"/>
  <c r="BQ65" i="80" s="1"/>
  <c r="BQ72" i="80" s="1"/>
  <c r="BQ85" i="80" s="1"/>
  <c r="BH80" i="80"/>
  <c r="BH65" i="80" s="1"/>
  <c r="BH72" i="80" s="1"/>
  <c r="BH85" i="80" s="1"/>
  <c r="M86" i="80"/>
  <c r="M93" i="80" s="1"/>
  <c r="N93" i="80" s="1"/>
  <c r="O93" i="80" s="1"/>
  <c r="AE80" i="80"/>
  <c r="AE65" i="80" s="1"/>
  <c r="AE72" i="80" s="1"/>
  <c r="AE85" i="80" s="1"/>
  <c r="AG80" i="80"/>
  <c r="AG65" i="80" s="1"/>
  <c r="AG72" i="80" s="1"/>
  <c r="AG85" i="80" s="1"/>
  <c r="W80" i="80"/>
  <c r="W65" i="80" s="1"/>
  <c r="W72" i="80" s="1"/>
  <c r="W85" i="80" s="1"/>
  <c r="Z80" i="80"/>
  <c r="Z65" i="80" s="1"/>
  <c r="Z72" i="80" s="1"/>
  <c r="Z85" i="80" s="1"/>
  <c r="Y80" i="80"/>
  <c r="Y65" i="80" s="1"/>
  <c r="Y72" i="80" s="1"/>
  <c r="Y85" i="80" s="1"/>
  <c r="Y86" i="80"/>
  <c r="Z86" i="80" s="1"/>
  <c r="AA86" i="80" s="1"/>
  <c r="AB86" i="80" s="1"/>
  <c r="X80" i="80"/>
  <c r="X65" i="80" s="1"/>
  <c r="X72" i="80" s="1"/>
  <c r="X85" i="80" s="1"/>
  <c r="V84" i="80" s="1"/>
  <c r="V92" i="80" s="1"/>
  <c r="W92" i="80" s="1"/>
  <c r="X92" i="80" s="1"/>
  <c r="AB80" i="80"/>
  <c r="AB65" i="80" s="1"/>
  <c r="AB72" i="80" s="1"/>
  <c r="AB85" i="80" s="1"/>
  <c r="AD80" i="80"/>
  <c r="AD65" i="80" s="1"/>
  <c r="AD72" i="80" s="1"/>
  <c r="AD85" i="80" s="1"/>
  <c r="V86" i="80"/>
  <c r="V87" i="80" s="1"/>
  <c r="V89" i="80" s="1"/>
  <c r="BL80" i="80"/>
  <c r="BL65" i="80" s="1"/>
  <c r="BL72" i="80" s="1"/>
  <c r="BL85" i="80" s="1"/>
  <c r="BP80" i="80"/>
  <c r="BP65" i="80" s="1"/>
  <c r="BP72" i="80" s="1"/>
  <c r="BP85" i="80" s="1"/>
  <c r="BG80" i="80"/>
  <c r="BG65" i="80" s="1"/>
  <c r="BG72" i="80" s="1"/>
  <c r="BG85" i="80" s="1"/>
  <c r="Q80" i="80"/>
  <c r="Q65" i="80" s="1"/>
  <c r="Q72" i="80" s="1"/>
  <c r="Q85" i="80" s="1"/>
  <c r="S80" i="80"/>
  <c r="S65" i="80" s="1"/>
  <c r="S72" i="80" s="1"/>
  <c r="S85" i="80" s="1"/>
  <c r="R80" i="80"/>
  <c r="R65" i="80" s="1"/>
  <c r="R72" i="80" s="1"/>
  <c r="R85" i="80" s="1"/>
  <c r="K80" i="80"/>
  <c r="K65" i="80" s="1"/>
  <c r="K72" i="80" s="1"/>
  <c r="M80" i="80"/>
  <c r="M65" i="80" s="1"/>
  <c r="M72" i="80" s="1"/>
  <c r="M85" i="80" s="1"/>
  <c r="T80" i="80"/>
  <c r="T65" i="80" s="1"/>
  <c r="T72" i="80" s="1"/>
  <c r="T85" i="80" s="1"/>
  <c r="O80" i="80"/>
  <c r="O65" i="80" s="1"/>
  <c r="O72" i="80" s="1"/>
  <c r="O85" i="80" s="1"/>
  <c r="AK80" i="80"/>
  <c r="AK65" i="80" s="1"/>
  <c r="AK72" i="80" s="1"/>
  <c r="AK85" i="80" s="1"/>
  <c r="AQ80" i="80"/>
  <c r="AQ65" i="80" s="1"/>
  <c r="AQ72" i="80" s="1"/>
  <c r="AQ85" i="80" s="1"/>
  <c r="AT84" i="80" l="1"/>
  <c r="AT92" i="80" s="1"/>
  <c r="BV86" i="80"/>
  <c r="BW86" i="80" s="1"/>
  <c r="BX86" i="80" s="1"/>
  <c r="BY86" i="80" s="1"/>
  <c r="BS86" i="80"/>
  <c r="BT86" i="80" s="1"/>
  <c r="BT87" i="80" s="1"/>
  <c r="BT89" i="80" s="1"/>
  <c r="BX84" i="80"/>
  <c r="BX92" i="80" s="1"/>
  <c r="BY92" i="80" s="1"/>
  <c r="BZ92" i="80" s="1"/>
  <c r="BU84" i="80"/>
  <c r="BU92" i="80" s="1"/>
  <c r="BV92" i="80" s="1"/>
  <c r="BW92" i="80" s="1"/>
  <c r="BR84" i="80"/>
  <c r="BR92" i="80" s="1"/>
  <c r="BS92" i="80" s="1"/>
  <c r="BT92" i="80" s="1"/>
  <c r="AI86" i="80"/>
  <c r="AJ86" i="80" s="1"/>
  <c r="AJ87" i="80" s="1"/>
  <c r="AJ89" i="80" s="1"/>
  <c r="AW84" i="80"/>
  <c r="AW92" i="80" s="1"/>
  <c r="AW97" i="80" s="1"/>
  <c r="BR87" i="80"/>
  <c r="BR89" i="80" s="1"/>
  <c r="CA84" i="80"/>
  <c r="CA92" i="80" s="1"/>
  <c r="CB92" i="80" s="1"/>
  <c r="CC92" i="80" s="1"/>
  <c r="BU87" i="80"/>
  <c r="BU89" i="80" s="1"/>
  <c r="BI87" i="80"/>
  <c r="BI89" i="80" s="1"/>
  <c r="BC84" i="80"/>
  <c r="BC92" i="80" s="1"/>
  <c r="BC98" i="80" s="1"/>
  <c r="BF93" i="80"/>
  <c r="BG93" i="80" s="1"/>
  <c r="BH93" i="80" s="1"/>
  <c r="AT93" i="80"/>
  <c r="AU93" i="80" s="1"/>
  <c r="AV93" i="80" s="1"/>
  <c r="AT87" i="80"/>
  <c r="AT89" i="80" s="1"/>
  <c r="AX86" i="80"/>
  <c r="AY86" i="80" s="1"/>
  <c r="AZ86" i="80" s="1"/>
  <c r="AZ87" i="80" s="1"/>
  <c r="AZ89" i="80" s="1"/>
  <c r="AW87" i="80"/>
  <c r="AW89" i="80" s="1"/>
  <c r="N86" i="80"/>
  <c r="O86" i="80" s="1"/>
  <c r="P86" i="80" s="1"/>
  <c r="P87" i="80" s="1"/>
  <c r="P89" i="80" s="1"/>
  <c r="AQ84" i="80"/>
  <c r="AQ92" i="80" s="1"/>
  <c r="AR92" i="80" s="1"/>
  <c r="AS92" i="80" s="1"/>
  <c r="M87" i="80"/>
  <c r="M89" i="80" s="1"/>
  <c r="BO84" i="80"/>
  <c r="BO92" i="80" s="1"/>
  <c r="BP92" i="80" s="1"/>
  <c r="BQ92" i="80" s="1"/>
  <c r="S84" i="80"/>
  <c r="S92" i="80" s="1"/>
  <c r="T92" i="80" s="1"/>
  <c r="U92" i="80" s="1"/>
  <c r="Y87" i="80"/>
  <c r="Y89" i="80" s="1"/>
  <c r="AZ84" i="80"/>
  <c r="AZ92" i="80" s="1"/>
  <c r="BA92" i="80" s="1"/>
  <c r="BB92" i="80" s="1"/>
  <c r="W86" i="80"/>
  <c r="X86" i="80" s="1"/>
  <c r="X87" i="80" s="1"/>
  <c r="X89" i="80" s="1"/>
  <c r="Y84" i="80"/>
  <c r="Y92" i="80" s="1"/>
  <c r="Z92" i="80" s="1"/>
  <c r="AA92" i="80" s="1"/>
  <c r="BJ86" i="80"/>
  <c r="BK86" i="80" s="1"/>
  <c r="BL86" i="80" s="1"/>
  <c r="BL87" i="80" s="1"/>
  <c r="BL89" i="80" s="1"/>
  <c r="AE84" i="80"/>
  <c r="AE92" i="80" s="1"/>
  <c r="AF92" i="80" s="1"/>
  <c r="AG92" i="80" s="1"/>
  <c r="AB84" i="80"/>
  <c r="AB92" i="80" s="1"/>
  <c r="AC92" i="80" s="1"/>
  <c r="AD92" i="80" s="1"/>
  <c r="P84" i="80"/>
  <c r="P92" i="80" s="1"/>
  <c r="Q92" i="80" s="1"/>
  <c r="R92" i="80" s="1"/>
  <c r="BF87" i="80"/>
  <c r="BF89" i="80" s="1"/>
  <c r="M84" i="80"/>
  <c r="M92" i="80" s="1"/>
  <c r="N92" i="80" s="1"/>
  <c r="O92" i="80" s="1"/>
  <c r="Y93" i="80"/>
  <c r="Z93" i="80" s="1"/>
  <c r="AA93" i="80" s="1"/>
  <c r="V93" i="80"/>
  <c r="W93" i="80" s="1"/>
  <c r="X93" i="80" s="1"/>
  <c r="BL84" i="80"/>
  <c r="BL92" i="80" s="1"/>
  <c r="BM92" i="80" s="1"/>
  <c r="BN92" i="80" s="1"/>
  <c r="AN84" i="80"/>
  <c r="AN92" i="80" s="1"/>
  <c r="AN98" i="80" s="1"/>
  <c r="AH84" i="80"/>
  <c r="AH92" i="80" s="1"/>
  <c r="AI92" i="80" s="1"/>
  <c r="AJ92" i="80" s="1"/>
  <c r="O87" i="80"/>
  <c r="O89" i="80" s="1"/>
  <c r="BF84" i="80"/>
  <c r="BF92" i="80" s="1"/>
  <c r="AK84" i="80"/>
  <c r="AK92" i="80" s="1"/>
  <c r="AL92" i="80" s="1"/>
  <c r="AM92" i="80" s="1"/>
  <c r="AL86" i="80"/>
  <c r="AM86" i="80" s="1"/>
  <c r="BH87" i="80"/>
  <c r="BH89" i="80" s="1"/>
  <c r="AK87" i="80"/>
  <c r="AK89" i="80" s="1"/>
  <c r="BG87" i="80"/>
  <c r="BG89" i="80" s="1"/>
  <c r="V98" i="80"/>
  <c r="V103" i="80" s="1"/>
  <c r="AB93" i="80"/>
  <c r="AC93" i="80" s="1"/>
  <c r="AD93" i="80" s="1"/>
  <c r="AC86" i="80"/>
  <c r="AU92" i="80"/>
  <c r="AV92" i="80" s="1"/>
  <c r="AT98" i="80"/>
  <c r="BJ92" i="80"/>
  <c r="BK92" i="80" s="1"/>
  <c r="BI98" i="80"/>
  <c r="BI97" i="80"/>
  <c r="AA87" i="80"/>
  <c r="AA89" i="80" s="1"/>
  <c r="BX87" i="80"/>
  <c r="BX89" i="80" s="1"/>
  <c r="AB87" i="80"/>
  <c r="AB89" i="80" s="1"/>
  <c r="Z87" i="80"/>
  <c r="Z89" i="80" s="1"/>
  <c r="AU87" i="80"/>
  <c r="AU89" i="80" s="1"/>
  <c r="BV87" i="80" l="1"/>
  <c r="BV89" i="80" s="1"/>
  <c r="BX93" i="80"/>
  <c r="BY93" i="80" s="1"/>
  <c r="BZ93" i="80" s="1"/>
  <c r="BW87" i="80"/>
  <c r="BW89" i="80" s="1"/>
  <c r="AX92" i="80"/>
  <c r="AY92" i="80" s="1"/>
  <c r="BS87" i="80"/>
  <c r="BS89" i="80" s="1"/>
  <c r="BX98" i="80"/>
  <c r="BY98" i="80" s="1"/>
  <c r="BZ98" i="80" s="1"/>
  <c r="BU98" i="80"/>
  <c r="BV98" i="80" s="1"/>
  <c r="BW98" i="80" s="1"/>
  <c r="AW98" i="80"/>
  <c r="AX98" i="80" s="1"/>
  <c r="AY98" i="80" s="1"/>
  <c r="BU97" i="80"/>
  <c r="CC17" i="60" s="1"/>
  <c r="BR97" i="80"/>
  <c r="BZ17" i="60" s="1"/>
  <c r="BR98" i="80"/>
  <c r="BR103" i="80" s="1"/>
  <c r="BD92" i="80"/>
  <c r="BE92" i="80" s="1"/>
  <c r="AI87" i="80"/>
  <c r="AI89" i="80" s="1"/>
  <c r="CA98" i="80"/>
  <c r="CB98" i="80" s="1"/>
  <c r="CC98" i="80" s="1"/>
  <c r="BF97" i="80"/>
  <c r="BN17" i="60" s="1"/>
  <c r="P93" i="80"/>
  <c r="Q93" i="80" s="1"/>
  <c r="R93" i="80" s="1"/>
  <c r="BL98" i="80"/>
  <c r="BL103" i="80" s="1"/>
  <c r="AT97" i="80"/>
  <c r="AU97" i="80" s="1"/>
  <c r="AZ98" i="80"/>
  <c r="BA98" i="80" s="1"/>
  <c r="BB98" i="80" s="1"/>
  <c r="AH98" i="80"/>
  <c r="AI98" i="80" s="1"/>
  <c r="AJ98" i="80" s="1"/>
  <c r="W87" i="80"/>
  <c r="W89" i="80" s="1"/>
  <c r="BA86" i="80"/>
  <c r="BA87" i="80" s="1"/>
  <c r="BA89" i="80" s="1"/>
  <c r="AE98" i="80"/>
  <c r="AF98" i="80" s="1"/>
  <c r="AG98" i="80" s="1"/>
  <c r="BO98" i="80"/>
  <c r="BP98" i="80" s="1"/>
  <c r="BQ98" i="80" s="1"/>
  <c r="AX87" i="80"/>
  <c r="AX89" i="80" s="1"/>
  <c r="AZ93" i="80"/>
  <c r="BA93" i="80" s="1"/>
  <c r="BB93" i="80" s="1"/>
  <c r="BM86" i="80"/>
  <c r="BM87" i="80" s="1"/>
  <c r="BM89" i="80" s="1"/>
  <c r="AY87" i="80"/>
  <c r="AY89" i="80" s="1"/>
  <c r="Y97" i="80"/>
  <c r="Z97" i="80" s="1"/>
  <c r="S98" i="80"/>
  <c r="T98" i="80" s="1"/>
  <c r="U98" i="80" s="1"/>
  <c r="N87" i="80"/>
  <c r="N89" i="80" s="1"/>
  <c r="Q86" i="80"/>
  <c r="R86" i="80" s="1"/>
  <c r="BJ87" i="80"/>
  <c r="BJ89" i="80" s="1"/>
  <c r="BL93" i="80"/>
  <c r="BM93" i="80" s="1"/>
  <c r="BN93" i="80" s="1"/>
  <c r="AQ98" i="80"/>
  <c r="AQ103" i="80" s="1"/>
  <c r="BK87" i="80"/>
  <c r="BK89" i="80" s="1"/>
  <c r="AL87" i="80"/>
  <c r="AL89" i="80" s="1"/>
  <c r="Y98" i="80"/>
  <c r="Z98" i="80" s="1"/>
  <c r="AA98" i="80" s="1"/>
  <c r="AO92" i="80"/>
  <c r="AP92" i="80" s="1"/>
  <c r="AB98" i="80"/>
  <c r="AC98" i="80" s="1"/>
  <c r="AD98" i="80" s="1"/>
  <c r="P98" i="80"/>
  <c r="P103" i="80" s="1"/>
  <c r="AH97" i="80"/>
  <c r="AI97" i="80" s="1"/>
  <c r="BG92" i="80"/>
  <c r="BH92" i="80" s="1"/>
  <c r="M97" i="80"/>
  <c r="U17" i="60" s="1"/>
  <c r="M98" i="80"/>
  <c r="N98" i="80" s="1"/>
  <c r="O98" i="80" s="1"/>
  <c r="V97" i="80"/>
  <c r="AD17" i="60" s="1"/>
  <c r="W98" i="80"/>
  <c r="X98" i="80" s="1"/>
  <c r="BF98" i="80"/>
  <c r="BG98" i="80" s="1"/>
  <c r="BH98" i="80" s="1"/>
  <c r="AK97" i="80"/>
  <c r="AL97" i="80" s="1"/>
  <c r="AB97" i="80"/>
  <c r="AJ17" i="60" s="1"/>
  <c r="AK98" i="80"/>
  <c r="AL98" i="80" s="1"/>
  <c r="AM98" i="80" s="1"/>
  <c r="AN86" i="80"/>
  <c r="AM87" i="80"/>
  <c r="AM89" i="80" s="1"/>
  <c r="BZ86" i="80"/>
  <c r="BY87" i="80"/>
  <c r="BY89" i="80" s="1"/>
  <c r="BD98" i="80"/>
  <c r="BE98" i="80" s="1"/>
  <c r="BC103" i="80"/>
  <c r="AD52" i="60"/>
  <c r="W103" i="80"/>
  <c r="BJ98" i="80"/>
  <c r="BK98" i="80" s="1"/>
  <c r="BI103" i="80"/>
  <c r="AO98" i="80"/>
  <c r="AP98" i="80" s="1"/>
  <c r="AN103" i="80"/>
  <c r="BE17" i="60"/>
  <c r="AX97" i="80"/>
  <c r="BJ97" i="80"/>
  <c r="BQ17" i="60"/>
  <c r="AU98" i="80"/>
  <c r="AV98" i="80" s="1"/>
  <c r="AT103" i="80"/>
  <c r="AD86" i="80"/>
  <c r="AC87" i="80"/>
  <c r="AC89" i="80" s="1"/>
  <c r="BX97" i="80" l="1"/>
  <c r="BX103" i="80"/>
  <c r="BY103" i="80" s="1"/>
  <c r="BS97" i="80"/>
  <c r="CA17" i="60" s="1"/>
  <c r="BU103" i="80"/>
  <c r="BV103" i="80" s="1"/>
  <c r="AW103" i="80"/>
  <c r="AX103" i="80" s="1"/>
  <c r="BV97" i="80"/>
  <c r="BW97" i="80" s="1"/>
  <c r="CE17" i="60" s="1"/>
  <c r="BS98" i="80"/>
  <c r="BT98" i="80" s="1"/>
  <c r="CA103" i="80"/>
  <c r="CI52" i="60" s="1"/>
  <c r="BB86" i="80"/>
  <c r="BC86" i="80" s="1"/>
  <c r="BG97" i="80"/>
  <c r="BH97" i="80" s="1"/>
  <c r="BP17" i="60" s="1"/>
  <c r="BB17" i="60"/>
  <c r="BB18" i="60" s="1"/>
  <c r="AH103" i="80"/>
  <c r="AI103" i="80" s="1"/>
  <c r="P97" i="80"/>
  <c r="X17" i="60" s="1"/>
  <c r="BM98" i="80"/>
  <c r="BN98" i="80" s="1"/>
  <c r="S103" i="80"/>
  <c r="AA52" i="60" s="1"/>
  <c r="AZ103" i="80"/>
  <c r="BH52" i="60" s="1"/>
  <c r="AC97" i="80"/>
  <c r="AD97" i="80" s="1"/>
  <c r="AL17" i="60" s="1"/>
  <c r="AZ97" i="80"/>
  <c r="BA97" i="80" s="1"/>
  <c r="BN86" i="80"/>
  <c r="BN87" i="80" s="1"/>
  <c r="BN89" i="80" s="1"/>
  <c r="W97" i="80"/>
  <c r="AE17" i="60" s="1"/>
  <c r="AR98" i="80"/>
  <c r="AS98" i="80" s="1"/>
  <c r="AE103" i="80"/>
  <c r="AF103" i="80" s="1"/>
  <c r="AG17" i="60"/>
  <c r="L18" i="65" s="1"/>
  <c r="L19" i="65" s="1"/>
  <c r="BO103" i="80"/>
  <c r="BP103" i="80" s="1"/>
  <c r="Q87" i="80"/>
  <c r="Q89" i="80" s="1"/>
  <c r="AP17" i="60"/>
  <c r="AP26" i="60" s="1"/>
  <c r="Y103" i="80"/>
  <c r="Z103" i="80" s="1"/>
  <c r="BL97" i="80"/>
  <c r="BM97" i="80" s="1"/>
  <c r="N97" i="80"/>
  <c r="V17" i="60" s="1"/>
  <c r="AB103" i="80"/>
  <c r="AJ52" i="60" s="1"/>
  <c r="Q98" i="80"/>
  <c r="R98" i="80" s="1"/>
  <c r="M103" i="80"/>
  <c r="U52" i="60" s="1"/>
  <c r="BF103" i="80"/>
  <c r="BN52" i="60" s="1"/>
  <c r="AS17" i="60"/>
  <c r="AS26" i="60" s="1"/>
  <c r="AK103" i="80"/>
  <c r="AL103" i="80" s="1"/>
  <c r="AT52" i="60" s="1"/>
  <c r="AN93" i="80"/>
  <c r="AN87" i="80"/>
  <c r="AN89" i="80" s="1"/>
  <c r="AO86" i="80"/>
  <c r="U26" i="60"/>
  <c r="U18" i="60"/>
  <c r="BC17" i="60"/>
  <c r="AV97" i="80"/>
  <c r="BD17" i="60" s="1"/>
  <c r="AE52" i="60"/>
  <c r="X103" i="80"/>
  <c r="AF52" i="60" s="1"/>
  <c r="AJ97" i="80"/>
  <c r="AR17" i="60" s="1"/>
  <c r="AQ17" i="60"/>
  <c r="AE86" i="80"/>
  <c r="AD87" i="80"/>
  <c r="AD89" i="80" s="1"/>
  <c r="BF17" i="60"/>
  <c r="AY97" i="80"/>
  <c r="BG17" i="60" s="1"/>
  <c r="CF17" i="60"/>
  <c r="BY97" i="80"/>
  <c r="BQ52" i="60"/>
  <c r="BJ103" i="80"/>
  <c r="O18" i="65"/>
  <c r="O19" i="65" s="1"/>
  <c r="O18" i="115"/>
  <c r="O19" i="115" s="1"/>
  <c r="AJ26" i="60"/>
  <c r="AJ18" i="60"/>
  <c r="BZ26" i="60"/>
  <c r="BZ18" i="60"/>
  <c r="I18" i="65"/>
  <c r="I19" i="65" s="1"/>
  <c r="I18" i="115"/>
  <c r="I19" i="115" s="1"/>
  <c r="AD26" i="60"/>
  <c r="AD18" i="60"/>
  <c r="CC26" i="60"/>
  <c r="CC18" i="60"/>
  <c r="AD53" i="60"/>
  <c r="I53" i="115"/>
  <c r="I54" i="115" s="1"/>
  <c r="I53" i="65"/>
  <c r="I54" i="65" s="1"/>
  <c r="AD60" i="60"/>
  <c r="CA86" i="80"/>
  <c r="BZ87" i="80"/>
  <c r="BZ89" i="80" s="1"/>
  <c r="BZ52" i="60"/>
  <c r="BS103" i="80"/>
  <c r="BQ26" i="60"/>
  <c r="BQ18" i="60"/>
  <c r="BN26" i="60"/>
  <c r="BN18" i="60"/>
  <c r="X52" i="60"/>
  <c r="Q103" i="80"/>
  <c r="BK52" i="60"/>
  <c r="BD103" i="80"/>
  <c r="AV52" i="60"/>
  <c r="AO103" i="80"/>
  <c r="BB52" i="60"/>
  <c r="AU103" i="80"/>
  <c r="BE26" i="60"/>
  <c r="BE18" i="60"/>
  <c r="BT52" i="60"/>
  <c r="BM103" i="80"/>
  <c r="AY52" i="60"/>
  <c r="AR103" i="80"/>
  <c r="BR17" i="60"/>
  <c r="BK97" i="80"/>
  <c r="BS17" i="60" s="1"/>
  <c r="AH17" i="60"/>
  <c r="AA97" i="80"/>
  <c r="AI17" i="60" s="1"/>
  <c r="CF52" i="60"/>
  <c r="AM97" i="80"/>
  <c r="AU17" i="60" s="1"/>
  <c r="AT17" i="60"/>
  <c r="S86" i="80"/>
  <c r="R87" i="80"/>
  <c r="R89" i="80" s="1"/>
  <c r="CC52" i="60" l="1"/>
  <c r="BT97" i="80"/>
  <c r="CB17" i="60" s="1"/>
  <c r="BB26" i="60"/>
  <c r="BB35" i="60" s="1"/>
  <c r="BE52" i="60"/>
  <c r="BE60" i="60" s="1"/>
  <c r="BE61" i="60" s="1"/>
  <c r="CD17" i="60"/>
  <c r="CD26" i="60" s="1"/>
  <c r="BO17" i="60"/>
  <c r="BO18" i="60" s="1"/>
  <c r="CB103" i="80"/>
  <c r="CC103" i="80" s="1"/>
  <c r="AP52" i="60"/>
  <c r="AP53" i="60" s="1"/>
  <c r="BA103" i="80"/>
  <c r="BI52" i="60" s="1"/>
  <c r="Q97" i="80"/>
  <c r="R97" i="80" s="1"/>
  <c r="Z17" i="60" s="1"/>
  <c r="BB87" i="80"/>
  <c r="BB89" i="80" s="1"/>
  <c r="BO86" i="80"/>
  <c r="BO93" i="80" s="1"/>
  <c r="AK17" i="60"/>
  <c r="AK18" i="60" s="1"/>
  <c r="AG52" i="60"/>
  <c r="AG60" i="60" s="1"/>
  <c r="AG18" i="60"/>
  <c r="AB11" i="72" s="1"/>
  <c r="T103" i="80"/>
  <c r="U103" i="80" s="1"/>
  <c r="AC52" i="60" s="1"/>
  <c r="L18" i="115"/>
  <c r="L19" i="115" s="1"/>
  <c r="AM52" i="60"/>
  <c r="AM60" i="60" s="1"/>
  <c r="AM61" i="60" s="1"/>
  <c r="BH17" i="60"/>
  <c r="BH26" i="60" s="1"/>
  <c r="X97" i="80"/>
  <c r="AF17" i="60" s="1"/>
  <c r="K18" i="115" s="1"/>
  <c r="K19" i="115" s="1"/>
  <c r="AS52" i="60"/>
  <c r="AS60" i="60" s="1"/>
  <c r="AS61" i="60" s="1"/>
  <c r="AG26" i="60"/>
  <c r="AG35" i="60" s="1"/>
  <c r="N103" i="80"/>
  <c r="O103" i="80" s="1"/>
  <c r="W52" i="60" s="1"/>
  <c r="BW52" i="60"/>
  <c r="BW60" i="60" s="1"/>
  <c r="BW61" i="60" s="1"/>
  <c r="AP18" i="60"/>
  <c r="AC103" i="80"/>
  <c r="AD103" i="80" s="1"/>
  <c r="AL52" i="60" s="1"/>
  <c r="BT17" i="60"/>
  <c r="BT18" i="60" s="1"/>
  <c r="O97" i="80"/>
  <c r="W17" i="60" s="1"/>
  <c r="W26" i="60" s="1"/>
  <c r="BG103" i="80"/>
  <c r="BH103" i="80" s="1"/>
  <c r="BP52" i="60" s="1"/>
  <c r="AS18" i="60"/>
  <c r="AM103" i="80"/>
  <c r="AU52" i="60" s="1"/>
  <c r="AU53" i="60" s="1"/>
  <c r="AP86" i="80"/>
  <c r="AO87" i="80"/>
  <c r="AO89" i="80" s="1"/>
  <c r="AO93" i="80"/>
  <c r="AP93" i="80" s="1"/>
  <c r="AN97" i="80"/>
  <c r="X26" i="60"/>
  <c r="X18" i="60"/>
  <c r="N18" i="65"/>
  <c r="N19" i="65" s="1"/>
  <c r="N18" i="115"/>
  <c r="N19" i="115" s="1"/>
  <c r="AI26" i="60"/>
  <c r="AI18" i="60"/>
  <c r="BU52" i="60"/>
  <c r="BN103" i="80"/>
  <c r="BV52" i="60" s="1"/>
  <c r="BR52" i="60"/>
  <c r="BK103" i="80"/>
  <c r="BS52" i="60" s="1"/>
  <c r="BG26" i="60"/>
  <c r="BG18" i="60"/>
  <c r="AQ26" i="60"/>
  <c r="AQ18" i="60"/>
  <c r="BD26" i="60"/>
  <c r="BD18" i="60"/>
  <c r="BP26" i="60"/>
  <c r="BP18" i="60"/>
  <c r="CF53" i="60"/>
  <c r="CF60" i="60"/>
  <c r="CF61" i="60" s="1"/>
  <c r="M18" i="115"/>
  <c r="M19" i="115" s="1"/>
  <c r="M18" i="65"/>
  <c r="M19" i="65" s="1"/>
  <c r="AH26" i="60"/>
  <c r="AH18" i="60"/>
  <c r="BX52" i="60"/>
  <c r="BQ103" i="80"/>
  <c r="BY52" i="60" s="1"/>
  <c r="AS27" i="60"/>
  <c r="AS35" i="60"/>
  <c r="BU17" i="60"/>
  <c r="BN97" i="80"/>
  <c r="BV17" i="60" s="1"/>
  <c r="BB53" i="60"/>
  <c r="BB60" i="60"/>
  <c r="BB61" i="60" s="1"/>
  <c r="AV53" i="60"/>
  <c r="AV60" i="60"/>
  <c r="AV61" i="60" s="1"/>
  <c r="U53" i="60"/>
  <c r="U60" i="60"/>
  <c r="U61" i="60" s="1"/>
  <c r="BK53" i="60"/>
  <c r="BK60" i="60"/>
  <c r="BK61" i="60" s="1"/>
  <c r="BN53" i="60"/>
  <c r="BN60" i="60"/>
  <c r="BN61" i="60" s="1"/>
  <c r="BN27" i="60"/>
  <c r="BN35" i="60"/>
  <c r="BZ53" i="60"/>
  <c r="BZ60" i="60"/>
  <c r="BZ61" i="60" s="1"/>
  <c r="AP27" i="60"/>
  <c r="AP35" i="60"/>
  <c r="CC27" i="60"/>
  <c r="CC35" i="60"/>
  <c r="BZ27" i="60"/>
  <c r="BZ35" i="60"/>
  <c r="BQ53" i="60"/>
  <c r="BQ60" i="60"/>
  <c r="BQ61" i="60" s="1"/>
  <c r="BD86" i="80"/>
  <c r="BC93" i="80"/>
  <c r="BC87" i="80"/>
  <c r="BC89" i="80" s="1"/>
  <c r="AT53" i="60"/>
  <c r="AT60" i="60"/>
  <c r="AT61" i="60" s="1"/>
  <c r="BF26" i="60"/>
  <c r="BF18" i="60"/>
  <c r="AR26" i="60"/>
  <c r="AR18" i="60"/>
  <c r="AJ53" i="60"/>
  <c r="O53" i="65"/>
  <c r="O54" i="65" s="1"/>
  <c r="O53" i="115"/>
  <c r="O54" i="115" s="1"/>
  <c r="AJ60" i="60"/>
  <c r="BC26" i="60"/>
  <c r="BC18" i="60"/>
  <c r="AT26" i="60"/>
  <c r="AT18" i="60"/>
  <c r="AA103" i="80"/>
  <c r="AI52" i="60" s="1"/>
  <c r="AH52" i="60"/>
  <c r="AY103" i="80"/>
  <c r="BG52" i="60" s="1"/>
  <c r="BF52" i="60"/>
  <c r="AQ52" i="60"/>
  <c r="AJ103" i="80"/>
  <c r="AR52" i="60" s="1"/>
  <c r="BS18" i="60"/>
  <c r="BS26" i="60"/>
  <c r="AL26" i="60"/>
  <c r="AL18" i="60"/>
  <c r="AS103" i="80"/>
  <c r="BA52" i="60" s="1"/>
  <c r="AZ52" i="60"/>
  <c r="J18" i="65"/>
  <c r="J19" i="65" s="1"/>
  <c r="J18" i="115"/>
  <c r="J19" i="115" s="1"/>
  <c r="AE26" i="60"/>
  <c r="AE18" i="60"/>
  <c r="BB103" i="80"/>
  <c r="BJ52" i="60" s="1"/>
  <c r="AG103" i="80"/>
  <c r="AO52" i="60" s="1"/>
  <c r="AN52" i="60"/>
  <c r="R103" i="80"/>
  <c r="Z52" i="60" s="1"/>
  <c r="Y52" i="60"/>
  <c r="CB26" i="60"/>
  <c r="CB18" i="60"/>
  <c r="I61" i="115"/>
  <c r="I62" i="115" s="1"/>
  <c r="AD61" i="60"/>
  <c r="I61" i="65"/>
  <c r="I62" i="65" s="1"/>
  <c r="Y11" i="72"/>
  <c r="AE11" i="72"/>
  <c r="CI53" i="60"/>
  <c r="CI60" i="60"/>
  <c r="CI61" i="60" s="1"/>
  <c r="CG17" i="60"/>
  <c r="BZ97" i="80"/>
  <c r="CH17" i="60" s="1"/>
  <c r="AF53" i="60"/>
  <c r="K53" i="65"/>
  <c r="K54" i="65" s="1"/>
  <c r="K53" i="115"/>
  <c r="K54" i="115" s="1"/>
  <c r="AF60" i="60"/>
  <c r="CE18" i="60"/>
  <c r="CE26" i="60"/>
  <c r="N11" i="72"/>
  <c r="BI17" i="60"/>
  <c r="BB97" i="80"/>
  <c r="BJ17" i="60" s="1"/>
  <c r="BO26" i="60"/>
  <c r="CG52" i="60"/>
  <c r="BZ103" i="80"/>
  <c r="CH52" i="60" s="1"/>
  <c r="BW103" i="80"/>
  <c r="CE52" i="60" s="1"/>
  <c r="CD52" i="60"/>
  <c r="BC52" i="60"/>
  <c r="AV103" i="80"/>
  <c r="BD52" i="60" s="1"/>
  <c r="AP103" i="80"/>
  <c r="AX52" i="60" s="1"/>
  <c r="AW52" i="60"/>
  <c r="BL52" i="60"/>
  <c r="BE103" i="80"/>
  <c r="BM52" i="60" s="1"/>
  <c r="BT103" i="80"/>
  <c r="CB52" i="60" s="1"/>
  <c r="CA52" i="60"/>
  <c r="CC53" i="60"/>
  <c r="CC60" i="60"/>
  <c r="CC61" i="60" s="1"/>
  <c r="BT53" i="60"/>
  <c r="BT60" i="60"/>
  <c r="BT61" i="60" s="1"/>
  <c r="T86" i="80"/>
  <c r="S93" i="80"/>
  <c r="S87" i="80"/>
  <c r="S89" i="80" s="1"/>
  <c r="AU26" i="60"/>
  <c r="AU18" i="60"/>
  <c r="BE53" i="60"/>
  <c r="BR26" i="60"/>
  <c r="BR18" i="60"/>
  <c r="AY53" i="60"/>
  <c r="AY60" i="60"/>
  <c r="AY61" i="60" s="1"/>
  <c r="BE27" i="60"/>
  <c r="BE35" i="60"/>
  <c r="F53" i="115"/>
  <c r="F54" i="115" s="1"/>
  <c r="F53" i="65"/>
  <c r="F54" i="65" s="1"/>
  <c r="AA53" i="60"/>
  <c r="AA60" i="60"/>
  <c r="BH53" i="60"/>
  <c r="BH60" i="60"/>
  <c r="BH61" i="60" s="1"/>
  <c r="X53" i="60"/>
  <c r="X60" i="60"/>
  <c r="X61" i="60" s="1"/>
  <c r="CA18" i="60"/>
  <c r="CA26" i="60"/>
  <c r="BQ27" i="60"/>
  <c r="BQ35" i="60"/>
  <c r="CA93" i="80"/>
  <c r="CB86" i="80"/>
  <c r="CA87" i="80"/>
  <c r="CA89" i="80" s="1"/>
  <c r="I27" i="115"/>
  <c r="I28" i="115" s="1"/>
  <c r="I27" i="65"/>
  <c r="I28" i="65" s="1"/>
  <c r="AD27" i="60"/>
  <c r="Y12" i="72" s="1"/>
  <c r="AD35" i="60"/>
  <c r="AJ27" i="60"/>
  <c r="O27" i="65"/>
  <c r="O28" i="65" s="1"/>
  <c r="O27" i="115"/>
  <c r="O28" i="115" s="1"/>
  <c r="AJ35" i="60"/>
  <c r="V26" i="60"/>
  <c r="V18" i="60"/>
  <c r="CF26" i="60"/>
  <c r="CF18" i="60"/>
  <c r="AF86" i="80"/>
  <c r="AE93" i="80"/>
  <c r="AE87" i="80"/>
  <c r="AE89" i="80" s="1"/>
  <c r="J53" i="115"/>
  <c r="J54" i="115" s="1"/>
  <c r="AE53" i="60"/>
  <c r="J53" i="65"/>
  <c r="J54" i="65" s="1"/>
  <c r="AE60" i="60"/>
  <c r="CD18" i="60"/>
  <c r="U27" i="60"/>
  <c r="U35" i="60"/>
  <c r="BB27" i="60" l="1"/>
  <c r="AP60" i="60"/>
  <c r="AP61" i="60" s="1"/>
  <c r="AK26" i="60"/>
  <c r="AK27" i="60" s="1"/>
  <c r="Y17" i="60"/>
  <c r="Y18" i="60" s="1"/>
  <c r="AM53" i="60"/>
  <c r="L53" i="115"/>
  <c r="L54" i="115" s="1"/>
  <c r="AG27" i="60"/>
  <c r="L27" i="65"/>
  <c r="L28" i="65" s="1"/>
  <c r="L53" i="65"/>
  <c r="L54" i="65" s="1"/>
  <c r="BP86" i="80"/>
  <c r="BQ86" i="80" s="1"/>
  <c r="BQ87" i="80" s="1"/>
  <c r="BQ89" i="80" s="1"/>
  <c r="BO87" i="80"/>
  <c r="BO89" i="80" s="1"/>
  <c r="BW53" i="60"/>
  <c r="AF26" i="60"/>
  <c r="K27" i="115" s="1"/>
  <c r="K28" i="115" s="1"/>
  <c r="L27" i="115"/>
  <c r="L28" i="115" s="1"/>
  <c r="AG53" i="60"/>
  <c r="BH18" i="60"/>
  <c r="AB52" i="60"/>
  <c r="G53" i="65" s="1"/>
  <c r="G54" i="65" s="1"/>
  <c r="AF18" i="60"/>
  <c r="AA11" i="72" s="1"/>
  <c r="BO52" i="60"/>
  <c r="BO53" i="60" s="1"/>
  <c r="K18" i="65"/>
  <c r="K19" i="65" s="1"/>
  <c r="BT26" i="60"/>
  <c r="BT35" i="60" s="1"/>
  <c r="AS53" i="60"/>
  <c r="V52" i="60"/>
  <c r="V53" i="60" s="1"/>
  <c r="AK52" i="60"/>
  <c r="AK60" i="60" s="1"/>
  <c r="AK61" i="60" s="1"/>
  <c r="W18" i="60"/>
  <c r="Q11" i="72" s="1"/>
  <c r="AU60" i="60"/>
  <c r="AU61" i="60" s="1"/>
  <c r="AQ86" i="80"/>
  <c r="AP87" i="80"/>
  <c r="AP89" i="80" s="1"/>
  <c r="AO97" i="80"/>
  <c r="AV17" i="60"/>
  <c r="AB12" i="72"/>
  <c r="AE12" i="72"/>
  <c r="BM53" i="60"/>
  <c r="BM60" i="60"/>
  <c r="BM61" i="60" s="1"/>
  <c r="CD53" i="60"/>
  <c r="CD60" i="60"/>
  <c r="CD61" i="60" s="1"/>
  <c r="BG53" i="60"/>
  <c r="BG60" i="60"/>
  <c r="BG61" i="60" s="1"/>
  <c r="AT27" i="60"/>
  <c r="AT35" i="60"/>
  <c r="AR27" i="60"/>
  <c r="AR35" i="60"/>
  <c r="BN36" i="60"/>
  <c r="BN44" i="60"/>
  <c r="BN45" i="60" s="1"/>
  <c r="BO57" i="64" s="1"/>
  <c r="BV26" i="60"/>
  <c r="BV18" i="60"/>
  <c r="BY53" i="60"/>
  <c r="BY60" i="60"/>
  <c r="BY61" i="60" s="1"/>
  <c r="BU53" i="60"/>
  <c r="BU60" i="60"/>
  <c r="BU61" i="60" s="1"/>
  <c r="BH27" i="60"/>
  <c r="BH35" i="60"/>
  <c r="CD27" i="60"/>
  <c r="CD35" i="60"/>
  <c r="I36" i="115"/>
  <c r="I37" i="115" s="1"/>
  <c r="I36" i="65"/>
  <c r="I37" i="65" s="1"/>
  <c r="AD36" i="60"/>
  <c r="Y13" i="72" s="1"/>
  <c r="AD44" i="60"/>
  <c r="CC86" i="80"/>
  <c r="CC87" i="80" s="1"/>
  <c r="CC89" i="80" s="1"/>
  <c r="CB87" i="80"/>
  <c r="CB89" i="80" s="1"/>
  <c r="L36" i="65"/>
  <c r="L37" i="65" s="1"/>
  <c r="AG36" i="60"/>
  <c r="L36" i="115"/>
  <c r="L37" i="115" s="1"/>
  <c r="AG44" i="60"/>
  <c r="CA27" i="60"/>
  <c r="CA35" i="60"/>
  <c r="F61" i="65"/>
  <c r="F62" i="65" s="1"/>
  <c r="F61" i="115"/>
  <c r="F62" i="115" s="1"/>
  <c r="AA61" i="60"/>
  <c r="BE44" i="60"/>
  <c r="BE45" i="60" s="1"/>
  <c r="BF57" i="64" s="1"/>
  <c r="BE36" i="60"/>
  <c r="AU27" i="60"/>
  <c r="AU35" i="60"/>
  <c r="CB53" i="60"/>
  <c r="CB60" i="60"/>
  <c r="CB61" i="60" s="1"/>
  <c r="BL53" i="60"/>
  <c r="BL60" i="60"/>
  <c r="BL61" i="60" s="1"/>
  <c r="AX53" i="60"/>
  <c r="AX60" i="60"/>
  <c r="AX61" i="60" s="1"/>
  <c r="CE53" i="60"/>
  <c r="CE60" i="60"/>
  <c r="CE61" i="60" s="1"/>
  <c r="BO27" i="60"/>
  <c r="BO35" i="60"/>
  <c r="O11" i="72"/>
  <c r="K61" i="115"/>
  <c r="K62" i="115" s="1"/>
  <c r="AF61" i="60"/>
  <c r="K61" i="65"/>
  <c r="K62" i="65" s="1"/>
  <c r="CH26" i="60"/>
  <c r="CH18" i="60"/>
  <c r="CB27" i="60"/>
  <c r="CB35" i="60"/>
  <c r="AO53" i="60"/>
  <c r="AO60" i="60"/>
  <c r="AO61" i="60" s="1"/>
  <c r="AC53" i="60"/>
  <c r="H53" i="115"/>
  <c r="H54" i="115" s="1"/>
  <c r="H53" i="65"/>
  <c r="H54" i="65" s="1"/>
  <c r="AC60" i="60"/>
  <c r="AR53" i="60"/>
  <c r="AR60" i="60"/>
  <c r="AR61" i="60" s="1"/>
  <c r="M53" i="65"/>
  <c r="M54" i="65" s="1"/>
  <c r="AH53" i="60"/>
  <c r="M53" i="115"/>
  <c r="M54" i="115" s="1"/>
  <c r="AH60" i="60"/>
  <c r="BU26" i="60"/>
  <c r="BU18" i="60"/>
  <c r="BX53" i="60"/>
  <c r="BX60" i="60"/>
  <c r="BX61" i="60" s="1"/>
  <c r="BP27" i="60"/>
  <c r="BP35" i="60"/>
  <c r="AL53" i="60"/>
  <c r="AL60" i="60"/>
  <c r="AL61" i="60" s="1"/>
  <c r="BG27" i="60"/>
  <c r="BG35" i="60"/>
  <c r="AD11" i="72"/>
  <c r="R11" i="72"/>
  <c r="CG26" i="60"/>
  <c r="CG18" i="60"/>
  <c r="Y53" i="60"/>
  <c r="D53" i="65"/>
  <c r="D54" i="65" s="1"/>
  <c r="D53" i="115"/>
  <c r="D54" i="115" s="1"/>
  <c r="Y60" i="60"/>
  <c r="BI53" i="60"/>
  <c r="BI60" i="60"/>
  <c r="BI61" i="60" s="1"/>
  <c r="Z11" i="72"/>
  <c r="AL27" i="60"/>
  <c r="AL35" i="60"/>
  <c r="AQ53" i="60"/>
  <c r="AQ60" i="60"/>
  <c r="AQ61" i="60" s="1"/>
  <c r="AI53" i="60"/>
  <c r="N53" i="65"/>
  <c r="N54" i="65" s="1"/>
  <c r="N53" i="115"/>
  <c r="N54" i="115" s="1"/>
  <c r="AI60" i="60"/>
  <c r="BC27" i="60"/>
  <c r="BC35" i="60"/>
  <c r="BF27" i="60"/>
  <c r="BF35" i="60"/>
  <c r="BD93" i="80"/>
  <c r="BE93" i="80" s="1"/>
  <c r="BC97" i="80"/>
  <c r="BZ36" i="60"/>
  <c r="BZ44" i="60"/>
  <c r="BZ45" i="60" s="1"/>
  <c r="CA57" i="64" s="1"/>
  <c r="AP36" i="60"/>
  <c r="AP44" i="60"/>
  <c r="AP45" i="60" s="1"/>
  <c r="AQ57" i="64" s="1"/>
  <c r="AS36" i="60"/>
  <c r="AS44" i="60"/>
  <c r="AS45" i="60" s="1"/>
  <c r="AT57" i="64" s="1"/>
  <c r="AC11" i="72"/>
  <c r="BS53" i="60"/>
  <c r="BS60" i="60"/>
  <c r="BS61" i="60" s="1"/>
  <c r="N27" i="115"/>
  <c r="N28" i="115" s="1"/>
  <c r="N27" i="65"/>
  <c r="N28" i="65" s="1"/>
  <c r="AI27" i="60"/>
  <c r="AI35" i="60"/>
  <c r="X27" i="60"/>
  <c r="R12" i="72" s="1"/>
  <c r="X35" i="60"/>
  <c r="AG86" i="80"/>
  <c r="AG87" i="80" s="1"/>
  <c r="AG89" i="80" s="1"/>
  <c r="AF87" i="80"/>
  <c r="AF89" i="80" s="1"/>
  <c r="V27" i="60"/>
  <c r="V35" i="60"/>
  <c r="BR27" i="60"/>
  <c r="BR35" i="60"/>
  <c r="L61" i="115"/>
  <c r="L62" i="115" s="1"/>
  <c r="L61" i="65"/>
  <c r="L62" i="65" s="1"/>
  <c r="AG61" i="60"/>
  <c r="U86" i="80"/>
  <c r="U87" i="80" s="1"/>
  <c r="U89" i="80" s="1"/>
  <c r="T87" i="80"/>
  <c r="T89" i="80" s="1"/>
  <c r="CA53" i="60"/>
  <c r="CA60" i="60"/>
  <c r="CA61" i="60" s="1"/>
  <c r="AW53" i="60"/>
  <c r="AW60" i="60"/>
  <c r="AW61" i="60" s="1"/>
  <c r="W27" i="60"/>
  <c r="W35" i="60"/>
  <c r="AN53" i="60"/>
  <c r="AN60" i="60"/>
  <c r="AN61" i="60" s="1"/>
  <c r="BA53" i="60"/>
  <c r="BA60" i="60"/>
  <c r="BA61" i="60" s="1"/>
  <c r="CC44" i="60"/>
  <c r="CC45" i="60" s="1"/>
  <c r="CD57" i="64" s="1"/>
  <c r="CC36" i="60"/>
  <c r="U44" i="60"/>
  <c r="U45" i="60" s="1"/>
  <c r="U36" i="60"/>
  <c r="J61" i="115"/>
  <c r="J62" i="115" s="1"/>
  <c r="J61" i="65"/>
  <c r="J62" i="65" s="1"/>
  <c r="AE61" i="60"/>
  <c r="CF27" i="60"/>
  <c r="CF35" i="60"/>
  <c r="CB93" i="80"/>
  <c r="CC93" i="80" s="1"/>
  <c r="CA97" i="80"/>
  <c r="E18" i="65"/>
  <c r="E19" i="65" s="1"/>
  <c r="E18" i="115"/>
  <c r="E19" i="115" s="1"/>
  <c r="Z26" i="60"/>
  <c r="Z18" i="60"/>
  <c r="BD53" i="60"/>
  <c r="BD60" i="60"/>
  <c r="BD61" i="60" s="1"/>
  <c r="CH53" i="60"/>
  <c r="CH60" i="60"/>
  <c r="CH61" i="60" s="1"/>
  <c r="BJ26" i="60"/>
  <c r="BJ18" i="60"/>
  <c r="N12" i="72"/>
  <c r="O12" i="72" s="1"/>
  <c r="AF93" i="80"/>
  <c r="AG93" i="80" s="1"/>
  <c r="AE97" i="80"/>
  <c r="P11" i="72"/>
  <c r="O36" i="65"/>
  <c r="O37" i="65" s="1"/>
  <c r="O36" i="115"/>
  <c r="O37" i="115" s="1"/>
  <c r="AJ36" i="60"/>
  <c r="AJ44" i="60"/>
  <c r="BB36" i="60"/>
  <c r="BB44" i="60"/>
  <c r="BB45" i="60" s="1"/>
  <c r="BQ44" i="60"/>
  <c r="BQ45" i="60" s="1"/>
  <c r="BR57" i="64" s="1"/>
  <c r="BQ36" i="60"/>
  <c r="BP93" i="80"/>
  <c r="BQ93" i="80" s="1"/>
  <c r="BO97" i="80"/>
  <c r="T93" i="80"/>
  <c r="U93" i="80" s="1"/>
  <c r="S97" i="80"/>
  <c r="BP53" i="60"/>
  <c r="BP60" i="60"/>
  <c r="BP61" i="60" s="1"/>
  <c r="W53" i="60"/>
  <c r="W60" i="60"/>
  <c r="W61" i="60" s="1"/>
  <c r="BC53" i="60"/>
  <c r="BC60" i="60"/>
  <c r="BC61" i="60" s="1"/>
  <c r="CG53" i="60"/>
  <c r="CG60" i="60"/>
  <c r="CG61" i="60" s="1"/>
  <c r="BI26" i="60"/>
  <c r="BI18" i="60"/>
  <c r="CE27" i="60"/>
  <c r="CE35" i="60"/>
  <c r="Z53" i="60"/>
  <c r="E53" i="65"/>
  <c r="E54" i="65" s="1"/>
  <c r="E53" i="115"/>
  <c r="E54" i="115" s="1"/>
  <c r="Z60" i="60"/>
  <c r="BJ53" i="60"/>
  <c r="BJ60" i="60"/>
  <c r="BJ61" i="60" s="1"/>
  <c r="AE27" i="60"/>
  <c r="Z12" i="72" s="1"/>
  <c r="J27" i="115"/>
  <c r="J28" i="115" s="1"/>
  <c r="J27" i="65"/>
  <c r="J28" i="65" s="1"/>
  <c r="AE35" i="60"/>
  <c r="AZ53" i="60"/>
  <c r="AZ60" i="60"/>
  <c r="AZ61" i="60" s="1"/>
  <c r="BS27" i="60"/>
  <c r="BS35" i="60"/>
  <c r="BF53" i="60"/>
  <c r="BF60" i="60"/>
  <c r="BF61" i="60" s="1"/>
  <c r="O61" i="65"/>
  <c r="O62" i="65" s="1"/>
  <c r="O61" i="115"/>
  <c r="O62" i="115" s="1"/>
  <c r="AJ61" i="60"/>
  <c r="BE86" i="80"/>
  <c r="BE87" i="80" s="1"/>
  <c r="BE89" i="80" s="1"/>
  <c r="BD87" i="80"/>
  <c r="BD89" i="80" s="1"/>
  <c r="M27" i="115"/>
  <c r="M28" i="115" s="1"/>
  <c r="M27" i="65"/>
  <c r="M28" i="65" s="1"/>
  <c r="AH27" i="60"/>
  <c r="AH35" i="60"/>
  <c r="BD35" i="60"/>
  <c r="BD27" i="60"/>
  <c r="AQ35" i="60"/>
  <c r="AQ27" i="60"/>
  <c r="BR53" i="60"/>
  <c r="BR60" i="60"/>
  <c r="BR61" i="60" s="1"/>
  <c r="BV53" i="60"/>
  <c r="BV60" i="60"/>
  <c r="BV61" i="60" s="1"/>
  <c r="AK35" i="60" l="1"/>
  <c r="D18" i="115"/>
  <c r="D19" i="115" s="1"/>
  <c r="BP87" i="80"/>
  <c r="BP89" i="80" s="1"/>
  <c r="D18" i="65"/>
  <c r="D19" i="65" s="1"/>
  <c r="AB60" i="60"/>
  <c r="AB61" i="60" s="1"/>
  <c r="Y26" i="60"/>
  <c r="Y35" i="60" s="1"/>
  <c r="K27" i="65"/>
  <c r="K28" i="65" s="1"/>
  <c r="AF35" i="60"/>
  <c r="AF44" i="60" s="1"/>
  <c r="AF27" i="60"/>
  <c r="AA12" i="72" s="1"/>
  <c r="AB53" i="60"/>
  <c r="G53" i="115"/>
  <c r="G54" i="115" s="1"/>
  <c r="P54" i="115" s="1"/>
  <c r="D70" i="44" s="1"/>
  <c r="BT27" i="60"/>
  <c r="BO60" i="60"/>
  <c r="BO61" i="60" s="1"/>
  <c r="V60" i="60"/>
  <c r="V61" i="60" s="1"/>
  <c r="AK53" i="60"/>
  <c r="AV26" i="60"/>
  <c r="AV18" i="60"/>
  <c r="AW17" i="60"/>
  <c r="AP97" i="80"/>
  <c r="AX17" i="60" s="1"/>
  <c r="AQ87" i="80"/>
  <c r="AQ89" i="80" s="1"/>
  <c r="AQ93" i="80"/>
  <c r="AR86" i="80"/>
  <c r="AP108" i="60"/>
  <c r="AP102" i="60" s="1"/>
  <c r="BB108" i="60"/>
  <c r="BB102" i="60" s="1"/>
  <c r="AD12" i="72"/>
  <c r="BE108" i="60"/>
  <c r="BE102" i="60" s="1"/>
  <c r="BN108" i="60"/>
  <c r="BN102" i="60" s="1"/>
  <c r="AC12" i="72"/>
  <c r="U108" i="60"/>
  <c r="U102" i="60" s="1"/>
  <c r="N25" i="72" s="1"/>
  <c r="O25" i="72" s="1"/>
  <c r="AB13" i="72"/>
  <c r="CC108" i="60"/>
  <c r="CC102" i="60" s="1"/>
  <c r="BC57" i="64"/>
  <c r="BC99" i="60" s="1"/>
  <c r="BC101" i="60" s="1"/>
  <c r="BR58" i="64"/>
  <c r="BR99" i="60"/>
  <c r="BR101" i="60" s="1"/>
  <c r="BF58" i="64"/>
  <c r="BF99" i="60"/>
  <c r="BF101" i="60" s="1"/>
  <c r="CD58" i="64"/>
  <c r="CD99" i="60"/>
  <c r="CD101" i="60" s="1"/>
  <c r="AT58" i="64"/>
  <c r="AT99" i="60"/>
  <c r="AT101" i="60" s="1"/>
  <c r="BO58" i="64"/>
  <c r="BO99" i="60"/>
  <c r="BO101" i="60" s="1"/>
  <c r="M36" i="115"/>
  <c r="M37" i="115" s="1"/>
  <c r="M36" i="65"/>
  <c r="M37" i="65" s="1"/>
  <c r="AH36" i="60"/>
  <c r="AH44" i="60"/>
  <c r="BJ27" i="60"/>
  <c r="BJ35" i="60"/>
  <c r="CB97" i="80"/>
  <c r="CC97" i="80" s="1"/>
  <c r="CI17" i="60"/>
  <c r="BF36" i="60"/>
  <c r="BF44" i="60"/>
  <c r="BF45" i="60" s="1"/>
  <c r="BG57" i="64" s="1"/>
  <c r="CG27" i="60"/>
  <c r="CG35" i="60"/>
  <c r="H61" i="65"/>
  <c r="H62" i="65" s="1"/>
  <c r="H61" i="115"/>
  <c r="H62" i="115" s="1"/>
  <c r="AC61" i="60"/>
  <c r="BV27" i="60"/>
  <c r="BV35" i="60"/>
  <c r="BZ108" i="60"/>
  <c r="BZ102" i="60" s="1"/>
  <c r="BI27" i="60"/>
  <c r="BI35" i="60"/>
  <c r="BP97" i="80"/>
  <c r="BW17" i="60"/>
  <c r="O45" i="115"/>
  <c r="O46" i="115" s="1"/>
  <c r="O109" i="115" s="1"/>
  <c r="O45" i="65"/>
  <c r="O46" i="65" s="1"/>
  <c r="O103" i="65" s="1"/>
  <c r="AJ45" i="60"/>
  <c r="AJ108" i="60" s="1"/>
  <c r="AJ102" i="60" s="1"/>
  <c r="AE25" i="72" s="1"/>
  <c r="AK44" i="60"/>
  <c r="AK45" i="60" s="1"/>
  <c r="AL57" i="64" s="1"/>
  <c r="AK36" i="60"/>
  <c r="CF36" i="60"/>
  <c r="CF44" i="60"/>
  <c r="CF45" i="60" s="1"/>
  <c r="W36" i="60"/>
  <c r="Q13" i="72" s="1"/>
  <c r="W44" i="60"/>
  <c r="W45" i="60" s="1"/>
  <c r="V36" i="60"/>
  <c r="P13" i="72" s="1"/>
  <c r="V44" i="60"/>
  <c r="V45" i="60" s="1"/>
  <c r="BG36" i="60"/>
  <c r="BG44" i="60"/>
  <c r="BG45" i="60" s="1"/>
  <c r="BP36" i="60"/>
  <c r="BP44" i="60"/>
  <c r="BP45" i="60" s="1"/>
  <c r="BQ57" i="64" s="1"/>
  <c r="AH61" i="60"/>
  <c r="M61" i="115"/>
  <c r="M62" i="115" s="1"/>
  <c r="M61" i="65"/>
  <c r="M62" i="65" s="1"/>
  <c r="CH27" i="60"/>
  <c r="CH35" i="60"/>
  <c r="AU36" i="60"/>
  <c r="AU44" i="60"/>
  <c r="AU45" i="60" s="1"/>
  <c r="BH36" i="60"/>
  <c r="BH44" i="60"/>
  <c r="BH45" i="60" s="1"/>
  <c r="AR36" i="60"/>
  <c r="AR44" i="60"/>
  <c r="AR45" i="60" s="1"/>
  <c r="AS57" i="64" s="1"/>
  <c r="U11" i="72"/>
  <c r="N13" i="72"/>
  <c r="O13" i="72" s="1"/>
  <c r="G61" i="65"/>
  <c r="G62" i="65" s="1"/>
  <c r="Q12" i="72"/>
  <c r="P12" i="72"/>
  <c r="X36" i="60"/>
  <c r="R13" i="72" s="1"/>
  <c r="X44" i="60"/>
  <c r="X45" i="60" s="1"/>
  <c r="AQ58" i="64"/>
  <c r="AQ99" i="60"/>
  <c r="AQ101" i="60" s="1"/>
  <c r="BK17" i="60"/>
  <c r="BD97" i="80"/>
  <c r="BC36" i="60"/>
  <c r="BC44" i="60"/>
  <c r="BC45" i="60" s="1"/>
  <c r="BD57" i="64" s="1"/>
  <c r="AL36" i="60"/>
  <c r="AL44" i="60"/>
  <c r="AL45" i="60" s="1"/>
  <c r="AM57" i="64" s="1"/>
  <c r="P54" i="65"/>
  <c r="BU27" i="60"/>
  <c r="BU35" i="60"/>
  <c r="CB36" i="60"/>
  <c r="CB44" i="60"/>
  <c r="CB45" i="60" s="1"/>
  <c r="CC57" i="64" s="1"/>
  <c r="L45" i="65"/>
  <c r="L46" i="65" s="1"/>
  <c r="L103" i="65" s="1"/>
  <c r="L45" i="115"/>
  <c r="L46" i="115" s="1"/>
  <c r="L103" i="115" s="1"/>
  <c r="AG45" i="60"/>
  <c r="AG108" i="60" s="1"/>
  <c r="AG102" i="60" s="1"/>
  <c r="AB25" i="72" s="1"/>
  <c r="E61" i="65"/>
  <c r="E62" i="65" s="1"/>
  <c r="E61" i="115"/>
  <c r="E62" i="115" s="1"/>
  <c r="Z61" i="60"/>
  <c r="N36" i="115"/>
  <c r="N37" i="115" s="1"/>
  <c r="N36" i="65"/>
  <c r="N37" i="65" s="1"/>
  <c r="AI36" i="60"/>
  <c r="AI44" i="60"/>
  <c r="CA58" i="64"/>
  <c r="CA99" i="60"/>
  <c r="CA101" i="60" s="1"/>
  <c r="N61" i="65"/>
  <c r="N62" i="65" s="1"/>
  <c r="AI61" i="60"/>
  <c r="N61" i="115"/>
  <c r="N62" i="115" s="1"/>
  <c r="D61" i="115"/>
  <c r="D62" i="115" s="1"/>
  <c r="D61" i="65"/>
  <c r="D62" i="65" s="1"/>
  <c r="Y61" i="60"/>
  <c r="BO36" i="60"/>
  <c r="BO44" i="60"/>
  <c r="BO45" i="60" s="1"/>
  <c r="BP57" i="64" s="1"/>
  <c r="BT36" i="60"/>
  <c r="BT44" i="60"/>
  <c r="BT45" i="60" s="1"/>
  <c r="T11" i="72"/>
  <c r="CA36" i="60"/>
  <c r="CA44" i="60"/>
  <c r="CA45" i="60" s="1"/>
  <c r="CB57" i="64" s="1"/>
  <c r="I45" i="115"/>
  <c r="I46" i="115" s="1"/>
  <c r="I45" i="65"/>
  <c r="I46" i="65" s="1"/>
  <c r="AD45" i="60"/>
  <c r="AQ36" i="60"/>
  <c r="AQ44" i="60"/>
  <c r="AQ45" i="60" s="1"/>
  <c r="BS36" i="60"/>
  <c r="BS44" i="60"/>
  <c r="BS45" i="60" s="1"/>
  <c r="J36" i="115"/>
  <c r="J37" i="115" s="1"/>
  <c r="AE36" i="60"/>
  <c r="Z13" i="72" s="1"/>
  <c r="J36" i="65"/>
  <c r="J37" i="65" s="1"/>
  <c r="AE44" i="60"/>
  <c r="CE44" i="60"/>
  <c r="CE45" i="60" s="1"/>
  <c r="CE36" i="60"/>
  <c r="AE13" i="72"/>
  <c r="BD36" i="60"/>
  <c r="BD44" i="60"/>
  <c r="BD45" i="60" s="1"/>
  <c r="BE57" i="64" s="1"/>
  <c r="AA17" i="60"/>
  <c r="T97" i="80"/>
  <c r="AM17" i="60"/>
  <c r="AF97" i="80"/>
  <c r="E27" i="115"/>
  <c r="E28" i="115" s="1"/>
  <c r="E27" i="65"/>
  <c r="E28" i="65" s="1"/>
  <c r="Z27" i="60"/>
  <c r="U12" i="72" s="1"/>
  <c r="Z35" i="60"/>
  <c r="K36" i="65"/>
  <c r="K37" i="65" s="1"/>
  <c r="N14" i="72"/>
  <c r="O14" i="72" s="1"/>
  <c r="O68" i="72" s="1"/>
  <c r="V57" i="64"/>
  <c r="BQ108" i="60"/>
  <c r="BQ102" i="60" s="1"/>
  <c r="BR36" i="60"/>
  <c r="BR44" i="60"/>
  <c r="BR45" i="60" s="1"/>
  <c r="AS108" i="60"/>
  <c r="AS102" i="60" s="1"/>
  <c r="CD44" i="60"/>
  <c r="CD45" i="60" s="1"/>
  <c r="CE57" i="64" s="1"/>
  <c r="CD36" i="60"/>
  <c r="AT44" i="60"/>
  <c r="AT45" i="60" s="1"/>
  <c r="AT36" i="60"/>
  <c r="K36" i="115" l="1"/>
  <c r="K37" i="115" s="1"/>
  <c r="AF36" i="60"/>
  <c r="AA13" i="72" s="1"/>
  <c r="G61" i="115"/>
  <c r="G62" i="115" s="1"/>
  <c r="P62" i="115" s="1"/>
  <c r="D27" i="115"/>
  <c r="D28" i="115" s="1"/>
  <c r="Y27" i="60"/>
  <c r="T12" i="72" s="1"/>
  <c r="D27" i="65"/>
  <c r="D28" i="65" s="1"/>
  <c r="BC58" i="64"/>
  <c r="AX26" i="60"/>
  <c r="AX18" i="60"/>
  <c r="AS86" i="80"/>
  <c r="AS87" i="80" s="1"/>
  <c r="AS89" i="80" s="1"/>
  <c r="AR87" i="80"/>
  <c r="AR89" i="80" s="1"/>
  <c r="AW18" i="60"/>
  <c r="AW26" i="60"/>
  <c r="AR93" i="80"/>
  <c r="AS93" i="80" s="1"/>
  <c r="AQ97" i="80"/>
  <c r="AV35" i="60"/>
  <c r="AV27" i="60"/>
  <c r="AL108" i="60"/>
  <c r="AL102" i="60" s="1"/>
  <c r="CA108" i="60"/>
  <c r="CA102" i="60" s="1"/>
  <c r="CA103" i="60" s="1"/>
  <c r="N68" i="72"/>
  <c r="AK108" i="60"/>
  <c r="AK102" i="60" s="1"/>
  <c r="AT108" i="60"/>
  <c r="AT102" i="60" s="1"/>
  <c r="AT103" i="60" s="1"/>
  <c r="BS108" i="60"/>
  <c r="BS102" i="60" s="1"/>
  <c r="W108" i="60"/>
  <c r="W102" i="60" s="1"/>
  <c r="Q25" i="72" s="1"/>
  <c r="BC108" i="60"/>
  <c r="BC102" i="60" s="1"/>
  <c r="BC103" i="60" s="1"/>
  <c r="U103" i="60"/>
  <c r="BR108" i="60"/>
  <c r="BR102" i="60" s="1"/>
  <c r="BR103" i="60" s="1"/>
  <c r="CE108" i="60"/>
  <c r="CE102" i="60" s="1"/>
  <c r="AU108" i="60"/>
  <c r="AU102" i="60" s="1"/>
  <c r="AQ108" i="60"/>
  <c r="AQ102" i="60" s="1"/>
  <c r="AQ103" i="60" s="1"/>
  <c r="CB108" i="60"/>
  <c r="CB102" i="60" s="1"/>
  <c r="CF108" i="60"/>
  <c r="CF102" i="60" s="1"/>
  <c r="BS57" i="64"/>
  <c r="BS99" i="60" s="1"/>
  <c r="BS101" i="60" s="1"/>
  <c r="CF57" i="64"/>
  <c r="CF99" i="60" s="1"/>
  <c r="CF101" i="60" s="1"/>
  <c r="BT57" i="64"/>
  <c r="BT58" i="64" s="1"/>
  <c r="O103" i="115"/>
  <c r="BF108" i="60"/>
  <c r="BF102" i="60" s="1"/>
  <c r="BF103" i="60" s="1"/>
  <c r="BO108" i="60"/>
  <c r="BO102" i="60" s="1"/>
  <c r="BO103" i="60" s="1"/>
  <c r="L109" i="65"/>
  <c r="BG108" i="60"/>
  <c r="BG102" i="60" s="1"/>
  <c r="BH57" i="64"/>
  <c r="BH58" i="64" s="1"/>
  <c r="CE99" i="60"/>
  <c r="CE101" i="60" s="1"/>
  <c r="CE58" i="64"/>
  <c r="BE58" i="64"/>
  <c r="BE99" i="60"/>
  <c r="BE101" i="60" s="1"/>
  <c r="BE103" i="60" s="1"/>
  <c r="AM58" i="64"/>
  <c r="AM99" i="60"/>
  <c r="AM101" i="60" s="1"/>
  <c r="P62" i="65"/>
  <c r="N45" i="115"/>
  <c r="N46" i="115" s="1"/>
  <c r="N109" i="115" s="1"/>
  <c r="N45" i="65"/>
  <c r="N46" i="65" s="1"/>
  <c r="N103" i="65" s="1"/>
  <c r="AI45" i="60"/>
  <c r="BK26" i="60"/>
  <c r="BK18" i="60"/>
  <c r="AS58" i="64"/>
  <c r="AS99" i="60"/>
  <c r="AS101" i="60" s="1"/>
  <c r="AS103" i="60" s="1"/>
  <c r="BH108" i="60"/>
  <c r="BH102" i="60" s="1"/>
  <c r="BI57" i="64"/>
  <c r="CH36" i="60"/>
  <c r="CH44" i="60"/>
  <c r="CH45" i="60" s="1"/>
  <c r="L109" i="115"/>
  <c r="BW26" i="60"/>
  <c r="BW18" i="60"/>
  <c r="BG58" i="64"/>
  <c r="BG99" i="60"/>
  <c r="BG101" i="60" s="1"/>
  <c r="BG103" i="60" s="1"/>
  <c r="AR57" i="64"/>
  <c r="K45" i="115"/>
  <c r="K46" i="115" s="1"/>
  <c r="AF45" i="60"/>
  <c r="K45" i="65"/>
  <c r="K46" i="65" s="1"/>
  <c r="AN17" i="60"/>
  <c r="AG97" i="80"/>
  <c r="AO17" i="60" s="1"/>
  <c r="O109" i="65"/>
  <c r="CB99" i="60"/>
  <c r="CB101" i="60" s="1"/>
  <c r="CB58" i="64"/>
  <c r="BP58" i="64"/>
  <c r="BP99" i="60"/>
  <c r="BP101" i="60" s="1"/>
  <c r="AD13" i="72"/>
  <c r="BD108" i="60"/>
  <c r="BD102" i="60" s="1"/>
  <c r="CD108" i="60"/>
  <c r="CD102" i="60" s="1"/>
  <c r="CD103" i="60" s="1"/>
  <c r="D36" i="65"/>
  <c r="D37" i="65" s="1"/>
  <c r="Y36" i="60"/>
  <c r="Y44" i="60"/>
  <c r="D36" i="115"/>
  <c r="D37" i="115" s="1"/>
  <c r="BU36" i="60"/>
  <c r="BU44" i="60"/>
  <c r="BU45" i="60" s="1"/>
  <c r="C70" i="44"/>
  <c r="E70" i="44" s="1"/>
  <c r="BD58" i="64"/>
  <c r="BD99" i="60"/>
  <c r="BD101" i="60" s="1"/>
  <c r="R14" i="72"/>
  <c r="R68" i="72" s="1"/>
  <c r="X108" i="60"/>
  <c r="X102" i="60" s="1"/>
  <c r="R25" i="72" s="1"/>
  <c r="Y57" i="64"/>
  <c r="V108" i="60"/>
  <c r="V102" i="60" s="1"/>
  <c r="P14" i="72"/>
  <c r="P68" i="72" s="1"/>
  <c r="W57" i="64"/>
  <c r="BQ97" i="80"/>
  <c r="BY17" i="60" s="1"/>
  <c r="BX17" i="60"/>
  <c r="CG36" i="60"/>
  <c r="CG44" i="60"/>
  <c r="CG45" i="60" s="1"/>
  <c r="BJ44" i="60"/>
  <c r="BJ45" i="60" s="1"/>
  <c r="BJ36" i="60"/>
  <c r="AU57" i="64"/>
  <c r="AV57" i="64"/>
  <c r="AM26" i="60"/>
  <c r="AM18" i="60"/>
  <c r="Y14" i="72"/>
  <c r="AE57" i="64"/>
  <c r="AD108" i="60"/>
  <c r="AD102" i="60" s="1"/>
  <c r="Y25" i="72" s="1"/>
  <c r="Q14" i="72"/>
  <c r="Q15" i="72" s="1"/>
  <c r="X57" i="64"/>
  <c r="BI44" i="60"/>
  <c r="BI45" i="60" s="1"/>
  <c r="BI36" i="60"/>
  <c r="CI18" i="60"/>
  <c r="CI26" i="60"/>
  <c r="M45" i="115"/>
  <c r="M46" i="115" s="1"/>
  <c r="M109" i="115" s="1"/>
  <c r="M45" i="65"/>
  <c r="M46" i="65" s="1"/>
  <c r="M109" i="65" s="1"/>
  <c r="AH45" i="60"/>
  <c r="AH108" i="60" s="1"/>
  <c r="AH102" i="60" s="1"/>
  <c r="AC25" i="72" s="1"/>
  <c r="AL58" i="64"/>
  <c r="AL99" i="60"/>
  <c r="AL101" i="60" s="1"/>
  <c r="V58" i="64"/>
  <c r="V99" i="60"/>
  <c r="Z36" i="60"/>
  <c r="U13" i="72" s="1"/>
  <c r="E36" i="115"/>
  <c r="E37" i="115" s="1"/>
  <c r="E36" i="65"/>
  <c r="E37" i="65" s="1"/>
  <c r="Z44" i="60"/>
  <c r="F18" i="115"/>
  <c r="F19" i="115" s="1"/>
  <c r="F18" i="65"/>
  <c r="F19" i="65" s="1"/>
  <c r="AA26" i="60"/>
  <c r="AA18" i="60"/>
  <c r="I109" i="115"/>
  <c r="I103" i="115"/>
  <c r="AR108" i="60"/>
  <c r="AR102" i="60" s="1"/>
  <c r="AB17" i="60"/>
  <c r="U97" i="80"/>
  <c r="AC17" i="60" s="1"/>
  <c r="J45" i="115"/>
  <c r="J46" i="115" s="1"/>
  <c r="J45" i="65"/>
  <c r="J46" i="65" s="1"/>
  <c r="AE45" i="60"/>
  <c r="I109" i="65"/>
  <c r="I103" i="65"/>
  <c r="BT108" i="60"/>
  <c r="BT102" i="60" s="1"/>
  <c r="BU57" i="64"/>
  <c r="AB14" i="72"/>
  <c r="AH57" i="64"/>
  <c r="CC58" i="64"/>
  <c r="CC99" i="60"/>
  <c r="CC101" i="60" s="1"/>
  <c r="CC103" i="60" s="1"/>
  <c r="BL17" i="60"/>
  <c r="BE97" i="80"/>
  <c r="BM17" i="60" s="1"/>
  <c r="N15" i="72"/>
  <c r="BQ58" i="64"/>
  <c r="BQ99" i="60"/>
  <c r="BQ101" i="60" s="1"/>
  <c r="BQ103" i="60" s="1"/>
  <c r="AE14" i="72"/>
  <c r="AE68" i="72" s="1"/>
  <c r="AK57" i="64"/>
  <c r="BV44" i="60"/>
  <c r="BV45" i="60" s="1"/>
  <c r="BV36" i="60"/>
  <c r="BP108" i="60"/>
  <c r="BP102" i="60" s="1"/>
  <c r="AC13" i="72"/>
  <c r="CG57" i="64"/>
  <c r="AL103" i="60" l="1"/>
  <c r="AR97" i="80"/>
  <c r="AY17" i="60"/>
  <c r="AW27" i="60"/>
  <c r="AW35" i="60"/>
  <c r="AV36" i="60"/>
  <c r="AV44" i="60"/>
  <c r="AV45" i="60" s="1"/>
  <c r="AX35" i="60"/>
  <c r="AX27" i="60"/>
  <c r="BH99" i="60"/>
  <c r="BH101" i="60" s="1"/>
  <c r="BH103" i="60" s="1"/>
  <c r="BS103" i="60"/>
  <c r="N103" i="115"/>
  <c r="CF58" i="64"/>
  <c r="M103" i="65"/>
  <c r="CF103" i="60"/>
  <c r="BS58" i="64"/>
  <c r="CE103" i="60"/>
  <c r="BT99" i="60"/>
  <c r="BT101" i="60" s="1"/>
  <c r="BT103" i="60" s="1"/>
  <c r="CB103" i="60"/>
  <c r="M103" i="115"/>
  <c r="AE15" i="72"/>
  <c r="Y68" i="72"/>
  <c r="Y15" i="72"/>
  <c r="BK57" i="64"/>
  <c r="BJ108" i="60"/>
  <c r="BJ102" i="60" s="1"/>
  <c r="AA14" i="72"/>
  <c r="AF108" i="60"/>
  <c r="AF102" i="60" s="1"/>
  <c r="AA25" i="72" s="1"/>
  <c r="AG57" i="64"/>
  <c r="BI58" i="64"/>
  <c r="BI99" i="60"/>
  <c r="BI101" i="60" s="1"/>
  <c r="BV108" i="60"/>
  <c r="BV102" i="60" s="1"/>
  <c r="AB68" i="72"/>
  <c r="AB15" i="72"/>
  <c r="D73" i="44"/>
  <c r="AO26" i="60"/>
  <c r="AO18" i="60"/>
  <c r="C73" i="44"/>
  <c r="BU58" i="64"/>
  <c r="BU99" i="60"/>
  <c r="BU101" i="60" s="1"/>
  <c r="Z14" i="72"/>
  <c r="AF57" i="64"/>
  <c r="AE108" i="60"/>
  <c r="AE102" i="60" s="1"/>
  <c r="Z25" i="72" s="1"/>
  <c r="G18" i="65"/>
  <c r="G19" i="65" s="1"/>
  <c r="G18" i="115"/>
  <c r="G19" i="115" s="1"/>
  <c r="AB26" i="60"/>
  <c r="AB18" i="60"/>
  <c r="V11" i="72"/>
  <c r="E45" i="65"/>
  <c r="E46" i="65" s="1"/>
  <c r="E45" i="115"/>
  <c r="E46" i="115" s="1"/>
  <c r="Z45" i="60"/>
  <c r="V101" i="60"/>
  <c r="V103" i="60" s="1"/>
  <c r="P18" i="72"/>
  <c r="P22" i="72" s="1"/>
  <c r="CI35" i="60"/>
  <c r="CI27" i="60"/>
  <c r="BI108" i="60"/>
  <c r="BI102" i="60" s="1"/>
  <c r="BJ57" i="64"/>
  <c r="AM27" i="60"/>
  <c r="AM35" i="60"/>
  <c r="W58" i="64"/>
  <c r="W99" i="60"/>
  <c r="P25" i="72"/>
  <c r="Q43" i="44"/>
  <c r="R43" i="44" s="1"/>
  <c r="D45" i="65"/>
  <c r="D46" i="65" s="1"/>
  <c r="Y45" i="60"/>
  <c r="D45" i="115"/>
  <c r="D46" i="115" s="1"/>
  <c r="N109" i="65"/>
  <c r="AN26" i="60"/>
  <c r="AN18" i="60"/>
  <c r="AR58" i="64"/>
  <c r="AR99" i="60"/>
  <c r="AR101" i="60" s="1"/>
  <c r="AR103" i="60" s="1"/>
  <c r="BW27" i="60"/>
  <c r="BW35" i="60"/>
  <c r="CI57" i="64"/>
  <c r="CH108" i="60"/>
  <c r="CH102" i="60" s="1"/>
  <c r="Q68" i="72"/>
  <c r="P15" i="72"/>
  <c r="AK58" i="64"/>
  <c r="AK99" i="60"/>
  <c r="AK101" i="60" s="1"/>
  <c r="AK103" i="60" s="1"/>
  <c r="AH58" i="64"/>
  <c r="AH99" i="60"/>
  <c r="M100" i="115" s="1"/>
  <c r="J103" i="115"/>
  <c r="J109" i="115"/>
  <c r="AU58" i="64"/>
  <c r="AU99" i="60"/>
  <c r="AU101" i="60" s="1"/>
  <c r="BY26" i="60"/>
  <c r="BY18" i="60"/>
  <c r="H70" i="44"/>
  <c r="F70" i="44"/>
  <c r="BK27" i="60"/>
  <c r="BK35" i="60"/>
  <c r="AD14" i="72"/>
  <c r="AD68" i="72" s="1"/>
  <c r="AJ57" i="64"/>
  <c r="H18" i="115"/>
  <c r="H19" i="115" s="1"/>
  <c r="H18" i="65"/>
  <c r="H19" i="65" s="1"/>
  <c r="AC26" i="60"/>
  <c r="AC18" i="60"/>
  <c r="CG108" i="60"/>
  <c r="CG102" i="60" s="1"/>
  <c r="CH57" i="64"/>
  <c r="K103" i="115"/>
  <c r="K109" i="115"/>
  <c r="CG58" i="64"/>
  <c r="CG99" i="60"/>
  <c r="CG101" i="60" s="1"/>
  <c r="O15" i="72"/>
  <c r="N23" i="72"/>
  <c r="BM18" i="60"/>
  <c r="BM26" i="60"/>
  <c r="BL26" i="60"/>
  <c r="BL18" i="60"/>
  <c r="J109" i="65"/>
  <c r="J103" i="65"/>
  <c r="F27" i="115"/>
  <c r="F28" i="115" s="1"/>
  <c r="F27" i="65"/>
  <c r="F28" i="65" s="1"/>
  <c r="AA27" i="60"/>
  <c r="AA35" i="60"/>
  <c r="AC14" i="72"/>
  <c r="AC68" i="72" s="1"/>
  <c r="AI57" i="64"/>
  <c r="X58" i="64"/>
  <c r="X99" i="60"/>
  <c r="AE58" i="64"/>
  <c r="AE99" i="60"/>
  <c r="J100" i="115" s="1"/>
  <c r="AV99" i="60"/>
  <c r="AV101" i="60" s="1"/>
  <c r="AV58" i="64"/>
  <c r="BX26" i="60"/>
  <c r="BX18" i="60"/>
  <c r="Y58" i="64"/>
  <c r="Y99" i="60"/>
  <c r="BD103" i="60"/>
  <c r="BU108" i="60"/>
  <c r="BU102" i="60" s="1"/>
  <c r="T13" i="72"/>
  <c r="BP103" i="60"/>
  <c r="K109" i="65"/>
  <c r="K103" i="65"/>
  <c r="AI108" i="60"/>
  <c r="AI102" i="60" s="1"/>
  <c r="AD25" i="72" s="1"/>
  <c r="BW57" i="64"/>
  <c r="BV57" i="64"/>
  <c r="R15" i="72"/>
  <c r="P19" i="65" l="1"/>
  <c r="S12" i="65" s="1"/>
  <c r="D100" i="115"/>
  <c r="AD15" i="72"/>
  <c r="P19" i="115"/>
  <c r="S12" i="115" s="1"/>
  <c r="AW44" i="60"/>
  <c r="AW45" i="60" s="1"/>
  <c r="AW36" i="60"/>
  <c r="AX44" i="60"/>
  <c r="AX45" i="60" s="1"/>
  <c r="AX36" i="60"/>
  <c r="AW57" i="64"/>
  <c r="AV108" i="60"/>
  <c r="AV102" i="60" s="1"/>
  <c r="AV103" i="60" s="1"/>
  <c r="AY26" i="60"/>
  <c r="AY18" i="60"/>
  <c r="AS97" i="80"/>
  <c r="BA17" i="60" s="1"/>
  <c r="AZ17" i="60"/>
  <c r="E73" i="44"/>
  <c r="F73" i="44" s="1"/>
  <c r="R18" i="72"/>
  <c r="R22" i="72" s="1"/>
  <c r="R23" i="72" s="1"/>
  <c r="R28" i="72" s="1"/>
  <c r="R67" i="72" s="1"/>
  <c r="X101" i="60"/>
  <c r="X103" i="60" s="1"/>
  <c r="BL27" i="60"/>
  <c r="BL35" i="60"/>
  <c r="H27" i="65"/>
  <c r="H28" i="65" s="1"/>
  <c r="AC27" i="60"/>
  <c r="H27" i="115"/>
  <c r="H28" i="115" s="1"/>
  <c r="AC35" i="60"/>
  <c r="CI58" i="64"/>
  <c r="CI99" i="60"/>
  <c r="CI101" i="60" s="1"/>
  <c r="E109" i="115"/>
  <c r="E103" i="115"/>
  <c r="AB27" i="60"/>
  <c r="W12" i="72" s="1"/>
  <c r="G27" i="115"/>
  <c r="G28" i="115" s="1"/>
  <c r="G27" i="65"/>
  <c r="G28" i="65" s="1"/>
  <c r="AB35" i="60"/>
  <c r="AF58" i="64"/>
  <c r="AF99" i="60"/>
  <c r="K100" i="115" s="1"/>
  <c r="BI103" i="60"/>
  <c r="AA68" i="72"/>
  <c r="AA15" i="72"/>
  <c r="BW58" i="64"/>
  <c r="BW99" i="60"/>
  <c r="BW101" i="60" s="1"/>
  <c r="J100" i="65"/>
  <c r="J102" i="65" s="1"/>
  <c r="J104" i="65" s="1"/>
  <c r="J102" i="115"/>
  <c r="J104" i="115" s="1"/>
  <c r="AE101" i="60"/>
  <c r="Z18" i="72"/>
  <c r="Z22" i="72" s="1"/>
  <c r="AI58" i="64"/>
  <c r="AI99" i="60"/>
  <c r="N100" i="115" s="1"/>
  <c r="BY35" i="60"/>
  <c r="BY27" i="60"/>
  <c r="T14" i="72"/>
  <c r="T15" i="72" s="1"/>
  <c r="Z57" i="64"/>
  <c r="Y108" i="60"/>
  <c r="Y102" i="60" s="1"/>
  <c r="CI44" i="60"/>
  <c r="CI45" i="60" s="1"/>
  <c r="CI36" i="60"/>
  <c r="BX35" i="60"/>
  <c r="BX27" i="60"/>
  <c r="BM35" i="60"/>
  <c r="BM27" i="60"/>
  <c r="CH58" i="64"/>
  <c r="CH99" i="60"/>
  <c r="CH101" i="60" s="1"/>
  <c r="CH103" i="60" s="1"/>
  <c r="X11" i="72"/>
  <c r="AJ58" i="64"/>
  <c r="AJ99" i="60"/>
  <c r="O100" i="115" s="1"/>
  <c r="AU103" i="60"/>
  <c r="AN27" i="60"/>
  <c r="AN35" i="60"/>
  <c r="D103" i="65"/>
  <c r="D109" i="65"/>
  <c r="Q18" i="72"/>
  <c r="Q22" i="72" s="1"/>
  <c r="Q23" i="72" s="1"/>
  <c r="Q28" i="72" s="1"/>
  <c r="Q67" i="72" s="1"/>
  <c r="W101" i="60"/>
  <c r="W103" i="60" s="1"/>
  <c r="BJ58" i="64"/>
  <c r="BJ99" i="60"/>
  <c r="BJ101" i="60" s="1"/>
  <c r="U14" i="72"/>
  <c r="U15" i="72" s="1"/>
  <c r="AA57" i="64"/>
  <c r="Z108" i="60"/>
  <c r="Z102" i="60" s="1"/>
  <c r="U25" i="72" s="1"/>
  <c r="W11" i="72"/>
  <c r="AO27" i="60"/>
  <c r="AO35" i="60"/>
  <c r="BK58" i="64"/>
  <c r="BK99" i="60"/>
  <c r="BK101" i="60" s="1"/>
  <c r="T18" i="72"/>
  <c r="Y101" i="60"/>
  <c r="D100" i="65"/>
  <c r="F36" i="115"/>
  <c r="F37" i="115" s="1"/>
  <c r="F36" i="65"/>
  <c r="F37" i="65" s="1"/>
  <c r="AA36" i="60"/>
  <c r="AA44" i="60"/>
  <c r="BV58" i="64"/>
  <c r="BV99" i="60"/>
  <c r="BV101" i="60" s="1"/>
  <c r="BV103" i="60" s="1"/>
  <c r="V12" i="72"/>
  <c r="O23" i="72"/>
  <c r="N28" i="72"/>
  <c r="CG103" i="60"/>
  <c r="BK36" i="60"/>
  <c r="BK44" i="60"/>
  <c r="BK45" i="60" s="1"/>
  <c r="M100" i="65"/>
  <c r="M102" i="65" s="1"/>
  <c r="M104" i="65" s="1"/>
  <c r="M102" i="115"/>
  <c r="M104" i="115" s="1"/>
  <c r="AH101" i="60"/>
  <c r="AC18" i="72"/>
  <c r="AC22" i="72" s="1"/>
  <c r="BW44" i="60"/>
  <c r="BW45" i="60" s="1"/>
  <c r="BW36" i="60"/>
  <c r="D109" i="115"/>
  <c r="D103" i="115"/>
  <c r="AM36" i="60"/>
  <c r="AM44" i="60"/>
  <c r="AM45" i="60" s="1"/>
  <c r="P23" i="72"/>
  <c r="P28" i="72" s="1"/>
  <c r="P67" i="72" s="1"/>
  <c r="E103" i="65"/>
  <c r="E109" i="65"/>
  <c r="Z68" i="72"/>
  <c r="Z15" i="72"/>
  <c r="BU103" i="60"/>
  <c r="AG58" i="64"/>
  <c r="AG99" i="60"/>
  <c r="L100" i="115" s="1"/>
  <c r="AC15" i="72"/>
  <c r="Q39" i="44" l="1"/>
  <c r="D68" i="44" s="1"/>
  <c r="AY27" i="60"/>
  <c r="AY35" i="60"/>
  <c r="AZ18" i="60"/>
  <c r="AZ26" i="60"/>
  <c r="AY57" i="64"/>
  <c r="AX108" i="60"/>
  <c r="AX102" i="60" s="1"/>
  <c r="H73" i="44"/>
  <c r="P28" i="65"/>
  <c r="S21" i="65" s="1"/>
  <c r="BA26" i="60"/>
  <c r="BA18" i="60"/>
  <c r="AW58" i="64"/>
  <c r="AW99" i="60"/>
  <c r="AW101" i="60" s="1"/>
  <c r="AX57" i="64"/>
  <c r="AW108" i="60"/>
  <c r="AW102" i="60" s="1"/>
  <c r="P28" i="115"/>
  <c r="S21" i="115" s="1"/>
  <c r="AM108" i="60"/>
  <c r="AM102" i="60" s="1"/>
  <c r="AM103" i="60" s="1"/>
  <c r="BK108" i="60"/>
  <c r="BK102" i="60" s="1"/>
  <c r="BK103" i="60" s="1"/>
  <c r="BW108" i="60"/>
  <c r="BW102" i="60" s="1"/>
  <c r="BW103" i="60" s="1"/>
  <c r="V13" i="72"/>
  <c r="D102" i="65"/>
  <c r="BJ103" i="60"/>
  <c r="BM36" i="60"/>
  <c r="BM44" i="60"/>
  <c r="BM45" i="60" s="1"/>
  <c r="BN57" i="64" s="1"/>
  <c r="BX44" i="60"/>
  <c r="BX45" i="60" s="1"/>
  <c r="BX36" i="60"/>
  <c r="Z58" i="64"/>
  <c r="Z99" i="60"/>
  <c r="AE103" i="60"/>
  <c r="AB66" i="72"/>
  <c r="H36" i="115"/>
  <c r="H37" i="115" s="1"/>
  <c r="AC36" i="60"/>
  <c r="H36" i="65"/>
  <c r="H37" i="65" s="1"/>
  <c r="AC44" i="60"/>
  <c r="BL36" i="60"/>
  <c r="BL44" i="60"/>
  <c r="BL45" i="60" s="1"/>
  <c r="BL57" i="64"/>
  <c r="AC23" i="72"/>
  <c r="AC28" i="72" s="1"/>
  <c r="O28" i="72"/>
  <c r="N67" i="72"/>
  <c r="Y103" i="60"/>
  <c r="V66" i="72"/>
  <c r="AO36" i="60"/>
  <c r="AO44" i="60"/>
  <c r="AO45" i="60" s="1"/>
  <c r="BY44" i="60"/>
  <c r="BY45" i="60" s="1"/>
  <c r="BZ57" i="64" s="1"/>
  <c r="BY36" i="60"/>
  <c r="N100" i="65"/>
  <c r="N102" i="65" s="1"/>
  <c r="N104" i="65" s="1"/>
  <c r="N102" i="115"/>
  <c r="N104" i="115" s="1"/>
  <c r="AD18" i="72"/>
  <c r="AD22" i="72" s="1"/>
  <c r="AD23" i="72" s="1"/>
  <c r="AD28" i="72" s="1"/>
  <c r="AI101" i="60"/>
  <c r="AI103" i="60" s="1"/>
  <c r="G36" i="115"/>
  <c r="G37" i="115" s="1"/>
  <c r="AB44" i="60"/>
  <c r="AB36" i="60"/>
  <c r="W13" i="72" s="1"/>
  <c r="G36" i="65"/>
  <c r="G37" i="65" s="1"/>
  <c r="AF11" i="72"/>
  <c r="AE66" i="72"/>
  <c r="AH103" i="60"/>
  <c r="T22" i="72"/>
  <c r="AA58" i="64"/>
  <c r="AA99" i="60"/>
  <c r="F100" i="115" s="1"/>
  <c r="CI108" i="60"/>
  <c r="CI102" i="60" s="1"/>
  <c r="CI103" i="60" s="1"/>
  <c r="X12" i="72"/>
  <c r="AF12" i="72" s="1"/>
  <c r="BX57" i="64"/>
  <c r="AG101" i="60"/>
  <c r="L102" i="115"/>
  <c r="L104" i="115" s="1"/>
  <c r="AB18" i="72"/>
  <c r="AB22" i="72" s="1"/>
  <c r="AB23" i="72" s="1"/>
  <c r="AB28" i="72" s="1"/>
  <c r="L100" i="65"/>
  <c r="L102" i="65" s="1"/>
  <c r="L104" i="65" s="1"/>
  <c r="F45" i="65"/>
  <c r="F46" i="65" s="1"/>
  <c r="F45" i="115"/>
  <c r="F46" i="115" s="1"/>
  <c r="AA45" i="60"/>
  <c r="D102" i="115"/>
  <c r="AN36" i="60"/>
  <c r="AN44" i="60"/>
  <c r="AN45" i="60" s="1"/>
  <c r="AJ101" i="60"/>
  <c r="AJ103" i="60" s="1"/>
  <c r="O102" i="115"/>
  <c r="O104" i="115" s="1"/>
  <c r="O100" i="65"/>
  <c r="O102" i="65" s="1"/>
  <c r="O104" i="65" s="1"/>
  <c r="AE18" i="72"/>
  <c r="AE22" i="72" s="1"/>
  <c r="AE23" i="72" s="1"/>
  <c r="AE28" i="72" s="1"/>
  <c r="T25" i="72"/>
  <c r="D81" i="44"/>
  <c r="L81" i="44" s="1"/>
  <c r="Z23" i="72"/>
  <c r="Z28" i="72" s="1"/>
  <c r="K102" i="115"/>
  <c r="K104" i="115" s="1"/>
  <c r="K100" i="65"/>
  <c r="K102" i="65" s="1"/>
  <c r="K104" i="65" s="1"/>
  <c r="AF101" i="60"/>
  <c r="AA18" i="72"/>
  <c r="AA22" i="72" s="1"/>
  <c r="AA23" i="72" s="1"/>
  <c r="AA28" i="72" s="1"/>
  <c r="AN57" i="64"/>
  <c r="R39" i="44" l="1"/>
  <c r="X45" i="44" s="1"/>
  <c r="C68" i="44"/>
  <c r="C81" i="44" s="1"/>
  <c r="J81" i="44" s="1"/>
  <c r="Q40" i="44"/>
  <c r="D69" i="44" s="1"/>
  <c r="D71" i="44" s="1"/>
  <c r="E100" i="115"/>
  <c r="P37" i="115"/>
  <c r="S30" i="115" s="1"/>
  <c r="AW103" i="60"/>
  <c r="AZ27" i="60"/>
  <c r="AZ35" i="60"/>
  <c r="AY44" i="60"/>
  <c r="AY45" i="60" s="1"/>
  <c r="AY36" i="60"/>
  <c r="AX99" i="60"/>
  <c r="AX101" i="60" s="1"/>
  <c r="AX103" i="60" s="1"/>
  <c r="AX58" i="64"/>
  <c r="BA35" i="60"/>
  <c r="BA27" i="60"/>
  <c r="AY99" i="60"/>
  <c r="AY101" i="60" s="1"/>
  <c r="AY58" i="64"/>
  <c r="P37" i="65"/>
  <c r="S30" i="65" s="1"/>
  <c r="AN108" i="60"/>
  <c r="AN102" i="60" s="1"/>
  <c r="AE67" i="72"/>
  <c r="BN99" i="60"/>
  <c r="BN101" i="60" s="1"/>
  <c r="BN103" i="60" s="1"/>
  <c r="BN58" i="64"/>
  <c r="BZ99" i="60"/>
  <c r="BZ101" i="60" s="1"/>
  <c r="BZ103" i="60" s="1"/>
  <c r="BZ58" i="64"/>
  <c r="F109" i="65"/>
  <c r="F103" i="65"/>
  <c r="T23" i="72"/>
  <c r="T28" i="72" s="1"/>
  <c r="AN58" i="64"/>
  <c r="AN99" i="60"/>
  <c r="AN101" i="60" s="1"/>
  <c r="AF103" i="60"/>
  <c r="AC66" i="72"/>
  <c r="AC67" i="72" s="1"/>
  <c r="D104" i="115"/>
  <c r="AD66" i="72"/>
  <c r="AD67" i="72" s="1"/>
  <c r="AG103" i="60"/>
  <c r="E81" i="44"/>
  <c r="V14" i="72"/>
  <c r="AA108" i="60"/>
  <c r="AA102" i="60" s="1"/>
  <c r="AB57" i="64"/>
  <c r="BX58" i="64"/>
  <c r="BX99" i="60"/>
  <c r="BX101" i="60" s="1"/>
  <c r="F102" i="115"/>
  <c r="AA101" i="60"/>
  <c r="F100" i="65"/>
  <c r="F102" i="65" s="1"/>
  <c r="V18" i="72"/>
  <c r="V22" i="72" s="1"/>
  <c r="G45" i="65"/>
  <c r="G46" i="65" s="1"/>
  <c r="G45" i="115"/>
  <c r="G46" i="115" s="1"/>
  <c r="AB45" i="60"/>
  <c r="BL58" i="64"/>
  <c r="BL99" i="60"/>
  <c r="BL101" i="60" s="1"/>
  <c r="D104" i="65"/>
  <c r="F103" i="115"/>
  <c r="F109" i="115"/>
  <c r="AB67" i="72"/>
  <c r="AO108" i="60"/>
  <c r="AO102" i="60" s="1"/>
  <c r="AP57" i="64"/>
  <c r="BL108" i="60"/>
  <c r="BL102" i="60" s="1"/>
  <c r="BM57" i="64"/>
  <c r="H45" i="115"/>
  <c r="H46" i="115" s="1"/>
  <c r="AC45" i="60"/>
  <c r="H45" i="65"/>
  <c r="H46" i="65" s="1"/>
  <c r="BX108" i="60"/>
  <c r="BX102" i="60" s="1"/>
  <c r="Z101" i="60"/>
  <c r="E100" i="65"/>
  <c r="U18" i="72"/>
  <c r="BM108" i="60"/>
  <c r="BM102" i="60" s="1"/>
  <c r="BY57" i="64"/>
  <c r="BY108" i="60"/>
  <c r="BY102" i="60" s="1"/>
  <c r="X13" i="72"/>
  <c r="AF13" i="72" s="1"/>
  <c r="AO57" i="64"/>
  <c r="AD36" i="44" l="1"/>
  <c r="C69" i="44"/>
  <c r="C71" i="44" s="1"/>
  <c r="R40" i="44"/>
  <c r="AD38" i="44" s="1"/>
  <c r="E68" i="44"/>
  <c r="Q41" i="44"/>
  <c r="C72" i="44" s="1"/>
  <c r="C74" i="44" s="1"/>
  <c r="C82" i="44" s="1"/>
  <c r="J82" i="44" s="1"/>
  <c r="E69" i="44"/>
  <c r="F69" i="44" s="1"/>
  <c r="AL15" i="72"/>
  <c r="BA44" i="60"/>
  <c r="BA45" i="60" s="1"/>
  <c r="BA36" i="60"/>
  <c r="AZ57" i="64"/>
  <c r="AY108" i="60"/>
  <c r="AY102" i="60" s="1"/>
  <c r="AY103" i="60" s="1"/>
  <c r="AN103" i="60"/>
  <c r="AZ36" i="60"/>
  <c r="AZ44" i="60"/>
  <c r="AZ45" i="60" s="1"/>
  <c r="F104" i="65"/>
  <c r="U22" i="72"/>
  <c r="BM58" i="64"/>
  <c r="BM99" i="60"/>
  <c r="G103" i="115"/>
  <c r="G109" i="115"/>
  <c r="V15" i="72"/>
  <c r="V23" i="72" s="1"/>
  <c r="V68" i="72"/>
  <c r="AO99" i="60"/>
  <c r="AO58" i="64"/>
  <c r="W66" i="72"/>
  <c r="Z103" i="60"/>
  <c r="H103" i="115"/>
  <c r="H109" i="115"/>
  <c r="AP58" i="64"/>
  <c r="AP99" i="60"/>
  <c r="AP101" i="60" s="1"/>
  <c r="AP103" i="60" s="1"/>
  <c r="W14" i="72"/>
  <c r="AB108" i="60"/>
  <c r="AB102" i="60" s="1"/>
  <c r="W25" i="72" s="1"/>
  <c r="AC57" i="64"/>
  <c r="BX103" i="60"/>
  <c r="V25" i="72"/>
  <c r="BY58" i="64"/>
  <c r="BY99" i="60"/>
  <c r="BY101" i="60" s="1"/>
  <c r="BY103" i="60" s="1"/>
  <c r="E102" i="65"/>
  <c r="H109" i="65"/>
  <c r="H103" i="65"/>
  <c r="BL103" i="60"/>
  <c r="G103" i="65"/>
  <c r="G109" i="65"/>
  <c r="X66" i="72"/>
  <c r="AA103" i="60"/>
  <c r="AH15" i="72"/>
  <c r="P46" i="65"/>
  <c r="S39" i="65" s="1"/>
  <c r="E102" i="115"/>
  <c r="X14" i="72"/>
  <c r="X68" i="72" s="1"/>
  <c r="AI15" i="72"/>
  <c r="AC108" i="60"/>
  <c r="AC102" i="60" s="1"/>
  <c r="AD57" i="64"/>
  <c r="P46" i="115"/>
  <c r="S39" i="115" s="1"/>
  <c r="F104" i="115"/>
  <c r="AB58" i="64"/>
  <c r="AB99" i="60"/>
  <c r="H81" i="44"/>
  <c r="K81" i="44" s="1"/>
  <c r="F81" i="44"/>
  <c r="F68" i="44" l="1"/>
  <c r="H68" i="44"/>
  <c r="R41" i="44"/>
  <c r="D72" i="44"/>
  <c r="D74" i="44" s="1"/>
  <c r="E74" i="44" s="1"/>
  <c r="P109" i="65"/>
  <c r="X50" i="44"/>
  <c r="X47" i="44"/>
  <c r="AD40" i="44" s="1"/>
  <c r="E71" i="44"/>
  <c r="F71" i="44" s="1"/>
  <c r="G100" i="115"/>
  <c r="H69" i="44"/>
  <c r="BA57" i="64"/>
  <c r="AJ15" i="72"/>
  <c r="AZ108" i="60"/>
  <c r="AZ102" i="60" s="1"/>
  <c r="AZ99" i="60"/>
  <c r="AZ101" i="60" s="1"/>
  <c r="AZ58" i="64"/>
  <c r="P103" i="65"/>
  <c r="P46" i="76" s="1"/>
  <c r="BB57" i="64"/>
  <c r="BA108" i="60"/>
  <c r="BA102" i="60" s="1"/>
  <c r="AK15" i="72"/>
  <c r="V28" i="72"/>
  <c r="V67" i="72" s="1"/>
  <c r="P103" i="115"/>
  <c r="AF14" i="72"/>
  <c r="AF68" i="72" s="1"/>
  <c r="AK66" i="72"/>
  <c r="AK67" i="72" s="1"/>
  <c r="E104" i="65"/>
  <c r="BM101" i="60"/>
  <c r="AL22" i="72"/>
  <c r="AL23" i="72" s="1"/>
  <c r="AL28" i="72" s="1"/>
  <c r="AD58" i="64"/>
  <c r="AD99" i="60"/>
  <c r="I100" i="115" s="1"/>
  <c r="AC58" i="64"/>
  <c r="AC99" i="60"/>
  <c r="H100" i="115" s="1"/>
  <c r="AO101" i="60"/>
  <c r="U23" i="72"/>
  <c r="U28" i="72" s="1"/>
  <c r="X25" i="72"/>
  <c r="AF25" i="72" s="1"/>
  <c r="E104" i="115"/>
  <c r="Q42" i="44"/>
  <c r="P109" i="115"/>
  <c r="AB101" i="60"/>
  <c r="W18" i="72"/>
  <c r="G100" i="65"/>
  <c r="AH22" i="72"/>
  <c r="AH23" i="72" s="1"/>
  <c r="AH28" i="72" s="1"/>
  <c r="X15" i="72"/>
  <c r="W68" i="72"/>
  <c r="W15" i="72"/>
  <c r="D82" i="44" l="1"/>
  <c r="L82" i="44" s="1"/>
  <c r="E72" i="44"/>
  <c r="F72" i="44" s="1"/>
  <c r="H71" i="44"/>
  <c r="P46" i="91"/>
  <c r="AZ103" i="60"/>
  <c r="AJ22" i="72"/>
  <c r="AJ23" i="72" s="1"/>
  <c r="AJ28" i="72" s="1"/>
  <c r="BB99" i="60"/>
  <c r="BB101" i="60" s="1"/>
  <c r="BB103" i="60" s="1"/>
  <c r="BB58" i="64"/>
  <c r="BA99" i="60"/>
  <c r="BA58" i="64"/>
  <c r="AF15" i="72"/>
  <c r="W22" i="72"/>
  <c r="BM103" i="60"/>
  <c r="AJ66" i="72"/>
  <c r="AJ67" i="72" s="1"/>
  <c r="G102" i="115"/>
  <c r="F74" i="44"/>
  <c r="H74" i="44"/>
  <c r="E82" i="44"/>
  <c r="AC101" i="60"/>
  <c r="X18" i="72"/>
  <c r="X22" i="72" s="1"/>
  <c r="X23" i="72" s="1"/>
  <c r="X28" i="72" s="1"/>
  <c r="X67" i="72" s="1"/>
  <c r="AI22" i="72"/>
  <c r="AI23" i="72" s="1"/>
  <c r="AI28" i="72" s="1"/>
  <c r="H100" i="65"/>
  <c r="H102" i="65" s="1"/>
  <c r="H104" i="65" s="1"/>
  <c r="H102" i="115"/>
  <c r="H104" i="115" s="1"/>
  <c r="AB103" i="60"/>
  <c r="Y66" i="72"/>
  <c r="R42" i="44"/>
  <c r="C75" i="44"/>
  <c r="D75" i="44"/>
  <c r="X46" i="44"/>
  <c r="Q49" i="44"/>
  <c r="G102" i="65"/>
  <c r="AO103" i="60"/>
  <c r="AH66" i="72"/>
  <c r="AH67" i="72" s="1"/>
  <c r="AD101" i="60"/>
  <c r="I100" i="65"/>
  <c r="I102" i="65" s="1"/>
  <c r="I104" i="65" s="1"/>
  <c r="Y18" i="72"/>
  <c r="Y22" i="72" s="1"/>
  <c r="Y23" i="72" s="1"/>
  <c r="Y28" i="72" s="1"/>
  <c r="I102" i="115"/>
  <c r="I104" i="115" s="1"/>
  <c r="H72" i="44" l="1"/>
  <c r="BA101" i="60"/>
  <c r="AK22" i="72"/>
  <c r="AK23" i="72" s="1"/>
  <c r="AK28" i="72" s="1"/>
  <c r="P100" i="65"/>
  <c r="L48" i="44" s="1"/>
  <c r="AD103" i="60"/>
  <c r="AA66" i="72"/>
  <c r="AA67" i="72" s="1"/>
  <c r="Y67" i="72"/>
  <c r="G104" i="65"/>
  <c r="P104" i="65" s="1"/>
  <c r="P102" i="65"/>
  <c r="C83" i="44"/>
  <c r="J83" i="44" s="1"/>
  <c r="Z66" i="72"/>
  <c r="Z67" i="72" s="1"/>
  <c r="AC103" i="60"/>
  <c r="E75" i="44"/>
  <c r="D83" i="44"/>
  <c r="L83" i="44" s="1"/>
  <c r="F82" i="44"/>
  <c r="H82" i="44"/>
  <c r="K82" i="44" s="1"/>
  <c r="P100" i="115"/>
  <c r="AF18" i="72"/>
  <c r="G104" i="115"/>
  <c r="P104" i="115" s="1"/>
  <c r="P102" i="115"/>
  <c r="W23" i="72"/>
  <c r="W28" i="72" s="1"/>
  <c r="W67" i="72" s="1"/>
  <c r="AF22" i="72"/>
  <c r="AF23" i="72" s="1"/>
  <c r="AF28" i="72" s="1"/>
  <c r="AH34" i="72" s="1"/>
  <c r="M48" i="44" l="1"/>
  <c r="N48" i="44" s="1"/>
  <c r="P43" i="91"/>
  <c r="P44" i="91" s="1"/>
  <c r="R102" i="115" s="1"/>
  <c r="AF67" i="72"/>
  <c r="BA103" i="60"/>
  <c r="AI66" i="72"/>
  <c r="AI67" i="72" s="1"/>
  <c r="P43" i="76"/>
  <c r="E83" i="44"/>
  <c r="F75" i="44"/>
  <c r="H75" i="44"/>
  <c r="AF66" i="72"/>
  <c r="C77" i="44"/>
  <c r="R78" i="44"/>
  <c r="R79" i="44" s="1"/>
  <c r="L49" i="44"/>
  <c r="M54" i="44" s="1"/>
  <c r="M55" i="44" s="1"/>
  <c r="M49" i="44" l="1"/>
  <c r="N52" i="44" s="1"/>
  <c r="H19" i="44" s="1"/>
  <c r="D77" i="44"/>
  <c r="E77" i="44" s="1"/>
  <c r="F77" i="44" s="1"/>
  <c r="O48" i="44"/>
  <c r="P48" i="91"/>
  <c r="C84" i="44"/>
  <c r="C86" i="44" s="1"/>
  <c r="C79" i="44"/>
  <c r="F83" i="44"/>
  <c r="H83" i="44"/>
  <c r="K83" i="44" s="1"/>
  <c r="O49" i="44"/>
  <c r="C51" i="44"/>
  <c r="F61" i="61"/>
  <c r="F63" i="61" s="1"/>
  <c r="N49" i="44" l="1"/>
  <c r="AD33" i="44" s="1"/>
  <c r="AD43" i="44"/>
  <c r="D51" i="44"/>
  <c r="D79" i="44"/>
  <c r="E79" i="44" s="1"/>
  <c r="F79" i="44" s="1"/>
  <c r="D84" i="44"/>
  <c r="D86" i="44" s="1"/>
  <c r="E84" i="44"/>
  <c r="R49" i="44"/>
  <c r="AD34" i="44" s="1"/>
  <c r="H79" i="44" l="1"/>
  <c r="F84" i="44"/>
  <c r="E86" i="44"/>
  <c r="H86" i="44" l="1"/>
  <c r="F86" i="44"/>
  <c r="J40" i="76"/>
  <c r="M18" i="76"/>
  <c r="M40" i="76" s="1"/>
  <c r="P18" i="76" l="1"/>
  <c r="P40" i="76" s="1"/>
  <c r="P48" i="76" l="1"/>
  <c r="P44" i="76"/>
</calcChain>
</file>

<file path=xl/comments1.xml><?xml version="1.0" encoding="utf-8"?>
<comments xmlns="http://schemas.openxmlformats.org/spreadsheetml/2006/main">
  <authors>
    <author>gsmith</author>
  </authors>
  <commentList>
    <comment ref="B69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>
  <authors>
    <author>ldcotten</author>
  </authors>
  <commentList>
    <comment ref="S168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>
  <authors>
    <author>ldcotten</author>
  </authors>
  <commentList>
    <comment ref="S126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5.xml><?xml version="1.0" encoding="utf-8"?>
<comments xmlns="http://schemas.openxmlformats.org/spreadsheetml/2006/main">
  <authors>
    <author>gsmith</author>
    <author>Gary L. Smith</author>
    <author>Atmos Employee</author>
    <author>Gary L Smith</author>
  </authors>
  <commentList>
    <comment ref="A8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System L&amp;U noted in Nov 2015 GCA filing.
Sheet No. 6</t>
        </r>
      </text>
    </comment>
    <comment ref="K34" authorId="1">
      <text>
        <r>
          <rPr>
            <b/>
            <sz val="9"/>
            <color indexed="81"/>
            <rFont val="Tahoma"/>
            <family val="2"/>
          </rPr>
          <t>Gary L. Smith:</t>
        </r>
        <r>
          <rPr>
            <sz val="9"/>
            <color indexed="81"/>
            <rFont val="Tahoma"/>
            <family val="2"/>
          </rPr>
          <t xml:space="preserve">
Forward strip dated 11/5/2015</t>
        </r>
      </text>
    </comment>
    <comment ref="A35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 B.3-B.5
</t>
        </r>
      </text>
    </comment>
    <comment ref="C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D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E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F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G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H36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C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D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E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F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G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H37" authorId="2">
      <text>
        <r>
          <rPr>
            <b/>
            <sz val="9"/>
            <color indexed="81"/>
            <rFont val="Tahoma"/>
            <family val="2"/>
          </rPr>
          <t>Atmos Employee:</t>
        </r>
        <r>
          <rPr>
            <sz val="9"/>
            <color indexed="81"/>
            <rFont val="Tahoma"/>
            <family val="2"/>
          </rPr>
          <t xml:space="preserve">
GCA for guidance.
B.3-B.5</t>
        </r>
      </text>
    </comment>
    <comment ref="AB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March 2013 GCA filing for effect in May 2013.</t>
        </r>
      </text>
    </comment>
    <comment ref="AN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Aug-2009 GCA Filing</t>
        </r>
      </text>
    </comment>
    <comment ref="AZ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March 2013 GCA filing for effect in May 2013.</t>
        </r>
      </text>
    </comment>
    <comment ref="BL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March 2013 GCA filing for effect in May 2013.</t>
        </r>
      </text>
    </comment>
    <comment ref="BX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March 2013 GCA filing for effect in May 2013.</t>
        </r>
      </text>
    </comment>
    <comment ref="CJ76" author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March 2013 GCA filing for effect in May 2013.</t>
        </r>
      </text>
    </comment>
    <comment ref="I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J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P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U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V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B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G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H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N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S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T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AZ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E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F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L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Q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R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BX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CC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CJ77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  <comment ref="CC78" authorId="3">
      <text>
        <r>
          <rPr>
            <b/>
            <sz val="8"/>
            <color indexed="81"/>
            <rFont val="Tahoma"/>
            <family val="2"/>
          </rPr>
          <t>Gary L Smith:</t>
        </r>
        <r>
          <rPr>
            <sz val="8"/>
            <color indexed="81"/>
            <rFont val="Tahoma"/>
            <family val="2"/>
          </rPr>
          <t xml:space="preserve">
Proportion for formula is based on current GCA methodology.
</t>
        </r>
      </text>
    </comment>
  </commentList>
</comments>
</file>

<file path=xl/sharedStrings.xml><?xml version="1.0" encoding="utf-8"?>
<sst xmlns="http://schemas.openxmlformats.org/spreadsheetml/2006/main" count="2255" uniqueCount="711">
  <si>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</si>
  <si>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</si>
  <si>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</si>
  <si>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</si>
  <si>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</si>
  <si>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</si>
  <si>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</si>
  <si>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</si>
  <si>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</si>
  <si>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</si>
  <si>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</si>
  <si>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</si>
  <si>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</si>
  <si>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</si>
  <si>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</si>
  <si>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</si>
  <si>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</si>
  <si>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</si>
  <si>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</si>
  <si>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</si>
  <si>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</si>
  <si>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</si>
  <si>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</si>
  <si>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</si>
  <si>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</si>
  <si>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</si>
  <si>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</si>
  <si>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</si>
  <si>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</si>
  <si>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</si>
  <si>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</si>
  <si>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</si>
  <si>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</si>
  <si>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</si>
  <si>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</si>
  <si>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</si>
  <si>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</si>
  <si>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</si>
  <si>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</si>
  <si>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</si>
  <si>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</si>
  <si>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</si>
  <si>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</si>
  <si>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</si>
  <si>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</si>
  <si>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</si>
  <si>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</si>
  <si>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</si>
  <si>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</si>
  <si>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</si>
  <si>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</si>
  <si>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</si>
  <si>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</si>
  <si>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</si>
  <si>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</si>
  <si>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</si>
  <si>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</si>
  <si>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</si>
  <si>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</si>
  <si>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</si>
  <si>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</si>
  <si>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</si>
  <si>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</si>
  <si>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</si>
  <si>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</si>
  <si>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</si>
  <si>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</si>
  <si>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</si>
  <si>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</si>
  <si>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</si>
  <si>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</si>
  <si>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</si>
  <si>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</si>
  <si>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</si>
  <si>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</si>
  <si>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</si>
  <si>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</si>
  <si>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</si>
  <si>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</si>
  <si>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</si>
  <si>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</si>
  <si>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</si>
  <si>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</si>
  <si>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</si>
  <si>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</si>
  <si>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</si>
  <si>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</si>
  <si>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</si>
  <si>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</si>
  <si>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</si>
  <si>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</si>
  <si>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</si>
  <si>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</si>
  <si>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</si>
  <si>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</si>
  <si>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</si>
  <si>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</si>
  <si>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</si>
  <si>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</si>
  <si>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</si>
  <si>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</si>
  <si>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</si>
  <si>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</si>
  <si>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</si>
  <si>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</si>
  <si>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</si>
  <si>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</si>
  <si>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</si>
  <si>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</si>
  <si>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</si>
  <si>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</si>
  <si>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</si>
  <si>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</si>
  <si>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</si>
  <si>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</si>
  <si>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</si>
  <si>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</si>
  <si>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</si>
  <si>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</si>
  <si>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</si>
  <si>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</si>
  <si>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</si>
  <si>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</si>
  <si>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</si>
  <si>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</si>
  <si>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</si>
  <si>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</si>
  <si>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Sep</t>
  </si>
  <si>
    <t>Oct</t>
  </si>
  <si>
    <t>Nov</t>
  </si>
  <si>
    <t>Dec</t>
  </si>
  <si>
    <t>Jan</t>
  </si>
  <si>
    <t>Mar</t>
  </si>
  <si>
    <t>Apr</t>
  </si>
  <si>
    <t>May</t>
  </si>
  <si>
    <t>Jun</t>
  </si>
  <si>
    <t>Jul</t>
  </si>
  <si>
    <t>Aug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</si>
  <si>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</si>
  <si>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</si>
  <si>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</si>
  <si>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</si>
  <si>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</si>
  <si>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</si>
  <si>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</si>
  <si>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</si>
  <si>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</si>
  <si>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</si>
  <si>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</si>
  <si>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</si>
  <si>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</si>
  <si>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</si>
  <si>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</si>
  <si>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</si>
  <si>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</si>
  <si>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</si>
  <si>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</si>
  <si>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</si>
  <si>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</si>
  <si>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</si>
  <si>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</si>
  <si>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</si>
  <si>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</si>
  <si>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</si>
  <si>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</si>
  <si>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</si>
  <si>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</si>
  <si>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</si>
  <si>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</si>
  <si>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</si>
  <si>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</si>
  <si>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</si>
  <si>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</si>
  <si>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</si>
  <si>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</si>
  <si>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</si>
  <si>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</si>
  <si>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N/A</t>
  </si>
  <si>
    <t>TEST YEAR - ADJUSTED</t>
  </si>
  <si>
    <t>Page 1</t>
  </si>
  <si>
    <t>SIDE-BY-SIDE RATE SCHEDULES</t>
  </si>
  <si>
    <t>Current</t>
  </si>
  <si>
    <t>Proposed</t>
  </si>
  <si>
    <t>Proposed Rate</t>
  </si>
  <si>
    <t>Billing Component</t>
  </si>
  <si>
    <t>Applicable Tariffs</t>
  </si>
  <si>
    <t>Norm Hrs</t>
  </si>
  <si>
    <t>After Hrs</t>
  </si>
  <si>
    <t>CUSTOMER CHARGES, $/month</t>
  </si>
  <si>
    <t>SERVICE CHARGES</t>
  </si>
  <si>
    <t>Firm Services - Residential</t>
  </si>
  <si>
    <t>Meter Set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</si>
  <si>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</si>
  <si>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</si>
  <si>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</si>
  <si>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</si>
  <si>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</si>
  <si>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</si>
  <si>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</si>
  <si>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</si>
  <si>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</si>
  <si>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</si>
  <si>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</si>
  <si>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</si>
  <si>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</si>
  <si>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</si>
  <si>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Special Meter Reading Charge</t>
  </si>
  <si>
    <t>1-15000 Mcf</t>
  </si>
  <si>
    <t>Returned Check Charge</t>
  </si>
  <si>
    <t>Class 1 EFM Equipment Charge</t>
  </si>
  <si>
    <t>Class 2 EFM Equipment Charge</t>
  </si>
  <si>
    <t>OVERRUN CHARGES, $/Mcf</t>
  </si>
  <si>
    <t>Firm Carriage Overrun</t>
  </si>
  <si>
    <t>Late Payment Charge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</si>
  <si>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</si>
  <si>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</si>
  <si>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</si>
  <si>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</si>
  <si>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</si>
  <si>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</si>
  <si>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</si>
  <si>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</si>
  <si>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</si>
  <si>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</si>
  <si>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</si>
  <si>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</si>
  <si>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</si>
  <si>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</si>
  <si>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</si>
  <si>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</si>
  <si>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Current Rate</t>
  </si>
  <si>
    <t>Turn On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</si>
  <si>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</si>
  <si>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</si>
  <si>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</si>
  <si>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</si>
  <si>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</si>
  <si>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</si>
  <si>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</si>
  <si>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</si>
  <si>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</si>
  <si>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</si>
  <si>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</si>
  <si>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</si>
  <si>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</si>
  <si>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</si>
  <si>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</si>
  <si>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</si>
  <si>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</si>
  <si>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</si>
  <si>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</si>
  <si>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</si>
  <si>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</si>
  <si>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</si>
  <si>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</si>
  <si>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</si>
  <si>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</si>
  <si>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</si>
  <si>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</si>
  <si>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</si>
  <si>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</si>
  <si>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</si>
  <si>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</si>
  <si>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</si>
  <si>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</si>
  <si>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</si>
  <si>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</si>
  <si>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</si>
  <si>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</si>
  <si>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</si>
  <si>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</si>
  <si>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</si>
  <si>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</si>
  <si>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</si>
  <si>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</si>
  <si>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</si>
  <si>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</si>
  <si>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</si>
  <si>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</si>
  <si>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</si>
  <si>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</si>
  <si>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</si>
  <si>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</si>
  <si>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</si>
  <si>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</si>
  <si>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</si>
  <si>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</si>
  <si>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</si>
  <si>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</si>
  <si>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</si>
  <si>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</si>
  <si>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</si>
  <si>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</si>
  <si>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</si>
  <si>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</si>
  <si>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</si>
  <si>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</si>
  <si>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</si>
  <si>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</si>
  <si>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</si>
  <si>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</si>
  <si>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</si>
  <si>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</si>
  <si>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</si>
  <si>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</si>
  <si>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</si>
  <si>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</si>
  <si>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</si>
  <si>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</si>
  <si>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</si>
  <si>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</si>
  <si>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</si>
  <si>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</si>
  <si>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</si>
  <si>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</si>
  <si>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</si>
  <si>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</si>
  <si>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</si>
  <si>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</si>
  <si>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</si>
  <si>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</si>
  <si>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</si>
  <si>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</si>
  <si>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</si>
  <si>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</si>
  <si>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</si>
  <si>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</si>
  <si>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</si>
  <si>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</si>
  <si>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</si>
  <si>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</si>
  <si>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</si>
  <si>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</si>
  <si>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</si>
  <si>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</si>
  <si>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</si>
  <si>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</si>
  <si>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</si>
  <si>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</si>
  <si>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</si>
  <si>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</si>
  <si>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</si>
  <si>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</si>
  <si>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</si>
  <si>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</si>
  <si>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</si>
  <si>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</si>
  <si>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</si>
  <si>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</si>
  <si>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</si>
  <si>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</si>
  <si>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</si>
  <si>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</si>
  <si>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</si>
  <si>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</si>
  <si>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</si>
  <si>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</si>
  <si>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</si>
  <si>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</si>
  <si>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</si>
  <si>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</si>
  <si>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</si>
  <si>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</si>
  <si>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</si>
  <si>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</si>
  <si>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</si>
  <si>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</si>
  <si>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</si>
  <si>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</si>
  <si>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</si>
  <si>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</si>
  <si>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</si>
  <si>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</si>
  <si>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</si>
  <si>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</si>
  <si>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</si>
  <si>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</si>
  <si>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</si>
  <si>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</si>
  <si>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</si>
  <si>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</si>
  <si>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</si>
  <si>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</si>
  <si>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</si>
  <si>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</si>
  <si>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</si>
  <si>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</si>
  <si>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</si>
  <si>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</si>
  <si>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</si>
  <si>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</si>
  <si>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</si>
  <si>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</si>
  <si>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</si>
  <si>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</si>
  <si>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</si>
  <si>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</si>
  <si>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</si>
  <si>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</si>
  <si>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</si>
  <si>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</si>
  <si>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</si>
  <si>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</si>
  <si>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</si>
  <si>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|||Eliminate</t>
  </si>
  <si>
    <t>Apparently used for CCS</t>
  </si>
  <si>
    <t>GC</t>
  </si>
  <si>
    <t>Dist Marg</t>
  </si>
  <si>
    <t>CURRENT RATES</t>
  </si>
  <si>
    <t>Premise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</si>
  <si>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</si>
  <si>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</si>
  <si>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</si>
  <si>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</si>
  <si>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</si>
  <si>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</si>
  <si>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</si>
  <si>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</si>
  <si>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</si>
  <si>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</si>
  <si>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</si>
  <si>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</si>
  <si>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</si>
  <si>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</si>
  <si>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</si>
  <si>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</si>
  <si>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</si>
  <si>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</si>
  <si>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</si>
  <si>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</si>
  <si>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</si>
  <si>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</si>
  <si>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</si>
  <si>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</si>
  <si>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</si>
  <si>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</si>
  <si>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</si>
  <si>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</si>
  <si>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</si>
  <si>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Co Owned &amp; TN ($)</t>
  </si>
  <si>
    <t>Cumulative ($)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</si>
  <si>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</si>
  <si>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</si>
  <si>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</si>
  <si>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</si>
  <si>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</si>
  <si>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</si>
  <si>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</si>
  <si>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</si>
  <si>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</si>
  <si>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</si>
  <si>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</si>
  <si>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</si>
  <si>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</si>
  <si>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</si>
  <si>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</si>
  <si>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</si>
  <si>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</si>
  <si>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</si>
  <si>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</si>
  <si>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</si>
  <si>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</si>
  <si>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</si>
  <si>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</si>
  <si>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</si>
  <si>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</si>
  <si>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</si>
  <si>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</si>
  <si>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</si>
  <si>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</si>
  <si>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</si>
  <si>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</si>
  <si>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</si>
  <si>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</si>
  <si>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</si>
  <si>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</si>
  <si>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</si>
  <si>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</si>
  <si>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</si>
  <si>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</si>
  <si>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</si>
  <si>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</si>
  <si>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</si>
  <si>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</si>
  <si>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</si>
  <si>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</si>
  <si>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</si>
  <si>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</si>
  <si>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</si>
  <si>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</si>
  <si>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</si>
  <si>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</si>
  <si>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</si>
  <si>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</si>
  <si>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</si>
  <si>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</si>
  <si>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</si>
  <si>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</si>
  <si>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</si>
  <si>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</si>
  <si>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</si>
  <si>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</si>
  <si>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</si>
  <si>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</si>
  <si>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</si>
  <si>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</si>
  <si>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</si>
  <si>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</si>
  <si>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</si>
  <si>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</si>
  <si>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</si>
  <si>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</si>
  <si>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</si>
  <si>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</si>
  <si>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</si>
  <si>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</si>
  <si>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</si>
  <si>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</si>
  <si>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</si>
  <si>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G-2</t>
  </si>
  <si>
    <t>T-4</t>
  </si>
  <si>
    <t>Firm Transportation</t>
  </si>
  <si>
    <t>T-3</t>
  </si>
  <si>
    <t>Interruptible Transportation</t>
  </si>
  <si>
    <t>Interruptible Sales</t>
  </si>
  <si>
    <t>Feb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</si>
  <si>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</si>
  <si>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</si>
  <si>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</si>
  <si>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</si>
  <si>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</si>
  <si>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</si>
  <si>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</si>
  <si>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</si>
  <si>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</si>
  <si>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Had been keyed on row 138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</si>
  <si>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</si>
  <si>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</si>
  <si>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</si>
  <si>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</si>
  <si>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</si>
  <si>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</si>
  <si>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</si>
  <si>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</si>
  <si>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</si>
  <si>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</si>
  <si>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</si>
  <si>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</si>
  <si>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Pipeline Losses @ 3%</t>
  </si>
  <si>
    <t>Transp Adm/Parking/ EFM Charges</t>
  </si>
  <si>
    <t>W/o PRP&gt;</t>
  </si>
  <si>
    <t>% fixed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</si>
  <si>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</si>
  <si>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</si>
  <si>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</si>
  <si>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</si>
  <si>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</si>
  <si>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</si>
  <si>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</si>
  <si>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</si>
  <si>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</si>
  <si>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</si>
  <si>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</si>
  <si>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</si>
  <si>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</si>
  <si>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</si>
  <si>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</si>
  <si>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</si>
  <si>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</si>
  <si>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</si>
  <si>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</si>
  <si>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</si>
  <si>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</si>
  <si>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</si>
  <si>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</si>
  <si>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</si>
  <si>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</si>
  <si>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</si>
  <si>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</si>
  <si>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</si>
  <si>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</si>
  <si>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</si>
  <si>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</si>
  <si>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</si>
  <si>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</si>
  <si>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</si>
  <si>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</si>
  <si>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</si>
  <si>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</si>
  <si>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</si>
  <si>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</si>
  <si>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</si>
  <si>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</si>
  <si>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</si>
  <si>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</si>
  <si>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</si>
  <si>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</si>
  <si>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</si>
  <si>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</si>
  <si>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</si>
  <si>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</si>
  <si>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</si>
  <si>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</si>
  <si>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</si>
  <si>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(Weather Basis: 10-years ending 2015)</t>
  </si>
  <si>
    <t>10 YR LAGGED Normal HDDs (2005 - 2015)</t>
  </si>
  <si>
    <t>1st Day of Ref Period&gt;&gt;&gt;</t>
  </si>
  <si>
    <t>Per NOAA, as reported for stations in Paducah (35.0%), Evansville (23.9%), Louisville (4.3%), Lexington (13.9%) and Nasvhille (23.0%).</t>
  </si>
  <si>
    <t>(NOAA 2005-2015)</t>
  </si>
  <si>
    <t>WEATHER ADJUSTMENT - BASE NOAA 2005-2015</t>
  </si>
  <si>
    <t xml:space="preserve">EXHIBIT GLS-5  </t>
  </si>
  <si>
    <t xml:space="preserve">EXHIBIT GLS-7  </t>
  </si>
  <si>
    <t xml:space="preserve">EXHIBIT GLS-6  </t>
  </si>
  <si>
    <t xml:space="preserve">EXHIBIT GLS-2  </t>
  </si>
  <si>
    <t>EXHIBIT GLS-4 (A)</t>
  </si>
  <si>
    <t xml:space="preserve">EXHIBIT GLS-4 (B)  </t>
  </si>
  <si>
    <t xml:space="preserve">EXHIBIT GLS-1  </t>
  </si>
  <si>
    <t xml:space="preserve">EXHIBIT GLS-3  </t>
  </si>
  <si>
    <t>Grand Total</t>
  </si>
  <si>
    <t>Projected &gt;&gt;</t>
  </si>
  <si>
    <t>&lt;&lt; Actual</t>
  </si>
  <si>
    <t>Base Period</t>
  </si>
  <si>
    <t>Increased Load</t>
  </si>
  <si>
    <t>Special Contract</t>
  </si>
  <si>
    <t>New Customer</t>
  </si>
  <si>
    <t>T3</t>
  </si>
  <si>
    <t>Decrease Load</t>
  </si>
  <si>
    <t>T4</t>
  </si>
  <si>
    <t>G1</t>
  </si>
  <si>
    <t>Closing</t>
  </si>
  <si>
    <t>Closed Meter</t>
  </si>
  <si>
    <t>4000916634</t>
  </si>
  <si>
    <t>Moved to T4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</si>
  <si>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</si>
  <si>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</si>
  <si>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</si>
  <si>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</si>
  <si>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</si>
  <si>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</si>
  <si>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</si>
  <si>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Co Owned &amp; TN (Mcf)</t>
  </si>
  <si>
    <t>TGT NNS (Mcf)</t>
  </si>
  <si>
    <t>Total Cumulative ($) - prior</t>
  </si>
  <si>
    <t>40-170396</t>
  </si>
  <si>
    <t>Decreased Load</t>
  </si>
  <si>
    <t>Plant Closing</t>
  </si>
  <si>
    <t>Expansions/Load Additions</t>
  </si>
  <si>
    <t>Load Reductions</t>
  </si>
  <si>
    <t>New Customers</t>
  </si>
  <si>
    <t>Closings</t>
  </si>
  <si>
    <t>Service Changes</t>
  </si>
  <si>
    <t>^^^^^^^^^</t>
  </si>
  <si>
    <t>Shift From Special Contract</t>
  </si>
  <si>
    <t>Shift to EDR</t>
  </si>
  <si>
    <t>EDR</t>
  </si>
  <si>
    <t>199563B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</si>
  <si>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</si>
  <si>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</si>
  <si>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</si>
  <si>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</si>
  <si>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</si>
  <si>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</si>
  <si>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</si>
  <si>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</si>
  <si>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Special Contract Reformations</t>
  </si>
  <si>
    <t>Sp K Reformation</t>
  </si>
  <si>
    <t>Current EDR Rate</t>
  </si>
  <si>
    <t>R/C/PA Inc</t>
  </si>
  <si>
    <t>Base Chrg</t>
  </si>
  <si>
    <t>Rev Req &gt;&gt;</t>
  </si>
  <si>
    <t>Sp K Distr. Charge (Vol Adj)</t>
  </si>
  <si>
    <t>Increase Load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</si>
  <si>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</si>
  <si>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</si>
  <si>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</si>
  <si>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</si>
  <si>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</si>
  <si>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</si>
  <si>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</si>
  <si>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</si>
  <si>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Nov 2015 GCA</t>
  </si>
  <si>
    <t>Prop</t>
  </si>
  <si>
    <t>Customer 1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</si>
  <si>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</si>
  <si>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</si>
  <si>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</si>
  <si>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</si>
  <si>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</si>
  <si>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</si>
  <si>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</si>
  <si>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</si>
  <si>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</si>
  <si>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</si>
  <si>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</si>
  <si>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</si>
  <si>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14</t>
  </si>
  <si>
    <t>Customer 15</t>
  </si>
  <si>
    <t>Customer 16</t>
  </si>
  <si>
    <t>Customer 17</t>
  </si>
  <si>
    <t>Customer 18</t>
  </si>
  <si>
    <t>Customer 19</t>
  </si>
  <si>
    <t>Customer 20</t>
  </si>
  <si>
    <t>Customer 21</t>
  </si>
  <si>
    <t>SUMMARY OF RATES</t>
  </si>
  <si>
    <t>Applicable</t>
  </si>
  <si>
    <t>Tariffs</t>
  </si>
  <si>
    <t>Basis:  NOAA Normals for 2005-2015</t>
  </si>
  <si>
    <t>TEST YEAR ENDING MAY, 31 2017</t>
  </si>
  <si>
    <t>Reference Period - Twelve Months Ending 08/31/2015</t>
  </si>
  <si>
    <t>Workpapers</t>
  </si>
  <si>
    <t>Exhibits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</si>
</sst>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_(* #,##0.0_);_(* \(#,##0.0\);_(* &quot;-&quot;?_);_(@_)"/>
    <numFmt numFmtId="192" formatCode="#,##0.0_);\(#,##0.0\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0"/>
      <color rgb="FFFFFF00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/>
    <xf numFmtId="0" fontId="2" fillId="0" borderId="0"/>
    <xf numFmtId="0" fontId="6" fillId="0" borderId="0"/>
    <xf numFmtId="0" fontId="6" fillId="0" borderId="0"/>
    <xf numFmtId="0" fontId="5" fillId="0" borderId="0"/>
    <xf numFmtId="37" fontId="14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724">
    <xf numFmtId="0" fontId="0" fillId="0" borderId="0" xfId="0"/>
    <xf numFmtId="0" fontId="3" fillId="0" borderId="0" xfId="6" applyFont="1" applyFill="1"/>
    <xf numFmtId="0" fontId="3" fillId="0" borderId="0" xfId="6" applyFont="1"/>
    <xf numFmtId="5" fontId="3" fillId="0" borderId="0" xfId="6" applyNumberFormat="1" applyFont="1" applyFill="1" applyProtection="1"/>
    <xf numFmtId="0" fontId="3" fillId="0" borderId="0" xfId="6" applyFont="1" applyFill="1" applyAlignment="1">
      <alignment horizontal="center"/>
    </xf>
    <xf numFmtId="168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 applyProtection="1"/>
    <xf numFmtId="0" fontId="3" fillId="0" borderId="0" xfId="6" applyFont="1" applyFill="1" applyAlignment="1">
      <alignment horizontal="left"/>
    </xf>
    <xf numFmtId="0" fontId="3" fillId="0" borderId="1" xfId="6" applyFont="1" applyFill="1" applyBorder="1" applyAlignment="1">
      <alignment horizontal="left"/>
    </xf>
    <xf numFmtId="0" fontId="3" fillId="0" borderId="1" xfId="6" applyFont="1" applyFill="1" applyBorder="1"/>
    <xf numFmtId="0" fontId="3" fillId="0" borderId="1" xfId="6" applyFont="1" applyFill="1" applyBorder="1" applyAlignment="1">
      <alignment horizontal="center"/>
    </xf>
    <xf numFmtId="7" fontId="3" fillId="0" borderId="0" xfId="6" applyNumberFormat="1" applyFont="1" applyFill="1" applyProtection="1"/>
    <xf numFmtId="164" fontId="3" fillId="0" borderId="0" xfId="1" applyNumberFormat="1" applyFont="1" applyFill="1" applyProtection="1"/>
    <xf numFmtId="175" fontId="3" fillId="0" borderId="0" xfId="1" applyNumberFormat="1" applyFont="1" applyFill="1" applyProtection="1"/>
    <xf numFmtId="170" fontId="3" fillId="0" borderId="0" xfId="6" applyNumberFormat="1" applyFont="1" applyFill="1" applyProtection="1"/>
    <xf numFmtId="0" fontId="3" fillId="0" borderId="0" xfId="6" applyFont="1" applyFill="1" applyBorder="1" applyAlignment="1">
      <alignment horizontal="center"/>
    </xf>
    <xf numFmtId="0" fontId="3" fillId="0" borderId="0" xfId="6" applyFont="1" applyFill="1" applyBorder="1"/>
    <xf numFmtId="0" fontId="3" fillId="0" borderId="0" xfId="6" applyFont="1" applyBorder="1"/>
    <xf numFmtId="0" fontId="3" fillId="0" borderId="0" xfId="6" applyFont="1" applyFill="1" applyAlignment="1">
      <alignment horizontal="centerContinuous"/>
    </xf>
    <xf numFmtId="5" fontId="3" fillId="0" borderId="0" xfId="6" applyNumberFormat="1" applyFont="1" applyFill="1" applyAlignment="1" applyProtection="1">
      <alignment horizontal="centerContinuous"/>
    </xf>
    <xf numFmtId="10" fontId="3" fillId="0" borderId="0" xfId="6" applyNumberFormat="1" applyFont="1" applyFill="1" applyAlignment="1" applyProtection="1">
      <alignment horizontal="centerContinuous"/>
    </xf>
    <xf numFmtId="5" fontId="3" fillId="0" borderId="0" xfId="6" applyNumberFormat="1" applyFont="1" applyFill="1" applyBorder="1" applyProtection="1"/>
    <xf numFmtId="37" fontId="3" fillId="0" borderId="0" xfId="6" applyNumberFormat="1" applyFont="1" applyFill="1" applyBorder="1" applyProtection="1"/>
    <xf numFmtId="170" fontId="3" fillId="0" borderId="0" xfId="6" applyNumberFormat="1" applyFont="1" applyFill="1" applyBorder="1" applyProtection="1"/>
    <xf numFmtId="167" fontId="3" fillId="0" borderId="0" xfId="6" applyNumberFormat="1" applyFont="1" applyFill="1" applyBorder="1" applyProtection="1"/>
    <xf numFmtId="0" fontId="7" fillId="0" borderId="0" xfId="6" applyFont="1" applyFill="1" applyBorder="1"/>
    <xf numFmtId="37" fontId="3" fillId="0" borderId="0" xfId="6" applyNumberFormat="1" applyFont="1" applyBorder="1"/>
    <xf numFmtId="174" fontId="3" fillId="0" borderId="0" xfId="6" applyNumberFormat="1" applyFont="1" applyFill="1" applyBorder="1"/>
    <xf numFmtId="172" fontId="3" fillId="0" borderId="0" xfId="6" applyNumberFormat="1" applyFont="1" applyFill="1" applyBorder="1" applyProtection="1"/>
    <xf numFmtId="171" fontId="3" fillId="0" borderId="0" xfId="6" applyNumberFormat="1" applyFont="1" applyFill="1" applyBorder="1" applyProtection="1"/>
    <xf numFmtId="164" fontId="3" fillId="0" borderId="0" xfId="1" applyNumberFormat="1" applyFont="1" applyFill="1" applyBorder="1" applyProtection="1"/>
    <xf numFmtId="37" fontId="3" fillId="0" borderId="2" xfId="6" applyNumberFormat="1" applyFont="1" applyFill="1" applyBorder="1"/>
    <xf numFmtId="0" fontId="3" fillId="0" borderId="2" xfId="6" applyFont="1" applyFill="1" applyBorder="1"/>
    <xf numFmtId="5" fontId="3" fillId="0" borderId="2" xfId="6" applyNumberFormat="1" applyFont="1" applyFill="1" applyBorder="1"/>
    <xf numFmtId="164" fontId="3" fillId="0" borderId="0" xfId="1" applyNumberFormat="1" applyFont="1"/>
    <xf numFmtId="0" fontId="8" fillId="0" borderId="0" xfId="6" applyFont="1" applyFill="1" applyBorder="1"/>
    <xf numFmtId="164" fontId="3" fillId="0" borderId="0" xfId="1" applyNumberFormat="1" applyFont="1" applyFill="1" applyBorder="1" applyAlignment="1">
      <alignment horizontal="center"/>
    </xf>
    <xf numFmtId="37" fontId="3" fillId="0" borderId="0" xfId="6" applyNumberFormat="1" applyFont="1" applyFill="1" applyBorder="1"/>
    <xf numFmtId="5" fontId="3" fillId="0" borderId="0" xfId="6" applyNumberFormat="1" applyFont="1" applyFill="1" applyBorder="1"/>
    <xf numFmtId="39" fontId="3" fillId="0" borderId="0" xfId="6" applyNumberFormat="1" applyFont="1" applyFill="1" applyProtection="1"/>
    <xf numFmtId="0" fontId="3" fillId="0" borderId="0" xfId="6" quotePrefix="1" applyFont="1" applyFill="1"/>
    <xf numFmtId="0" fontId="3" fillId="0" borderId="0" xfId="0" applyFont="1" applyFill="1" applyBorder="1"/>
    <xf numFmtId="164" fontId="3" fillId="0" borderId="0" xfId="6" applyNumberFormat="1" applyFont="1"/>
    <xf numFmtId="37" fontId="3" fillId="0" borderId="0" xfId="6" applyNumberFormat="1" applyFont="1"/>
    <xf numFmtId="164" fontId="3" fillId="0" borderId="0" xfId="1" applyNumberFormat="1" applyFont="1" applyFill="1" applyBorder="1"/>
    <xf numFmtId="164" fontId="3" fillId="0" borderId="0" xfId="1" applyNumberFormat="1" applyFont="1" applyFill="1"/>
    <xf numFmtId="164" fontId="3" fillId="0" borderId="0" xfId="6" applyNumberFormat="1" applyFont="1" applyBorder="1"/>
    <xf numFmtId="0" fontId="3" fillId="0" borderId="0" xfId="6" applyFont="1" applyAlignment="1">
      <alignment horizontal="center"/>
    </xf>
    <xf numFmtId="39" fontId="3" fillId="0" borderId="0" xfId="6" applyNumberFormat="1" applyFont="1" applyFill="1" applyBorder="1" applyProtection="1"/>
    <xf numFmtId="164" fontId="3" fillId="0" borderId="0" xfId="1" applyNumberFormat="1" applyFont="1" applyBorder="1"/>
    <xf numFmtId="0" fontId="3" fillId="0" borderId="3" xfId="6" applyFont="1" applyBorder="1" applyAlignment="1">
      <alignment horizontal="center"/>
    </xf>
    <xf numFmtId="39" fontId="3" fillId="0" borderId="0" xfId="6" applyNumberFormat="1" applyFont="1" applyFill="1" applyBorder="1"/>
    <xf numFmtId="37" fontId="3" fillId="0" borderId="0" xfId="1" applyNumberFormat="1" applyFont="1" applyFill="1" applyBorder="1"/>
    <xf numFmtId="174" fontId="3" fillId="0" borderId="0" xfId="6" applyNumberFormat="1" applyFont="1" applyFill="1" applyBorder="1" applyAlignment="1">
      <alignment horizontal="right"/>
    </xf>
    <xf numFmtId="0" fontId="3" fillId="0" borderId="0" xfId="6" applyFont="1" applyFill="1" applyBorder="1" applyAlignment="1">
      <alignment horizontal="left"/>
    </xf>
    <xf numFmtId="7" fontId="3" fillId="0" borderId="0" xfId="6" applyNumberFormat="1" applyFont="1" applyFill="1" applyBorder="1" applyProtection="1"/>
    <xf numFmtId="175" fontId="3" fillId="0" borderId="0" xfId="1" applyNumberFormat="1" applyFont="1" applyFill="1" applyBorder="1" applyProtection="1"/>
    <xf numFmtId="164" fontId="11" fillId="0" borderId="0" xfId="1" applyNumberFormat="1" applyFont="1" applyFill="1"/>
    <xf numFmtId="37" fontId="7" fillId="0" borderId="0" xfId="6" applyNumberFormat="1" applyFont="1" applyFill="1" applyBorder="1" applyAlignment="1" applyProtection="1">
      <alignment horizontal="center"/>
    </xf>
    <xf numFmtId="5" fontId="3" fillId="0" borderId="0" xfId="6" applyNumberFormat="1" applyFont="1" applyBorder="1"/>
    <xf numFmtId="5" fontId="3" fillId="0" borderId="0" xfId="6" applyNumberFormat="1" applyFont="1" applyFill="1"/>
    <xf numFmtId="164" fontId="3" fillId="0" borderId="0" xfId="6" applyNumberFormat="1" applyFont="1" applyFill="1" applyBorder="1" applyAlignment="1">
      <alignment horizontal="center"/>
    </xf>
    <xf numFmtId="170" fontId="3" fillId="0" borderId="0" xfId="6" quotePrefix="1" applyNumberFormat="1" applyFont="1" applyFill="1" applyBorder="1" applyProtection="1"/>
    <xf numFmtId="0" fontId="3" fillId="0" borderId="0" xfId="6" quotePrefix="1" applyFont="1" applyFill="1" applyBorder="1"/>
    <xf numFmtId="0" fontId="3" fillId="0" borderId="0" xfId="6" quotePrefix="1" applyFont="1" applyBorder="1"/>
    <xf numFmtId="165" fontId="3" fillId="0" borderId="1" xfId="6" applyNumberFormat="1" applyFont="1" applyFill="1" applyBorder="1" applyAlignment="1">
      <alignment horizontal="center"/>
    </xf>
    <xf numFmtId="3" fontId="3" fillId="0" borderId="0" xfId="6" applyNumberFormat="1" applyFont="1" applyFill="1"/>
    <xf numFmtId="3" fontId="3" fillId="0" borderId="2" xfId="6" applyNumberFormat="1" applyFont="1" applyFill="1" applyBorder="1"/>
    <xf numFmtId="0" fontId="8" fillId="0" borderId="0" xfId="6" applyFont="1"/>
    <xf numFmtId="170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/>
    <xf numFmtId="37" fontId="3" fillId="0" borderId="0" xfId="6" applyNumberFormat="1" applyFont="1" applyFill="1" applyAlignment="1">
      <alignment horizontal="right"/>
    </xf>
    <xf numFmtId="5" fontId="3" fillId="0" borderId="0" xfId="6" applyNumberFormat="1" applyFont="1" applyFill="1" applyAlignment="1">
      <alignment horizontal="right"/>
    </xf>
    <xf numFmtId="43" fontId="3" fillId="0" borderId="0" xfId="1" applyFont="1" applyFill="1" applyAlignment="1" applyProtection="1">
      <alignment horizontal="centerContinuous"/>
    </xf>
    <xf numFmtId="10" fontId="3" fillId="0" borderId="0" xfId="9" applyNumberFormat="1" applyFont="1" applyFill="1" applyBorder="1"/>
    <xf numFmtId="5" fontId="3" fillId="0" borderId="0" xfId="6" applyNumberFormat="1" applyFont="1"/>
    <xf numFmtId="164" fontId="3" fillId="0" borderId="0" xfId="6" applyNumberFormat="1" applyFont="1" applyFill="1" applyBorder="1"/>
    <xf numFmtId="164" fontId="11" fillId="0" borderId="0" xfId="1" applyNumberFormat="1" applyFont="1" applyFill="1" applyBorder="1"/>
    <xf numFmtId="170" fontId="3" fillId="0" borderId="0" xfId="6" applyNumberFormat="1" applyFont="1" applyFill="1" applyBorder="1"/>
    <xf numFmtId="170" fontId="3" fillId="0" borderId="0" xfId="6" applyNumberFormat="1" applyFont="1" applyFill="1" applyBorder="1" applyAlignment="1" applyProtection="1">
      <alignment horizontal="center"/>
    </xf>
    <xf numFmtId="37" fontId="3" fillId="0" borderId="0" xfId="6" quotePrefix="1" applyNumberFormat="1" applyFont="1" applyFill="1" applyBorder="1" applyAlignment="1" applyProtection="1">
      <alignment horizontal="right"/>
    </xf>
    <xf numFmtId="0" fontId="3" fillId="0" borderId="0" xfId="6" quotePrefix="1" applyFont="1" applyFill="1" applyAlignment="1">
      <alignment horizontal="center"/>
    </xf>
    <xf numFmtId="1" fontId="8" fillId="0" borderId="0" xfId="6" applyNumberFormat="1" applyFont="1" applyFill="1" applyBorder="1"/>
    <xf numFmtId="1" fontId="3" fillId="0" borderId="0" xfId="6" applyNumberFormat="1" applyFont="1" applyFill="1" applyBorder="1"/>
    <xf numFmtId="1" fontId="3" fillId="0" borderId="0" xfId="6" applyNumberFormat="1" applyFont="1" applyFill="1" applyBorder="1" applyProtection="1"/>
    <xf numFmtId="43" fontId="3" fillId="0" borderId="0" xfId="6" applyNumberFormat="1" applyFont="1" applyFill="1" applyBorder="1"/>
    <xf numFmtId="175" fontId="3" fillId="0" borderId="0" xfId="6" applyNumberFormat="1" applyFont="1" applyFill="1" applyBorder="1"/>
    <xf numFmtId="5" fontId="3" fillId="0" borderId="0" xfId="6" quotePrefix="1" applyNumberFormat="1" applyFont="1" applyBorder="1"/>
    <xf numFmtId="43" fontId="3" fillId="0" borderId="0" xfId="0" applyNumberFormat="1" applyFont="1" applyBorder="1"/>
    <xf numFmtId="0" fontId="3" fillId="0" borderId="2" xfId="0" applyFont="1" applyFill="1" applyBorder="1"/>
    <xf numFmtId="37" fontId="3" fillId="0" borderId="2" xfId="6" applyNumberFormat="1" applyFont="1" applyFill="1" applyBorder="1" applyProtection="1"/>
    <xf numFmtId="170" fontId="3" fillId="0" borderId="2" xfId="6" applyNumberFormat="1" applyFont="1" applyFill="1" applyBorder="1" applyProtection="1"/>
    <xf numFmtId="5" fontId="3" fillId="0" borderId="2" xfId="6" applyNumberFormat="1" applyFont="1" applyFill="1" applyBorder="1" applyProtection="1"/>
    <xf numFmtId="7" fontId="3" fillId="0" borderId="0" xfId="6" applyNumberFormat="1" applyFont="1" applyFill="1" applyBorder="1"/>
    <xf numFmtId="49" fontId="3" fillId="0" borderId="0" xfId="6" quotePrefix="1" applyNumberFormat="1" applyFont="1" applyFill="1" applyAlignment="1">
      <alignment horizontal="center"/>
    </xf>
    <xf numFmtId="49" fontId="3" fillId="0" borderId="0" xfId="6" applyNumberFormat="1" applyFont="1" applyFill="1" applyAlignment="1">
      <alignment horizontal="center"/>
    </xf>
    <xf numFmtId="177" fontId="3" fillId="0" borderId="0" xfId="2" applyNumberFormat="1" applyFont="1" applyFill="1" applyBorder="1"/>
    <xf numFmtId="177" fontId="3" fillId="0" borderId="2" xfId="2" applyNumberFormat="1" applyFont="1" applyFill="1" applyBorder="1"/>
    <xf numFmtId="170" fontId="3" fillId="0" borderId="0" xfId="6" applyNumberFormat="1" applyFont="1" applyFill="1" applyBorder="1" applyAlignment="1" applyProtection="1">
      <alignment horizontal="right"/>
    </xf>
    <xf numFmtId="43" fontId="3" fillId="0" borderId="0" xfId="6" applyNumberFormat="1" applyFont="1" applyFill="1" applyProtection="1"/>
    <xf numFmtId="175" fontId="3" fillId="0" borderId="0" xfId="6" applyNumberFormat="1" applyFont="1" applyFill="1" applyProtection="1"/>
    <xf numFmtId="177" fontId="16" fillId="0" borderId="0" xfId="2" applyNumberFormat="1" applyFont="1" applyFill="1" applyBorder="1"/>
    <xf numFmtId="5" fontId="16" fillId="0" borderId="0" xfId="6" applyNumberFormat="1" applyFont="1" applyFill="1" applyProtection="1"/>
    <xf numFmtId="5" fontId="3" fillId="0" borderId="2" xfId="2" applyNumberFormat="1" applyFont="1" applyFill="1" applyBorder="1"/>
    <xf numFmtId="0" fontId="16" fillId="0" borderId="0" xfId="6" applyFont="1"/>
    <xf numFmtId="37" fontId="8" fillId="0" borderId="0" xfId="6" applyNumberFormat="1" applyFont="1" applyFill="1" applyBorder="1"/>
    <xf numFmtId="37" fontId="3" fillId="0" borderId="0" xfId="6" applyNumberFormat="1" applyFont="1" applyFill="1" applyBorder="1" applyAlignment="1">
      <alignment horizontal="center"/>
    </xf>
    <xf numFmtId="0" fontId="17" fillId="0" borderId="0" xfId="3" applyFont="1"/>
    <xf numFmtId="0" fontId="17" fillId="0" borderId="0" xfId="3" applyFont="1" applyAlignment="1">
      <alignment horizontal="right"/>
    </xf>
    <xf numFmtId="0" fontId="18" fillId="0" borderId="0" xfId="6" applyFont="1" applyFill="1" applyAlignment="1">
      <alignment horizontal="center"/>
    </xf>
    <xf numFmtId="0" fontId="17" fillId="0" borderId="0" xfId="3" applyFont="1" applyBorder="1"/>
    <xf numFmtId="0" fontId="17" fillId="0" borderId="0" xfId="3" applyFont="1" applyAlignment="1">
      <alignment horizontal="center"/>
    </xf>
    <xf numFmtId="0" fontId="17" fillId="0" borderId="1" xfId="3" applyFont="1" applyBorder="1" applyAlignment="1">
      <alignment horizontal="center"/>
    </xf>
    <xf numFmtId="0" fontId="17" fillId="0" borderId="3" xfId="3" applyFont="1" applyBorder="1" applyAlignment="1">
      <alignment horizontal="center"/>
    </xf>
    <xf numFmtId="0" fontId="17" fillId="0" borderId="0" xfId="3" quotePrefix="1" applyFont="1" applyAlignment="1">
      <alignment horizontal="center"/>
    </xf>
    <xf numFmtId="37" fontId="17" fillId="0" borderId="0" xfId="3" applyNumberFormat="1" applyFont="1" applyProtection="1"/>
    <xf numFmtId="37" fontId="17" fillId="0" borderId="0" xfId="3" applyNumberFormat="1" applyFont="1"/>
    <xf numFmtId="164" fontId="17" fillId="0" borderId="0" xfId="1" applyNumberFormat="1" applyFont="1"/>
    <xf numFmtId="37" fontId="17" fillId="0" borderId="3" xfId="3" applyNumberFormat="1" applyFont="1" applyBorder="1" applyProtection="1"/>
    <xf numFmtId="37" fontId="17" fillId="0" borderId="0" xfId="3" applyNumberFormat="1" applyFont="1" applyBorder="1" applyProtection="1"/>
    <xf numFmtId="164" fontId="17" fillId="0" borderId="0" xfId="1" applyNumberFormat="1" applyFont="1" applyBorder="1"/>
    <xf numFmtId="164" fontId="17" fillId="0" borderId="0" xfId="3" applyNumberFormat="1" applyFont="1"/>
    <xf numFmtId="37" fontId="17" fillId="0" borderId="3" xfId="3" applyNumberFormat="1" applyFont="1" applyBorder="1"/>
    <xf numFmtId="7" fontId="17" fillId="0" borderId="0" xfId="3" applyNumberFormat="1" applyFont="1"/>
    <xf numFmtId="0" fontId="8" fillId="0" borderId="0" xfId="6" applyFont="1" applyFill="1" applyAlignment="1">
      <alignment horizontal="center"/>
    </xf>
    <xf numFmtId="3" fontId="3" fillId="0" borderId="0" xfId="6" applyNumberFormat="1" applyFont="1" applyFill="1" applyBorder="1"/>
    <xf numFmtId="0" fontId="16" fillId="0" borderId="0" xfId="6" applyFont="1" applyFill="1" applyBorder="1"/>
    <xf numFmtId="37" fontId="16" fillId="0" borderId="0" xfId="6" applyNumberFormat="1" applyFont="1" applyFill="1" applyBorder="1" applyProtection="1"/>
    <xf numFmtId="37" fontId="16" fillId="0" borderId="0" xfId="6" applyNumberFormat="1" applyFont="1" applyFill="1" applyBorder="1"/>
    <xf numFmtId="37" fontId="16" fillId="0" borderId="0" xfId="6" applyNumberFormat="1" applyFont="1" applyFill="1" applyBorder="1" applyAlignment="1">
      <alignment horizontal="right"/>
    </xf>
    <xf numFmtId="7" fontId="16" fillId="0" borderId="0" xfId="6" applyNumberFormat="1" applyFont="1" applyFill="1" applyBorder="1"/>
    <xf numFmtId="164" fontId="16" fillId="0" borderId="0" xfId="1" applyNumberFormat="1" applyFont="1" applyFill="1" applyBorder="1"/>
    <xf numFmtId="5" fontId="16" fillId="0" borderId="0" xfId="6" applyNumberFormat="1" applyFont="1" applyFill="1" applyBorder="1"/>
    <xf numFmtId="165" fontId="16" fillId="0" borderId="0" xfId="6" applyNumberFormat="1" applyFont="1" applyFill="1" applyBorder="1" applyAlignment="1">
      <alignment horizontal="center"/>
    </xf>
    <xf numFmtId="49" fontId="16" fillId="0" borderId="0" xfId="6" applyNumberFormat="1" applyFont="1" applyFill="1" applyBorder="1" applyAlignment="1">
      <alignment horizontal="center"/>
    </xf>
    <xf numFmtId="3" fontId="16" fillId="0" borderId="0" xfId="6" applyNumberFormat="1" applyFont="1" applyFill="1" applyBorder="1"/>
    <xf numFmtId="2" fontId="3" fillId="0" borderId="0" xfId="6" applyNumberFormat="1" applyFont="1" applyFill="1" applyProtection="1"/>
    <xf numFmtId="2" fontId="3" fillId="0" borderId="2" xfId="6" applyNumberFormat="1" applyFont="1" applyFill="1" applyBorder="1"/>
    <xf numFmtId="43" fontId="3" fillId="0" borderId="0" xfId="1" applyFont="1" applyFill="1" applyProtection="1"/>
    <xf numFmtId="0" fontId="17" fillId="0" borderId="0" xfId="3" applyFont="1" applyFill="1" applyBorder="1" applyAlignment="1">
      <alignment horizontal="center"/>
    </xf>
    <xf numFmtId="9" fontId="3" fillId="0" borderId="0" xfId="9" applyFont="1" applyFill="1" applyBorder="1" applyProtection="1"/>
    <xf numFmtId="5" fontId="3" fillId="0" borderId="0" xfId="2" applyNumberFormat="1" applyFont="1" applyFill="1" applyBorder="1"/>
    <xf numFmtId="0" fontId="3" fillId="0" borderId="10" xfId="6" applyFont="1" applyFill="1" applyBorder="1"/>
    <xf numFmtId="3" fontId="3" fillId="0" borderId="10" xfId="6" applyNumberFormat="1" applyFont="1" applyFill="1" applyBorder="1"/>
    <xf numFmtId="37" fontId="3" fillId="0" borderId="10" xfId="6" applyNumberFormat="1" applyFont="1" applyFill="1" applyBorder="1"/>
    <xf numFmtId="5" fontId="3" fillId="0" borderId="10" xfId="6" applyNumberFormat="1" applyFont="1" applyFill="1" applyBorder="1"/>
    <xf numFmtId="5" fontId="20" fillId="0" borderId="0" xfId="6" applyNumberFormat="1" applyFont="1" applyFill="1" applyAlignment="1" applyProtection="1">
      <alignment horizontal="centerContinuous"/>
    </xf>
    <xf numFmtId="177" fontId="3" fillId="0" borderId="0" xfId="6" applyNumberFormat="1" applyFont="1" applyFill="1"/>
    <xf numFmtId="37" fontId="21" fillId="0" borderId="0" xfId="3" applyNumberFormat="1" applyFont="1" applyProtection="1"/>
    <xf numFmtId="0" fontId="17" fillId="0" borderId="0" xfId="3" applyFont="1" applyFill="1"/>
    <xf numFmtId="0" fontId="17" fillId="0" borderId="0" xfId="3" applyFont="1" applyFill="1" applyAlignment="1">
      <alignment horizontal="center"/>
    </xf>
    <xf numFmtId="0" fontId="17" fillId="0" borderId="1" xfId="3" applyFont="1" applyFill="1" applyBorder="1" applyAlignment="1">
      <alignment horizontal="center"/>
    </xf>
    <xf numFmtId="37" fontId="17" fillId="0" borderId="0" xfId="3" applyNumberFormat="1" applyFont="1" applyFill="1" applyProtection="1"/>
    <xf numFmtId="37" fontId="21" fillId="0" borderId="0" xfId="3" applyNumberFormat="1" applyFont="1" applyFill="1" applyProtection="1"/>
    <xf numFmtId="37" fontId="17" fillId="0" borderId="4" xfId="1" applyNumberFormat="1" applyFont="1" applyFill="1" applyBorder="1"/>
    <xf numFmtId="5" fontId="17" fillId="0" borderId="0" xfId="3" applyNumberFormat="1" applyFont="1" applyFill="1" applyProtection="1"/>
    <xf numFmtId="164" fontId="17" fillId="0" borderId="0" xfId="1" applyNumberFormat="1" applyFont="1" applyFill="1" applyProtection="1"/>
    <xf numFmtId="164" fontId="3" fillId="0" borderId="0" xfId="0" applyNumberFormat="1" applyFont="1" applyFill="1" applyBorder="1"/>
    <xf numFmtId="0" fontId="8" fillId="0" borderId="0" xfId="6" quotePrefix="1" applyFont="1" applyFill="1" applyBorder="1"/>
    <xf numFmtId="177" fontId="3" fillId="0" borderId="0" xfId="6" applyNumberFormat="1" applyFont="1" applyBorder="1"/>
    <xf numFmtId="10" fontId="3" fillId="0" borderId="0" xfId="9" applyNumberFormat="1" applyFont="1"/>
    <xf numFmtId="0" fontId="3" fillId="0" borderId="0" xfId="6" applyFont="1" applyFill="1" applyBorder="1" applyAlignment="1">
      <alignment horizontal="center" wrapText="1"/>
    </xf>
    <xf numFmtId="5" fontId="3" fillId="0" borderId="13" xfId="6" applyNumberFormat="1" applyFont="1" applyFill="1" applyBorder="1"/>
    <xf numFmtId="5" fontId="3" fillId="0" borderId="13" xfId="6" applyNumberFormat="1" applyFont="1" applyBorder="1"/>
    <xf numFmtId="0" fontId="3" fillId="5" borderId="0" xfId="6" applyFont="1" applyFill="1" applyAlignment="1">
      <alignment horizontal="center"/>
    </xf>
    <xf numFmtId="7" fontId="3" fillId="5" borderId="0" xfId="6" applyNumberFormat="1" applyFont="1" applyFill="1" applyProtection="1"/>
    <xf numFmtId="37" fontId="3" fillId="5" borderId="0" xfId="6" applyNumberFormat="1" applyFont="1" applyFill="1"/>
    <xf numFmtId="0" fontId="3" fillId="5" borderId="0" xfId="6" applyFont="1" applyFill="1"/>
    <xf numFmtId="0" fontId="8" fillId="0" borderId="0" xfId="0" applyFont="1" applyFill="1"/>
    <xf numFmtId="164" fontId="3" fillId="5" borderId="0" xfId="1" applyNumberFormat="1" applyFont="1" applyFill="1"/>
    <xf numFmtId="37" fontId="3" fillId="5" borderId="0" xfId="6" applyNumberFormat="1" applyFont="1" applyFill="1" applyProtection="1"/>
    <xf numFmtId="0" fontId="8" fillId="0" borderId="0" xfId="6" applyFont="1" applyFill="1"/>
    <xf numFmtId="0" fontId="7" fillId="0" borderId="0" xfId="6" applyFont="1" applyFill="1"/>
    <xf numFmtId="170" fontId="3" fillId="5" borderId="0" xfId="6" applyNumberFormat="1" applyFont="1" applyFill="1" applyProtection="1"/>
    <xf numFmtId="164" fontId="11" fillId="5" borderId="0" xfId="1" applyNumberFormat="1" applyFont="1" applyFill="1"/>
    <xf numFmtId="164" fontId="3" fillId="5" borderId="0" xfId="6" applyNumberFormat="1" applyFont="1" applyFill="1"/>
    <xf numFmtId="37" fontId="3" fillId="5" borderId="0" xfId="1" applyNumberFormat="1" applyFont="1" applyFill="1" applyBorder="1"/>
    <xf numFmtId="37" fontId="3" fillId="5" borderId="0" xfId="6" applyNumberFormat="1" applyFont="1" applyFill="1" applyBorder="1"/>
    <xf numFmtId="170" fontId="3" fillId="5" borderId="0" xfId="6" applyNumberFormat="1" applyFont="1" applyFill="1" applyBorder="1" applyProtection="1"/>
    <xf numFmtId="175" fontId="3" fillId="5" borderId="0" xfId="1" applyNumberFormat="1" applyFont="1" applyFill="1" applyProtection="1"/>
    <xf numFmtId="170" fontId="3" fillId="5" borderId="0" xfId="6" applyNumberFormat="1" applyFont="1" applyFill="1"/>
    <xf numFmtId="170" fontId="3" fillId="5" borderId="0" xfId="6" applyNumberFormat="1" applyFont="1" applyFill="1" applyAlignment="1" applyProtection="1">
      <alignment horizontal="center"/>
    </xf>
    <xf numFmtId="37" fontId="3" fillId="5" borderId="2" xfId="6" applyNumberFormat="1" applyFont="1" applyFill="1" applyBorder="1"/>
    <xf numFmtId="5" fontId="3" fillId="5" borderId="0" xfId="6" applyNumberFormat="1" applyFont="1" applyFill="1" applyProtection="1"/>
    <xf numFmtId="5" fontId="3" fillId="5" borderId="2" xfId="6" applyNumberFormat="1" applyFont="1" applyFill="1" applyBorder="1"/>
    <xf numFmtId="0" fontId="3" fillId="5" borderId="0" xfId="6" quotePrefix="1" applyFont="1" applyFill="1" applyBorder="1"/>
    <xf numFmtId="39" fontId="3" fillId="5" borderId="0" xfId="6" applyNumberFormat="1" applyFont="1" applyFill="1" applyProtection="1"/>
    <xf numFmtId="37" fontId="3" fillId="5" borderId="0" xfId="6" quotePrefix="1" applyNumberFormat="1" applyFont="1" applyFill="1" applyAlignment="1" applyProtection="1">
      <alignment horizontal="right"/>
    </xf>
    <xf numFmtId="170" fontId="3" fillId="5" borderId="0" xfId="6" quotePrefix="1" applyNumberFormat="1" applyFont="1" applyFill="1" applyBorder="1" applyProtection="1"/>
    <xf numFmtId="37" fontId="3" fillId="5" borderId="0" xfId="6" applyNumberFormat="1" applyFont="1" applyFill="1" applyBorder="1" applyProtection="1"/>
    <xf numFmtId="164" fontId="3" fillId="5" borderId="0" xfId="1" applyNumberFormat="1" applyFont="1" applyFill="1" applyBorder="1" applyProtection="1"/>
    <xf numFmtId="1" fontId="3" fillId="0" borderId="0" xfId="6" applyNumberFormat="1" applyFont="1" applyFill="1"/>
    <xf numFmtId="7" fontId="3" fillId="0" borderId="0" xfId="6" applyNumberFormat="1" applyFont="1" applyFill="1" applyAlignment="1" applyProtection="1">
      <alignment horizontal="right"/>
    </xf>
    <xf numFmtId="37" fontId="17" fillId="0" borderId="0" xfId="1" applyNumberFormat="1" applyFont="1" applyFill="1"/>
    <xf numFmtId="0" fontId="3" fillId="0" borderId="3" xfId="6" applyFont="1" applyFill="1" applyBorder="1" applyAlignment="1">
      <alignment horizontal="center" wrapText="1"/>
    </xf>
    <xf numFmtId="43" fontId="3" fillId="0" borderId="0" xfId="6" applyNumberFormat="1" applyFont="1"/>
    <xf numFmtId="176" fontId="3" fillId="0" borderId="0" xfId="2" applyNumberFormat="1" applyFont="1" applyFill="1"/>
    <xf numFmtId="176" fontId="3" fillId="0" borderId="0" xfId="6" applyNumberFormat="1" applyFont="1" applyFill="1"/>
    <xf numFmtId="37" fontId="17" fillId="0" borderId="3" xfId="3" applyNumberFormat="1" applyFont="1" applyFill="1" applyBorder="1" applyProtection="1"/>
    <xf numFmtId="37" fontId="17" fillId="0" borderId="0" xfId="3" applyNumberFormat="1" applyFont="1" applyFill="1"/>
    <xf numFmtId="37" fontId="17" fillId="0" borderId="0" xfId="3" applyNumberFormat="1" applyFont="1" applyBorder="1"/>
    <xf numFmtId="176" fontId="17" fillId="0" borderId="0" xfId="2" applyNumberFormat="1" applyFont="1" applyBorder="1" applyProtection="1"/>
    <xf numFmtId="0" fontId="24" fillId="0" borderId="0" xfId="6" applyFont="1" applyFill="1"/>
    <xf numFmtId="0" fontId="24" fillId="0" borderId="0" xfId="6" applyFont="1" applyFill="1" applyAlignment="1">
      <alignment horizontal="left"/>
    </xf>
    <xf numFmtId="0" fontId="3" fillId="0" borderId="0" xfId="0" applyFont="1"/>
    <xf numFmtId="37" fontId="3" fillId="0" borderId="0" xfId="0" applyNumberFormat="1" applyFont="1"/>
    <xf numFmtId="39" fontId="3" fillId="0" borderId="0" xfId="0" applyNumberFormat="1" applyFont="1"/>
    <xf numFmtId="3" fontId="3" fillId="0" borderId="0" xfId="0" applyNumberFormat="1" applyFont="1"/>
    <xf numFmtId="164" fontId="3" fillId="0" borderId="0" xfId="0" applyNumberFormat="1" applyFont="1"/>
    <xf numFmtId="37" fontId="3" fillId="0" borderId="0" xfId="0" applyNumberFormat="1" applyFont="1" applyFill="1"/>
    <xf numFmtId="0" fontId="3" fillId="0" borderId="0" xfId="0" applyFont="1" applyFill="1"/>
    <xf numFmtId="17" fontId="3" fillId="0" borderId="0" xfId="8" applyNumberFormat="1" applyFont="1" applyFill="1" applyProtection="1"/>
    <xf numFmtId="17" fontId="3" fillId="0" borderId="0" xfId="8" applyNumberFormat="1" applyFont="1" applyFill="1" applyAlignment="1" applyProtection="1">
      <alignment horizontal="center"/>
    </xf>
    <xf numFmtId="17" fontId="3" fillId="0" borderId="3" xfId="8" applyNumberFormat="1" applyFont="1" applyFill="1" applyBorder="1" applyAlignment="1" applyProtection="1">
      <alignment horizontal="center"/>
    </xf>
    <xf numFmtId="7" fontId="3" fillId="0" borderId="0" xfId="1" applyNumberFormat="1" applyFont="1" applyFill="1" applyProtection="1"/>
    <xf numFmtId="10" fontId="3" fillId="0" borderId="0" xfId="6" applyNumberFormat="1" applyFont="1" applyFill="1"/>
    <xf numFmtId="9" fontId="3" fillId="0" borderId="0" xfId="9" applyFont="1" applyFill="1" applyProtection="1"/>
    <xf numFmtId="165" fontId="3" fillId="0" borderId="11" xfId="6" applyNumberFormat="1" applyFont="1" applyFill="1" applyBorder="1" applyAlignment="1">
      <alignment horizontal="center"/>
    </xf>
    <xf numFmtId="165" fontId="3" fillId="0" borderId="2" xfId="6" applyNumberFormat="1" applyFont="1" applyFill="1" applyBorder="1" applyAlignment="1">
      <alignment horizontal="center"/>
    </xf>
    <xf numFmtId="165" fontId="3" fillId="0" borderId="12" xfId="6" applyNumberFormat="1" applyFont="1" applyFill="1" applyBorder="1" applyAlignment="1">
      <alignment horizontal="center"/>
    </xf>
    <xf numFmtId="0" fontId="17" fillId="5" borderId="0" xfId="3" applyFont="1" applyFill="1"/>
    <xf numFmtId="0" fontId="17" fillId="0" borderId="0" xfId="3" applyFont="1" applyBorder="1" applyAlignment="1">
      <alignment horizontal="center"/>
    </xf>
    <xf numFmtId="37" fontId="18" fillId="0" borderId="0" xfId="8" applyFont="1" applyFill="1" applyAlignment="1">
      <alignment horizontal="centerContinuous"/>
    </xf>
    <xf numFmtId="167" fontId="3" fillId="0" borderId="0" xfId="4" applyNumberFormat="1" applyFont="1"/>
    <xf numFmtId="0" fontId="25" fillId="0" borderId="0" xfId="4" applyFont="1" applyFill="1"/>
    <xf numFmtId="0" fontId="3" fillId="0" borderId="0" xfId="4" applyFont="1" applyFill="1"/>
    <xf numFmtId="0" fontId="3" fillId="0" borderId="0" xfId="4" applyFont="1"/>
    <xf numFmtId="41" fontId="3" fillId="0" borderId="0" xfId="4" applyNumberFormat="1" applyFont="1"/>
    <xf numFmtId="17" fontId="3" fillId="0" borderId="0" xfId="4" applyNumberFormat="1" applyFont="1" applyAlignment="1">
      <alignment horizontal="center"/>
    </xf>
    <xf numFmtId="164" fontId="3" fillId="0" borderId="0" xfId="4" applyNumberFormat="1" applyFont="1"/>
    <xf numFmtId="164" fontId="20" fillId="0" borderId="0" xfId="4" applyNumberFormat="1" applyFont="1"/>
    <xf numFmtId="41" fontId="3" fillId="0" borderId="0" xfId="4" applyNumberFormat="1" applyFont="1" applyFill="1"/>
    <xf numFmtId="167" fontId="3" fillId="0" borderId="0" xfId="4" applyNumberFormat="1" applyFont="1" applyFill="1"/>
    <xf numFmtId="0" fontId="26" fillId="0" borderId="0" xfId="4" applyFont="1" applyFill="1"/>
    <xf numFmtId="177" fontId="3" fillId="0" borderId="0" xfId="2" applyNumberFormat="1" applyFont="1"/>
    <xf numFmtId="5" fontId="3" fillId="0" borderId="0" xfId="2" applyNumberFormat="1" applyFont="1"/>
    <xf numFmtId="176" fontId="3" fillId="5" borderId="0" xfId="2" applyNumberFormat="1" applyFont="1" applyFill="1"/>
    <xf numFmtId="176" fontId="3" fillId="0" borderId="0" xfId="2" applyNumberFormat="1" applyFont="1"/>
    <xf numFmtId="175" fontId="3" fillId="0" borderId="0" xfId="4" applyNumberFormat="1" applyFont="1"/>
    <xf numFmtId="175" fontId="3" fillId="8" borderId="0" xfId="4" applyNumberFormat="1" applyFont="1" applyFill="1"/>
    <xf numFmtId="184" fontId="3" fillId="0" borderId="0" xfId="4" applyNumberFormat="1" applyFont="1"/>
    <xf numFmtId="185" fontId="3" fillId="0" borderId="0" xfId="4" applyNumberFormat="1" applyFont="1"/>
    <xf numFmtId="183" fontId="3" fillId="0" borderId="0" xfId="4" applyNumberFormat="1" applyFont="1"/>
    <xf numFmtId="183" fontId="7" fillId="0" borderId="11" xfId="4" applyNumberFormat="1" applyFont="1" applyBorder="1"/>
    <xf numFmtId="0" fontId="3" fillId="0" borderId="0" xfId="4" quotePrefix="1" applyFont="1" applyFill="1"/>
    <xf numFmtId="43" fontId="3" fillId="0" borderId="0" xfId="4" applyNumberFormat="1" applyFont="1"/>
    <xf numFmtId="181" fontId="3" fillId="0" borderId="0" xfId="4" applyNumberFormat="1" applyFont="1"/>
    <xf numFmtId="164" fontId="3" fillId="0" borderId="0" xfId="4" applyNumberFormat="1" applyFont="1" applyFill="1"/>
    <xf numFmtId="37" fontId="18" fillId="0" borderId="0" xfId="8" applyFont="1" applyFill="1"/>
    <xf numFmtId="37" fontId="17" fillId="0" borderId="0" xfId="8" applyFont="1" applyFill="1"/>
    <xf numFmtId="37" fontId="17" fillId="0" borderId="0" xfId="8" applyNumberFormat="1" applyFont="1" applyFill="1" applyProtection="1"/>
    <xf numFmtId="37" fontId="17" fillId="0" borderId="0" xfId="8" applyNumberFormat="1" applyFont="1" applyFill="1" applyBorder="1" applyProtection="1"/>
    <xf numFmtId="37" fontId="17" fillId="0" borderId="3" xfId="8" applyNumberFormat="1" applyFont="1" applyFill="1" applyBorder="1" applyProtection="1"/>
    <xf numFmtId="37" fontId="17" fillId="0" borderId="4" xfId="8" applyNumberFormat="1" applyFont="1" applyFill="1" applyBorder="1" applyProtection="1"/>
    <xf numFmtId="0" fontId="3" fillId="0" borderId="3" xfId="0" applyFont="1" applyBorder="1"/>
    <xf numFmtId="0" fontId="3" fillId="0" borderId="0" xfId="5" applyFont="1"/>
    <xf numFmtId="0" fontId="3" fillId="0" borderId="0" xfId="5" applyFont="1" applyFill="1"/>
    <xf numFmtId="22" fontId="3" fillId="0" borderId="0" xfId="5" applyNumberFormat="1" applyFont="1"/>
    <xf numFmtId="0" fontId="17" fillId="0" borderId="0" xfId="5" applyFont="1"/>
    <xf numFmtId="0" fontId="7" fillId="0" borderId="0" xfId="5" applyFont="1" applyFill="1"/>
    <xf numFmtId="37" fontId="3" fillId="0" borderId="0" xfId="5" applyNumberFormat="1" applyFont="1" applyProtection="1"/>
    <xf numFmtId="37" fontId="3" fillId="0" borderId="0" xfId="5" applyNumberFormat="1" applyFont="1" applyAlignment="1" applyProtection="1">
      <alignment horizontal="center"/>
    </xf>
    <xf numFmtId="172" fontId="3" fillId="0" borderId="0" xfId="5" applyNumberFormat="1" applyFont="1" applyProtection="1"/>
    <xf numFmtId="7" fontId="7" fillId="0" borderId="0" xfId="5" applyNumberFormat="1" applyFont="1" applyFill="1" applyProtection="1"/>
    <xf numFmtId="0" fontId="3" fillId="0" borderId="0" xfId="5" applyFont="1" applyFill="1" applyBorder="1" applyAlignment="1">
      <alignment horizontal="center"/>
    </xf>
    <xf numFmtId="5" fontId="3" fillId="0" borderId="0" xfId="5" applyNumberFormat="1" applyFont="1" applyFill="1" applyProtection="1"/>
    <xf numFmtId="0" fontId="3" fillId="0" borderId="0" xfId="5" applyFont="1" applyFill="1" applyAlignment="1">
      <alignment horizontal="center"/>
    </xf>
    <xf numFmtId="168" fontId="3" fillId="0" borderId="0" xfId="5" applyNumberFormat="1" applyFont="1" applyFill="1" applyAlignment="1" applyProtection="1">
      <alignment horizontal="right"/>
    </xf>
    <xf numFmtId="37" fontId="3" fillId="0" borderId="0" xfId="5" applyNumberFormat="1" applyFont="1" applyFill="1" applyAlignment="1" applyProtection="1">
      <alignment horizontal="center"/>
    </xf>
    <xf numFmtId="170" fontId="7" fillId="0" borderId="0" xfId="5" applyNumberFormat="1" applyFont="1" applyFill="1" applyProtection="1"/>
    <xf numFmtId="170" fontId="7" fillId="4" borderId="0" xfId="5" applyNumberFormat="1" applyFont="1" applyFill="1" applyProtection="1"/>
    <xf numFmtId="170" fontId="7" fillId="2" borderId="0" xfId="5" applyNumberFormat="1" applyFont="1" applyFill="1" applyProtection="1"/>
    <xf numFmtId="10" fontId="3" fillId="0" borderId="0" xfId="5" applyNumberFormat="1" applyFont="1" applyFill="1" applyProtection="1"/>
    <xf numFmtId="37" fontId="3" fillId="0" borderId="0" xfId="5" applyNumberFormat="1" applyFont="1" applyFill="1" applyProtection="1"/>
    <xf numFmtId="0" fontId="3" fillId="0" borderId="0" xfId="5" quotePrefix="1" applyFont="1" applyFill="1" applyAlignment="1">
      <alignment horizontal="center"/>
    </xf>
    <xf numFmtId="0" fontId="11" fillId="0" borderId="0" xfId="5" applyFont="1" applyFill="1"/>
    <xf numFmtId="0" fontId="7" fillId="0" borderId="0" xfId="5" applyFont="1"/>
    <xf numFmtId="37" fontId="7" fillId="0" borderId="0" xfId="5" applyNumberFormat="1" applyFont="1" applyFill="1" applyProtection="1"/>
    <xf numFmtId="0" fontId="3" fillId="0" borderId="1" xfId="5" applyFont="1" applyFill="1" applyBorder="1" applyAlignment="1">
      <alignment horizontal="center"/>
    </xf>
    <xf numFmtId="0" fontId="3" fillId="0" borderId="3" xfId="5" applyFont="1" applyFill="1" applyBorder="1"/>
    <xf numFmtId="170" fontId="3" fillId="0" borderId="0" xfId="5" applyNumberFormat="1" applyFont="1" applyFill="1" applyProtection="1"/>
    <xf numFmtId="0" fontId="3" fillId="0" borderId="3" xfId="5" applyFont="1" applyFill="1" applyBorder="1" applyAlignment="1">
      <alignment horizontal="center"/>
    </xf>
    <xf numFmtId="37" fontId="17" fillId="0" borderId="0" xfId="5" applyNumberFormat="1" applyFont="1"/>
    <xf numFmtId="0" fontId="3" fillId="0" borderId="0" xfId="5" applyFont="1" applyAlignment="1">
      <alignment horizontal="center"/>
    </xf>
    <xf numFmtId="0" fontId="17" fillId="0" borderId="0" xfId="5" applyFont="1" applyFill="1"/>
    <xf numFmtId="176" fontId="3" fillId="0" borderId="0" xfId="2" applyNumberFormat="1" applyFont="1" applyFill="1" applyProtection="1"/>
    <xf numFmtId="0" fontId="3" fillId="0" borderId="1" xfId="5" applyFont="1" applyBorder="1" applyAlignment="1">
      <alignment horizontal="center"/>
    </xf>
    <xf numFmtId="0" fontId="3" fillId="0" borderId="7" xfId="5" applyFont="1" applyFill="1" applyBorder="1" applyAlignment="1">
      <alignment horizontal="center"/>
    </xf>
    <xf numFmtId="0" fontId="3" fillId="0" borderId="7" xfId="5" applyFont="1" applyBorder="1" applyAlignment="1">
      <alignment horizontal="center"/>
    </xf>
    <xf numFmtId="172" fontId="3" fillId="0" borderId="0" xfId="5" applyNumberFormat="1" applyFont="1" applyFill="1" applyProtection="1"/>
    <xf numFmtId="7" fontId="7" fillId="5" borderId="0" xfId="5" applyNumberFormat="1" applyFont="1" applyFill="1" applyProtection="1"/>
    <xf numFmtId="39" fontId="3" fillId="0" borderId="0" xfId="5" applyNumberFormat="1" applyFont="1" applyProtection="1"/>
    <xf numFmtId="7" fontId="7" fillId="0" borderId="0" xfId="2" applyNumberFormat="1" applyFont="1" applyFill="1"/>
    <xf numFmtId="39" fontId="3" fillId="0" borderId="0" xfId="5" applyNumberFormat="1" applyFont="1" applyFill="1" applyProtection="1"/>
    <xf numFmtId="0" fontId="17" fillId="0" borderId="8" xfId="5" applyFont="1" applyBorder="1"/>
    <xf numFmtId="43" fontId="7" fillId="0" borderId="0" xfId="1" applyFont="1" applyFill="1" applyProtection="1"/>
    <xf numFmtId="7" fontId="7" fillId="0" borderId="0" xfId="1" applyNumberFormat="1" applyFont="1" applyFill="1"/>
    <xf numFmtId="37" fontId="3" fillId="0" borderId="8" xfId="5" applyNumberFormat="1" applyFont="1" applyFill="1" applyBorder="1" applyProtection="1"/>
    <xf numFmtId="7" fontId="7" fillId="2" borderId="8" xfId="5" applyNumberFormat="1" applyFont="1" applyFill="1" applyBorder="1" applyProtection="1"/>
    <xf numFmtId="7" fontId="7" fillId="4" borderId="0" xfId="5" applyNumberFormat="1" applyFont="1" applyFill="1" applyProtection="1"/>
    <xf numFmtId="7" fontId="7" fillId="5" borderId="8" xfId="5" applyNumberFormat="1" applyFont="1" applyFill="1" applyBorder="1" applyProtection="1"/>
    <xf numFmtId="43" fontId="7" fillId="5" borderId="0" xfId="1" applyNumberFormat="1" applyFont="1" applyFill="1" applyProtection="1"/>
    <xf numFmtId="43" fontId="7" fillId="2" borderId="8" xfId="1" applyNumberFormat="1" applyFont="1" applyFill="1" applyBorder="1" applyProtection="1"/>
    <xf numFmtId="43" fontId="7" fillId="4" borderId="0" xfId="1" applyNumberFormat="1" applyFont="1" applyFill="1" applyProtection="1"/>
    <xf numFmtId="43" fontId="7" fillId="5" borderId="8" xfId="1" applyNumberFormat="1" applyFont="1" applyFill="1" applyBorder="1" applyProtection="1"/>
    <xf numFmtId="43" fontId="7" fillId="5" borderId="0" xfId="1" applyFont="1" applyFill="1" applyProtection="1"/>
    <xf numFmtId="43" fontId="7" fillId="4" borderId="0" xfId="1" applyFont="1" applyFill="1" applyProtection="1"/>
    <xf numFmtId="43" fontId="7" fillId="5" borderId="8" xfId="1" applyFont="1" applyFill="1" applyBorder="1" applyProtection="1"/>
    <xf numFmtId="43" fontId="29" fillId="0" borderId="0" xfId="1" applyNumberFormat="1" applyFont="1" applyFill="1" applyProtection="1"/>
    <xf numFmtId="7" fontId="7" fillId="0" borderId="0" xfId="1" applyNumberFormat="1" applyFont="1" applyFill="1" applyAlignment="1">
      <alignment horizontal="right"/>
    </xf>
    <xf numFmtId="7" fontId="7" fillId="0" borderId="0" xfId="5" applyNumberFormat="1" applyFont="1" applyFill="1" applyAlignment="1" applyProtection="1">
      <alignment horizontal="right"/>
    </xf>
    <xf numFmtId="43" fontId="7" fillId="2" borderId="8" xfId="1" applyFont="1" applyFill="1" applyBorder="1" applyProtection="1"/>
    <xf numFmtId="170" fontId="7" fillId="5" borderId="0" xfId="5" applyNumberFormat="1" applyFont="1" applyFill="1" applyAlignment="1" applyProtection="1">
      <alignment horizontal="right"/>
    </xf>
    <xf numFmtId="175" fontId="7" fillId="2" borderId="8" xfId="1" applyNumberFormat="1" applyFont="1" applyFill="1" applyBorder="1" applyProtection="1"/>
    <xf numFmtId="170" fontId="7" fillId="4" borderId="0" xfId="5" applyNumberFormat="1" applyFont="1" applyFill="1" applyAlignment="1" applyProtection="1">
      <alignment horizontal="right"/>
    </xf>
    <xf numFmtId="175" fontId="7" fillId="5" borderId="8" xfId="1" applyNumberFormat="1" applyFont="1" applyFill="1" applyBorder="1" applyAlignment="1" applyProtection="1">
      <alignment horizontal="right"/>
    </xf>
    <xf numFmtId="175" fontId="7" fillId="5" borderId="8" xfId="1" applyNumberFormat="1" applyFont="1" applyFill="1" applyBorder="1" applyProtection="1"/>
    <xf numFmtId="175" fontId="7" fillId="0" borderId="0" xfId="1" applyNumberFormat="1" applyFont="1" applyFill="1" applyProtection="1"/>
    <xf numFmtId="173" fontId="3" fillId="0" borderId="0" xfId="5" applyNumberFormat="1" applyFont="1" applyFill="1" applyProtection="1"/>
    <xf numFmtId="9" fontId="7" fillId="0" borderId="0" xfId="1" applyNumberFormat="1" applyFont="1" applyFill="1"/>
    <xf numFmtId="9" fontId="7" fillId="0" borderId="0" xfId="9" applyFont="1" applyFill="1" applyProtection="1"/>
    <xf numFmtId="7" fontId="7" fillId="0" borderId="8" xfId="5" applyNumberFormat="1" applyFont="1" applyFill="1" applyBorder="1" applyProtection="1"/>
    <xf numFmtId="37" fontId="17" fillId="0" borderId="0" xfId="5" applyNumberFormat="1" applyFont="1" applyFill="1"/>
    <xf numFmtId="170" fontId="7" fillId="5" borderId="0" xfId="5" applyNumberFormat="1" applyFont="1" applyFill="1" applyProtection="1"/>
    <xf numFmtId="37" fontId="7" fillId="0" borderId="8" xfId="5" applyNumberFormat="1" applyFont="1" applyFill="1" applyBorder="1" applyProtection="1"/>
    <xf numFmtId="164" fontId="17" fillId="0" borderId="0" xfId="5" applyNumberFormat="1" applyFont="1" applyFill="1"/>
    <xf numFmtId="164" fontId="17" fillId="0" borderId="0" xfId="5" applyNumberFormat="1" applyFont="1"/>
    <xf numFmtId="37" fontId="17" fillId="0" borderId="8" xfId="5" applyNumberFormat="1" applyFont="1" applyBorder="1"/>
    <xf numFmtId="0" fontId="17" fillId="0" borderId="0" xfId="5" quotePrefix="1" applyFont="1"/>
    <xf numFmtId="37" fontId="3" fillId="0" borderId="0" xfId="5" applyNumberFormat="1" applyFont="1" applyFill="1"/>
    <xf numFmtId="37" fontId="3" fillId="3" borderId="0" xfId="5" applyNumberFormat="1" applyFont="1" applyFill="1"/>
    <xf numFmtId="37" fontId="7" fillId="3" borderId="8" xfId="5" applyNumberFormat="1" applyFont="1" applyFill="1" applyBorder="1"/>
    <xf numFmtId="37" fontId="7" fillId="5" borderId="8" xfId="5" applyNumberFormat="1" applyFont="1" applyFill="1" applyBorder="1"/>
    <xf numFmtId="169" fontId="7" fillId="0" borderId="8" xfId="5" applyNumberFormat="1" applyFont="1" applyBorder="1"/>
    <xf numFmtId="169" fontId="7" fillId="5" borderId="8" xfId="5" applyNumberFormat="1" applyFont="1" applyFill="1" applyBorder="1"/>
    <xf numFmtId="0" fontId="3" fillId="3" borderId="0" xfId="5" applyFont="1" applyFill="1"/>
    <xf numFmtId="164" fontId="7" fillId="3" borderId="8" xfId="1" applyNumberFormat="1" applyFont="1" applyFill="1" applyBorder="1"/>
    <xf numFmtId="164" fontId="7" fillId="5" borderId="8" xfId="1" applyNumberFormat="1" applyFont="1" applyFill="1" applyBorder="1"/>
    <xf numFmtId="0" fontId="17" fillId="0" borderId="0" xfId="5" applyFont="1" applyFill="1" applyBorder="1"/>
    <xf numFmtId="0" fontId="17" fillId="0" borderId="0" xfId="5" applyFont="1" applyBorder="1"/>
    <xf numFmtId="169" fontId="30" fillId="5" borderId="8" xfId="5" applyNumberFormat="1" applyFont="1" applyFill="1" applyBorder="1"/>
    <xf numFmtId="0" fontId="17" fillId="0" borderId="3" xfId="5" applyFont="1" applyFill="1" applyBorder="1"/>
    <xf numFmtId="0" fontId="3" fillId="0" borderId="5" xfId="5" applyFont="1" applyFill="1" applyBorder="1"/>
    <xf numFmtId="0" fontId="3" fillId="0" borderId="5" xfId="5" applyFont="1" applyFill="1" applyBorder="1" applyAlignment="1">
      <alignment horizontal="center"/>
    </xf>
    <xf numFmtId="0" fontId="17" fillId="0" borderId="5" xfId="5" applyFont="1" applyFill="1" applyBorder="1"/>
    <xf numFmtId="0" fontId="3" fillId="0" borderId="5" xfId="5" applyFont="1" applyFill="1" applyBorder="1" applyAlignment="1">
      <alignment horizontal="right"/>
    </xf>
    <xf numFmtId="164" fontId="3" fillId="0" borderId="5" xfId="1" applyNumberFormat="1" applyFont="1" applyFill="1" applyBorder="1" applyProtection="1"/>
    <xf numFmtId="0" fontId="3" fillId="5" borderId="0" xfId="5" applyFont="1" applyFill="1" applyBorder="1"/>
    <xf numFmtId="164" fontId="7" fillId="3" borderId="8" xfId="5" applyNumberFormat="1" applyFont="1" applyFill="1" applyBorder="1"/>
    <xf numFmtId="164" fontId="7" fillId="5" borderId="8" xfId="5" applyNumberFormat="1" applyFont="1" applyFill="1" applyBorder="1"/>
    <xf numFmtId="0" fontId="8" fillId="0" borderId="0" xfId="5" applyFont="1" applyFill="1"/>
    <xf numFmtId="0" fontId="8" fillId="0" borderId="0" xfId="5" applyFont="1" applyFill="1" applyBorder="1" applyAlignment="1">
      <alignment horizontal="center"/>
    </xf>
    <xf numFmtId="0" fontId="8" fillId="0" borderId="0" xfId="5" applyFont="1" applyFill="1" applyAlignment="1">
      <alignment horizontal="center"/>
    </xf>
    <xf numFmtId="37" fontId="17" fillId="0" borderId="0" xfId="5" applyNumberFormat="1" applyFont="1" applyFill="1" applyBorder="1"/>
    <xf numFmtId="164" fontId="20" fillId="0" borderId="0" xfId="1" applyNumberFormat="1" applyFont="1" applyFill="1" applyBorder="1"/>
    <xf numFmtId="176" fontId="3" fillId="0" borderId="0" xfId="2" applyNumberFormat="1" applyFont="1" applyFill="1" applyBorder="1"/>
    <xf numFmtId="164" fontId="3" fillId="0" borderId="0" xfId="5" applyNumberFormat="1" applyFont="1" applyFill="1" applyBorder="1"/>
    <xf numFmtId="43" fontId="3" fillId="0" borderId="0" xfId="1" applyFont="1"/>
    <xf numFmtId="43" fontId="3" fillId="0" borderId="0" xfId="1" applyNumberFormat="1" applyFont="1"/>
    <xf numFmtId="37" fontId="3" fillId="0" borderId="0" xfId="5" applyNumberFormat="1" applyFont="1"/>
    <xf numFmtId="0" fontId="3" fillId="0" borderId="0" xfId="5" applyFont="1" applyFill="1" applyBorder="1"/>
    <xf numFmtId="0" fontId="17" fillId="3" borderId="0" xfId="5" applyFont="1" applyFill="1"/>
    <xf numFmtId="9" fontId="7" fillId="5" borderId="0" xfId="9" applyFont="1" applyFill="1"/>
    <xf numFmtId="9" fontId="7" fillId="3" borderId="0" xfId="9" applyFont="1" applyFill="1"/>
    <xf numFmtId="164" fontId="3" fillId="0" borderId="3" xfId="1" applyNumberFormat="1" applyFont="1" applyFill="1" applyBorder="1"/>
    <xf numFmtId="164" fontId="3" fillId="0" borderId="3" xfId="1" applyNumberFormat="1" applyFont="1" applyFill="1" applyBorder="1" applyProtection="1"/>
    <xf numFmtId="164" fontId="3" fillId="0" borderId="3" xfId="1" applyNumberFormat="1" applyFont="1" applyBorder="1"/>
    <xf numFmtId="10" fontId="3" fillId="0" borderId="3" xfId="9" applyNumberFormat="1" applyFont="1" applyBorder="1"/>
    <xf numFmtId="10" fontId="3" fillId="0" borderId="0" xfId="5" applyNumberFormat="1" applyFont="1"/>
    <xf numFmtId="0" fontId="7" fillId="0" borderId="0" xfId="5" applyFont="1" applyFill="1" applyBorder="1"/>
    <xf numFmtId="10" fontId="3" fillId="0" borderId="0" xfId="9" applyNumberFormat="1" applyFont="1" applyBorder="1"/>
    <xf numFmtId="37" fontId="17" fillId="0" borderId="0" xfId="5" applyNumberFormat="1" applyFont="1" applyFill="1" applyBorder="1" applyProtection="1"/>
    <xf numFmtId="164" fontId="3" fillId="0" borderId="9" xfId="1" applyNumberFormat="1" applyFont="1" applyBorder="1"/>
    <xf numFmtId="9" fontId="17" fillId="0" borderId="0" xfId="9" applyFont="1"/>
    <xf numFmtId="164" fontId="3" fillId="0" borderId="0" xfId="5" applyNumberFormat="1" applyFont="1"/>
    <xf numFmtId="0" fontId="3" fillId="0" borderId="3" xfId="5" applyFont="1" applyBorder="1"/>
    <xf numFmtId="0" fontId="8" fillId="0" borderId="0" xfId="5" applyFont="1" applyAlignment="1">
      <alignment horizontal="center"/>
    </xf>
    <xf numFmtId="5" fontId="3" fillId="0" borderId="0" xfId="5" applyNumberFormat="1" applyFont="1" applyFill="1" applyBorder="1"/>
    <xf numFmtId="169" fontId="3" fillId="0" borderId="0" xfId="9" applyNumberFormat="1" applyFont="1" applyFill="1" applyBorder="1"/>
    <xf numFmtId="169" fontId="3" fillId="0" borderId="0" xfId="9" applyNumberFormat="1" applyFont="1"/>
    <xf numFmtId="44" fontId="3" fillId="0" borderId="0" xfId="2" applyFont="1" applyFill="1" applyBorder="1"/>
    <xf numFmtId="44" fontId="3" fillId="0" borderId="0" xfId="2" applyNumberFormat="1" applyFont="1" applyFill="1" applyBorder="1"/>
    <xf numFmtId="44" fontId="3" fillId="0" borderId="0" xfId="2" applyNumberFormat="1" applyFont="1" applyFill="1" applyBorder="1" applyProtection="1"/>
    <xf numFmtId="44" fontId="3" fillId="0" borderId="0" xfId="2" applyFont="1"/>
    <xf numFmtId="43" fontId="3" fillId="0" borderId="0" xfId="1" applyFont="1" applyFill="1" applyBorder="1"/>
    <xf numFmtId="43" fontId="3" fillId="0" borderId="0" xfId="1" applyFont="1" applyFill="1"/>
    <xf numFmtId="10" fontId="17" fillId="0" borderId="0" xfId="9" applyNumberFormat="1" applyFont="1" applyBorder="1"/>
    <xf numFmtId="176" fontId="3" fillId="0" borderId="0" xfId="5" applyNumberFormat="1" applyFont="1" applyBorder="1"/>
    <xf numFmtId="168" fontId="3" fillId="0" borderId="0" xfId="5" applyNumberFormat="1" applyFont="1" applyFill="1" applyBorder="1" applyAlignment="1" applyProtection="1">
      <alignment horizontal="right"/>
    </xf>
    <xf numFmtId="2" fontId="3" fillId="0" borderId="0" xfId="5" applyNumberFormat="1" applyFont="1" applyFill="1" applyBorder="1" applyAlignment="1">
      <alignment horizontal="center"/>
    </xf>
    <xf numFmtId="37" fontId="3" fillId="0" borderId="0" xfId="5" applyNumberFormat="1" applyFont="1" applyFill="1" applyBorder="1"/>
    <xf numFmtId="0" fontId="8" fillId="0" borderId="0" xfId="5" quotePrefix="1" applyFont="1" applyFill="1" applyBorder="1" applyAlignment="1">
      <alignment horizontal="right"/>
    </xf>
    <xf numFmtId="168" fontId="8" fillId="0" borderId="0" xfId="5" quotePrefix="1" applyNumberFormat="1" applyFont="1" applyFill="1" applyBorder="1" applyAlignment="1" applyProtection="1">
      <alignment horizontal="right"/>
    </xf>
    <xf numFmtId="37" fontId="3" fillId="0" borderId="0" xfId="5" applyNumberFormat="1" applyFont="1" applyFill="1" applyBorder="1" applyProtection="1"/>
    <xf numFmtId="10" fontId="3" fillId="0" borderId="0" xfId="5" applyNumberFormat="1" applyFont="1" applyFill="1" applyBorder="1" applyProtection="1"/>
    <xf numFmtId="164" fontId="3" fillId="0" borderId="0" xfId="5" applyNumberFormat="1" applyFont="1" applyFill="1" applyBorder="1" applyAlignment="1">
      <alignment horizontal="center"/>
    </xf>
    <xf numFmtId="175" fontId="3" fillId="0" borderId="0" xfId="1" applyNumberFormat="1" applyFont="1" applyFill="1" applyBorder="1"/>
    <xf numFmtId="39" fontId="3" fillId="0" borderId="0" xfId="5" applyNumberFormat="1" applyFont="1" applyFill="1" applyBorder="1" applyProtection="1"/>
    <xf numFmtId="169" fontId="3" fillId="0" borderId="0" xfId="5" applyNumberFormat="1" applyFont="1" applyFill="1" applyBorder="1"/>
    <xf numFmtId="170" fontId="3" fillId="0" borderId="0" xfId="5" applyNumberFormat="1" applyFont="1" applyFill="1" applyBorder="1" applyProtection="1"/>
    <xf numFmtId="174" fontId="3" fillId="0" borderId="0" xfId="5" applyNumberFormat="1" applyFont="1" applyFill="1" applyBorder="1"/>
    <xf numFmtId="22" fontId="3" fillId="0" borderId="0" xfId="5" applyNumberFormat="1" applyFont="1" applyFill="1" applyBorder="1"/>
    <xf numFmtId="5" fontId="3" fillId="0" borderId="0" xfId="5" applyNumberFormat="1" applyFont="1" applyFill="1" applyBorder="1" applyProtection="1"/>
    <xf numFmtId="0" fontId="3" fillId="0" borderId="0" xfId="5" quotePrefix="1" applyFont="1" applyFill="1" applyBorder="1" applyAlignment="1">
      <alignment horizontal="center"/>
    </xf>
    <xf numFmtId="0" fontId="8" fillId="0" borderId="0" xfId="5" applyFont="1" applyFill="1" applyBorder="1" applyAlignment="1">
      <alignment horizontal="left"/>
    </xf>
    <xf numFmtId="176" fontId="3" fillId="0" borderId="0" xfId="5" applyNumberFormat="1" applyFont="1"/>
    <xf numFmtId="44" fontId="3" fillId="0" borderId="0" xfId="5" applyNumberFormat="1" applyFont="1"/>
    <xf numFmtId="43" fontId="3" fillId="0" borderId="0" xfId="5" applyNumberFormat="1" applyFont="1"/>
    <xf numFmtId="164" fontId="3" fillId="0" borderId="0" xfId="1" applyNumberFormat="1" applyFont="1" applyAlignment="1">
      <alignment horizontal="right"/>
    </xf>
    <xf numFmtId="43" fontId="3" fillId="0" borderId="0" xfId="5" applyNumberFormat="1" applyFont="1" applyAlignment="1">
      <alignment horizontal="right"/>
    </xf>
    <xf numFmtId="166" fontId="3" fillId="0" borderId="0" xfId="0" applyNumberFormat="1" applyFont="1"/>
    <xf numFmtId="0" fontId="17" fillId="6" borderId="0" xfId="3" applyFont="1" applyFill="1"/>
    <xf numFmtId="37" fontId="17" fillId="0" borderId="0" xfId="2" applyNumberFormat="1" applyFont="1"/>
    <xf numFmtId="5" fontId="17" fillId="0" borderId="0" xfId="2" applyNumberFormat="1" applyFont="1"/>
    <xf numFmtId="5" fontId="17" fillId="0" borderId="0" xfId="3" applyNumberFormat="1" applyFont="1"/>
    <xf numFmtId="181" fontId="17" fillId="0" borderId="0" xfId="3" applyNumberFormat="1" applyFont="1"/>
    <xf numFmtId="164" fontId="17" fillId="5" borderId="0" xfId="1" applyNumberFormat="1" applyFont="1" applyFill="1"/>
    <xf numFmtId="164" fontId="17" fillId="5" borderId="0" xfId="3" applyNumberFormat="1" applyFont="1" applyFill="1"/>
    <xf numFmtId="164" fontId="21" fillId="0" borderId="0" xfId="1" applyNumberFormat="1" applyFont="1"/>
    <xf numFmtId="164" fontId="21" fillId="0" borderId="0" xfId="3" applyNumberFormat="1" applyFont="1"/>
    <xf numFmtId="164" fontId="17" fillId="0" borderId="3" xfId="1" applyNumberFormat="1" applyFont="1" applyBorder="1"/>
    <xf numFmtId="0" fontId="18" fillId="0" borderId="0" xfId="3" applyFont="1" applyBorder="1" applyAlignment="1">
      <alignment horizontal="center"/>
    </xf>
    <xf numFmtId="0" fontId="17" fillId="0" borderId="0" xfId="3" applyFont="1" applyBorder="1" applyAlignment="1">
      <alignment horizontal="right"/>
    </xf>
    <xf numFmtId="0" fontId="19" fillId="0" borderId="0" xfId="3" applyFont="1" applyBorder="1"/>
    <xf numFmtId="7" fontId="17" fillId="0" borderId="0" xfId="3" applyNumberFormat="1" applyFont="1" applyBorder="1" applyProtection="1"/>
    <xf numFmtId="5" fontId="17" fillId="0" borderId="0" xfId="3" applyNumberFormat="1" applyFont="1" applyBorder="1" applyProtection="1"/>
    <xf numFmtId="170" fontId="17" fillId="0" borderId="0" xfId="3" applyNumberFormat="1" applyFont="1" applyBorder="1" applyProtection="1"/>
    <xf numFmtId="170" fontId="17" fillId="0" borderId="0" xfId="3" applyNumberFormat="1" applyFont="1" applyBorder="1" applyAlignment="1" applyProtection="1">
      <alignment horizontal="center"/>
    </xf>
    <xf numFmtId="39" fontId="17" fillId="0" borderId="0" xfId="3" applyNumberFormat="1" applyFont="1" applyBorder="1" applyProtection="1"/>
    <xf numFmtId="0" fontId="18" fillId="0" borderId="0" xfId="3" applyFont="1" applyBorder="1"/>
    <xf numFmtId="167" fontId="17" fillId="0" borderId="0" xfId="3" applyNumberFormat="1" applyFont="1" applyBorder="1" applyProtection="1"/>
    <xf numFmtId="5" fontId="18" fillId="0" borderId="0" xfId="3" applyNumberFormat="1" applyFont="1" applyBorder="1" applyProtection="1"/>
    <xf numFmtId="37" fontId="17" fillId="0" borderId="0" xfId="2" applyNumberFormat="1" applyFont="1" applyFill="1"/>
    <xf numFmtId="5" fontId="17" fillId="0" borderId="0" xfId="2" applyNumberFormat="1" applyFont="1" applyFill="1"/>
    <xf numFmtId="5" fontId="17" fillId="0" borderId="0" xfId="3" applyNumberFormat="1" applyFont="1" applyFill="1"/>
    <xf numFmtId="181" fontId="17" fillId="0" borderId="0" xfId="3" applyNumberFormat="1" applyFont="1" applyFill="1"/>
    <xf numFmtId="164" fontId="17" fillId="0" borderId="0" xfId="1" applyNumberFormat="1" applyFont="1" applyFill="1"/>
    <xf numFmtId="164" fontId="17" fillId="0" borderId="0" xfId="3" applyNumberFormat="1" applyFont="1" applyFill="1"/>
    <xf numFmtId="164" fontId="17" fillId="0" borderId="3" xfId="1" quotePrefix="1" applyNumberFormat="1" applyFont="1" applyBorder="1" applyAlignment="1">
      <alignment horizontal="center"/>
    </xf>
    <xf numFmtId="0" fontId="17" fillId="0" borderId="3" xfId="3" quotePrefix="1" applyFont="1" applyBorder="1" applyAlignment="1">
      <alignment horizontal="center"/>
    </xf>
    <xf numFmtId="37" fontId="17" fillId="0" borderId="3" xfId="3" applyNumberFormat="1" applyFont="1" applyFill="1" applyBorder="1"/>
    <xf numFmtId="0" fontId="17" fillId="0" borderId="3" xfId="3" applyFont="1" applyBorder="1"/>
    <xf numFmtId="5" fontId="3" fillId="0" borderId="0" xfId="0" applyNumberFormat="1" applyFont="1"/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164" fontId="7" fillId="2" borderId="0" xfId="1" applyNumberFormat="1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6" borderId="0" xfId="0" applyFont="1" applyFill="1" applyAlignment="1">
      <alignment horizontal="center"/>
    </xf>
    <xf numFmtId="164" fontId="7" fillId="5" borderId="0" xfId="1" applyNumberFormat="1" applyFont="1" applyFill="1" applyAlignment="1">
      <alignment horizontal="center"/>
    </xf>
    <xf numFmtId="1" fontId="7" fillId="5" borderId="0" xfId="0" quotePrefix="1" applyNumberFormat="1" applyFont="1" applyFill="1" applyAlignment="1">
      <alignment horizontal="center"/>
    </xf>
    <xf numFmtId="43" fontId="3" fillId="2" borderId="0" xfId="1" applyFont="1" applyFill="1"/>
    <xf numFmtId="164" fontId="3" fillId="2" borderId="0" xfId="1" applyNumberFormat="1" applyFont="1" applyFill="1"/>
    <xf numFmtId="0" fontId="7" fillId="0" borderId="0" xfId="0" applyFont="1" applyFill="1"/>
    <xf numFmtId="0" fontId="7" fillId="0" borderId="0" xfId="0" applyFont="1"/>
    <xf numFmtId="0" fontId="31" fillId="0" borderId="0" xfId="0" applyFont="1" applyFill="1" applyAlignment="1" applyProtection="1">
      <alignment horizontal="left" indent="2"/>
      <protection locked="0"/>
    </xf>
    <xf numFmtId="0" fontId="31" fillId="0" borderId="0" xfId="0" applyFont="1" applyFill="1" applyAlignment="1" applyProtection="1">
      <alignment horizontal="left"/>
      <protection locked="0"/>
    </xf>
    <xf numFmtId="0" fontId="3" fillId="2" borderId="0" xfId="0" applyFont="1" applyFill="1"/>
    <xf numFmtId="43" fontId="3" fillId="2" borderId="0" xfId="1" applyNumberFormat="1" applyFont="1" applyFill="1"/>
    <xf numFmtId="17" fontId="7" fillId="0" borderId="13" xfId="0" applyNumberFormat="1" applyFont="1" applyBorder="1" applyAlignment="1">
      <alignment horizontal="center"/>
    </xf>
    <xf numFmtId="0" fontId="31" fillId="0" borderId="0" xfId="0" applyFont="1" applyProtection="1">
      <protection locked="0"/>
    </xf>
    <xf numFmtId="0" fontId="32" fillId="0" borderId="0" xfId="0" applyFont="1" applyFill="1" applyAlignment="1" applyProtection="1">
      <alignment horizontal="left"/>
      <protection locked="0"/>
    </xf>
    <xf numFmtId="0" fontId="31" fillId="0" borderId="0" xfId="0" applyFont="1" applyFill="1" applyProtection="1">
      <protection locked="0"/>
    </xf>
    <xf numFmtId="179" fontId="31" fillId="0" borderId="0" xfId="0" applyNumberFormat="1" applyFont="1" applyFill="1" applyAlignment="1" applyProtection="1">
      <alignment horizontal="left"/>
      <protection locked="0"/>
    </xf>
    <xf numFmtId="0" fontId="31" fillId="0" borderId="0" xfId="0" applyFont="1" applyFill="1" applyAlignment="1" applyProtection="1">
      <protection locked="0"/>
    </xf>
    <xf numFmtId="0" fontId="31" fillId="0" borderId="0" xfId="0" applyFont="1" applyFill="1" applyAlignment="1"/>
    <xf numFmtId="0" fontId="31" fillId="0" borderId="0" xfId="0" applyFont="1" applyFill="1"/>
    <xf numFmtId="179" fontId="31" fillId="0" borderId="0" xfId="0" applyNumberFormat="1" applyFont="1" applyFill="1" applyBorder="1" applyAlignment="1" applyProtection="1">
      <alignment horizontal="left"/>
      <protection locked="0"/>
    </xf>
    <xf numFmtId="0" fontId="31" fillId="0" borderId="0" xfId="0" applyFont="1" applyFill="1" applyBorder="1" applyAlignment="1" applyProtection="1">
      <alignment horizontal="left" indent="2"/>
      <protection locked="0"/>
    </xf>
    <xf numFmtId="0" fontId="31" fillId="0" borderId="0" xfId="0" applyFont="1" applyAlignment="1"/>
    <xf numFmtId="5" fontId="3" fillId="0" borderId="0" xfId="1" applyNumberFormat="1" applyFont="1" applyFill="1"/>
    <xf numFmtId="0" fontId="33" fillId="0" borderId="0" xfId="0" applyFont="1" applyFill="1"/>
    <xf numFmtId="164" fontId="3" fillId="0" borderId="0" xfId="0" applyNumberFormat="1" applyFont="1" applyFill="1"/>
    <xf numFmtId="5" fontId="3" fillId="0" borderId="0" xfId="1" applyNumberFormat="1" applyFont="1"/>
    <xf numFmtId="0" fontId="3" fillId="9" borderId="0" xfId="0" applyFont="1" applyFill="1"/>
    <xf numFmtId="0" fontId="0" fillId="9" borderId="0" xfId="0" applyFill="1"/>
    <xf numFmtId="0" fontId="3" fillId="0" borderId="0" xfId="4" applyFont="1" applyFill="1" applyAlignment="1">
      <alignment horizontal="right"/>
    </xf>
    <xf numFmtId="43" fontId="3" fillId="0" borderId="0" xfId="1" applyNumberFormat="1" applyFont="1" applyFill="1"/>
    <xf numFmtId="43" fontId="3" fillId="0" borderId="0" xfId="4" applyNumberFormat="1" applyFont="1" applyFill="1"/>
    <xf numFmtId="0" fontId="24" fillId="0" borderId="0" xfId="4" applyFont="1" applyFill="1"/>
    <xf numFmtId="0" fontId="24" fillId="0" borderId="0" xfId="6" applyFont="1" applyFill="1" applyAlignment="1">
      <alignment horizontal="right"/>
    </xf>
    <xf numFmtId="0" fontId="34" fillId="0" borderId="0" xfId="5" applyFont="1" applyFill="1"/>
    <xf numFmtId="167" fontId="3" fillId="0" borderId="0" xfId="6" applyNumberFormat="1" applyFont="1" applyFill="1"/>
    <xf numFmtId="0" fontId="35" fillId="0" borderId="5" xfId="7" applyFont="1" applyBorder="1" applyAlignment="1">
      <alignment vertical="top" wrapText="1"/>
    </xf>
    <xf numFmtId="0" fontId="35" fillId="0" borderId="5" xfId="7" applyFont="1" applyBorder="1" applyAlignment="1">
      <alignment horizontal="center" vertical="top"/>
    </xf>
    <xf numFmtId="0" fontId="35" fillId="0" borderId="5" xfId="7" applyFont="1" applyBorder="1" applyAlignment="1">
      <alignment horizontal="center" vertical="top" wrapText="1"/>
    </xf>
    <xf numFmtId="37" fontId="35" fillId="0" borderId="5" xfId="10" applyNumberFormat="1" applyFont="1" applyFill="1" applyBorder="1" applyAlignment="1">
      <alignment horizontal="center" vertical="top"/>
    </xf>
    <xf numFmtId="0" fontId="36" fillId="0" borderId="0" xfId="11" applyFont="1"/>
    <xf numFmtId="0" fontId="35" fillId="0" borderId="0" xfId="7" applyFont="1" applyBorder="1" applyAlignment="1">
      <alignment horizontal="center" vertical="top"/>
    </xf>
    <xf numFmtId="0" fontId="35" fillId="0" borderId="0" xfId="7" applyFont="1" applyBorder="1" applyAlignment="1">
      <alignment vertical="top" wrapText="1"/>
    </xf>
    <xf numFmtId="0" fontId="35" fillId="0" borderId="0" xfId="7" applyFont="1" applyBorder="1" applyAlignment="1">
      <alignment horizontal="center" vertical="top" wrapText="1"/>
    </xf>
    <xf numFmtId="37" fontId="35" fillId="0" borderId="0" xfId="10" applyNumberFormat="1" applyFont="1" applyBorder="1" applyAlignment="1">
      <alignment horizontal="center" vertical="top"/>
    </xf>
    <xf numFmtId="0" fontId="5" fillId="3" borderId="0" xfId="11" applyFont="1" applyFill="1" applyAlignment="1">
      <alignment horizontal="center"/>
    </xf>
    <xf numFmtId="0" fontId="5" fillId="7" borderId="0" xfId="11" applyFont="1" applyFill="1" applyAlignment="1">
      <alignment horizontal="center" wrapText="1"/>
    </xf>
    <xf numFmtId="37" fontId="5" fillId="7" borderId="0" xfId="11" applyNumberFormat="1" applyFont="1" applyFill="1" applyAlignment="1">
      <alignment horizontal="center"/>
    </xf>
    <xf numFmtId="37" fontId="5" fillId="3" borderId="0" xfId="11" applyNumberFormat="1" applyFont="1" applyFill="1" applyAlignment="1">
      <alignment horizontal="center"/>
    </xf>
    <xf numFmtId="0" fontId="36" fillId="0" borderId="0" xfId="11" applyFont="1" applyAlignment="1">
      <alignment horizontal="center"/>
    </xf>
    <xf numFmtId="164" fontId="36" fillId="0" borderId="0" xfId="11" applyNumberFormat="1" applyFont="1"/>
    <xf numFmtId="3" fontId="36" fillId="0" borderId="0" xfId="11" applyNumberFormat="1" applyFont="1"/>
    <xf numFmtId="43" fontId="36" fillId="0" borderId="0" xfId="11" applyNumberFormat="1" applyFont="1"/>
    <xf numFmtId="188" fontId="36" fillId="0" borderId="0" xfId="11" applyNumberFormat="1" applyFont="1"/>
    <xf numFmtId="164" fontId="36" fillId="0" borderId="0" xfId="10" applyNumberFormat="1" applyFont="1"/>
    <xf numFmtId="191" fontId="36" fillId="0" borderId="0" xfId="11" applyNumberFormat="1" applyFont="1"/>
    <xf numFmtId="0" fontId="35" fillId="3" borderId="0" xfId="11" applyFont="1" applyFill="1" applyAlignment="1">
      <alignment horizontal="center" wrapText="1"/>
    </xf>
    <xf numFmtId="0" fontId="35" fillId="7" borderId="0" xfId="11" applyFont="1" applyFill="1" applyAlignment="1">
      <alignment horizontal="center" wrapText="1"/>
    </xf>
    <xf numFmtId="0" fontId="37" fillId="0" borderId="0" xfId="11" applyFont="1"/>
    <xf numFmtId="43" fontId="36" fillId="0" borderId="0" xfId="10" applyNumberFormat="1" applyFont="1"/>
    <xf numFmtId="0" fontId="5" fillId="0" borderId="0" xfId="11" applyFont="1" applyFill="1" applyAlignment="1">
      <alignment vertical="top" wrapText="1"/>
    </xf>
    <xf numFmtId="43" fontId="3" fillId="0" borderId="0" xfId="1" applyNumberFormat="1" applyFont="1" applyFill="1" applyProtection="1"/>
    <xf numFmtId="181" fontId="3" fillId="0" borderId="0" xfId="1" applyNumberFormat="1" applyFont="1" applyFill="1"/>
    <xf numFmtId="164" fontId="3" fillId="2" borderId="3" xfId="1" applyNumberFormat="1" applyFont="1" applyFill="1" applyBorder="1"/>
    <xf numFmtId="37" fontId="3" fillId="2" borderId="0" xfId="0" applyNumberFormat="1" applyFont="1" applyFill="1"/>
    <xf numFmtId="37" fontId="3" fillId="2" borderId="3" xfId="0" applyNumberFormat="1" applyFont="1" applyFill="1" applyBorder="1"/>
    <xf numFmtId="0" fontId="38" fillId="0" borderId="0" xfId="0" applyFont="1"/>
    <xf numFmtId="0" fontId="8" fillId="0" borderId="0" xfId="0" applyFont="1"/>
    <xf numFmtId="164" fontId="3" fillId="5" borderId="0" xfId="1" quotePrefix="1" applyNumberFormat="1" applyFont="1" applyFill="1"/>
    <xf numFmtId="8" fontId="3" fillId="0" borderId="16" xfId="4" applyNumberFormat="1" applyFont="1" applyFill="1" applyBorder="1"/>
    <xf numFmtId="8" fontId="3" fillId="0" borderId="17" xfId="4" applyNumberFormat="1" applyFont="1" applyFill="1" applyBorder="1"/>
    <xf numFmtId="8" fontId="7" fillId="0" borderId="18" xfId="4" applyNumberFormat="1" applyFont="1" applyFill="1" applyBorder="1"/>
    <xf numFmtId="8" fontId="7" fillId="0" borderId="19" xfId="4" applyNumberFormat="1" applyFont="1" applyFill="1" applyBorder="1"/>
    <xf numFmtId="37" fontId="3" fillId="0" borderId="0" xfId="4" applyNumberFormat="1" applyFont="1" applyFill="1"/>
    <xf numFmtId="3" fontId="3" fillId="0" borderId="0" xfId="4" applyNumberFormat="1" applyFont="1" applyFill="1"/>
    <xf numFmtId="3" fontId="3" fillId="0" borderId="3" xfId="4" applyNumberFormat="1" applyFont="1" applyFill="1" applyBorder="1"/>
    <xf numFmtId="0" fontId="3" fillId="6" borderId="0" xfId="5" applyFont="1" applyFill="1"/>
    <xf numFmtId="0" fontId="36" fillId="0" borderId="0" xfId="11" applyFont="1" applyFill="1"/>
    <xf numFmtId="174" fontId="3" fillId="0" borderId="0" xfId="6" applyNumberFormat="1" applyFont="1" applyFill="1"/>
    <xf numFmtId="37" fontId="17" fillId="0" borderId="0" xfId="3" applyNumberFormat="1" applyFont="1" applyFill="1" applyBorder="1" applyProtection="1"/>
    <xf numFmtId="37" fontId="36" fillId="0" borderId="0" xfId="11" applyNumberFormat="1" applyFont="1"/>
    <xf numFmtId="174" fontId="17" fillId="0" borderId="0" xfId="5" applyNumberFormat="1" applyFont="1" applyFill="1"/>
    <xf numFmtId="37" fontId="3" fillId="0" borderId="3" xfId="0" applyNumberFormat="1" applyFont="1" applyBorder="1"/>
    <xf numFmtId="0" fontId="17" fillId="0" borderId="0" xfId="5" applyFont="1" applyAlignment="1">
      <alignment horizontal="right"/>
    </xf>
    <xf numFmtId="169" fontId="3" fillId="0" borderId="3" xfId="9" applyNumberFormat="1" applyFont="1" applyFill="1" applyBorder="1"/>
    <xf numFmtId="164" fontId="3" fillId="0" borderId="3" xfId="5" applyNumberFormat="1" applyFont="1" applyFill="1" applyBorder="1" applyAlignment="1">
      <alignment horizontal="right"/>
    </xf>
    <xf numFmtId="164" fontId="8" fillId="0" borderId="0" xfId="1" applyNumberFormat="1" applyFont="1" applyFill="1" applyBorder="1" applyAlignment="1">
      <alignment horizontal="center"/>
    </xf>
    <xf numFmtId="43" fontId="3" fillId="0" borderId="0" xfId="1" applyFont="1" applyFill="1" applyBorder="1" applyProtection="1"/>
    <xf numFmtId="2" fontId="3" fillId="0" borderId="0" xfId="6" applyNumberFormat="1" applyFont="1" applyFill="1"/>
    <xf numFmtId="173" fontId="3" fillId="0" borderId="0" xfId="6" applyNumberFormat="1" applyFont="1" applyFill="1"/>
    <xf numFmtId="37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Border="1"/>
    <xf numFmtId="188" fontId="3" fillId="0" borderId="0" xfId="5" applyNumberFormat="1" applyFont="1" applyFill="1" applyBorder="1"/>
    <xf numFmtId="192" fontId="3" fillId="0" borderId="0" xfId="5" applyNumberFormat="1" applyFont="1" applyFill="1" applyBorder="1" applyProtection="1"/>
    <xf numFmtId="43" fontId="3" fillId="0" borderId="0" xfId="1" applyNumberFormat="1" applyFont="1" applyFill="1" applyBorder="1"/>
    <xf numFmtId="7" fontId="3" fillId="0" borderId="0" xfId="5" applyNumberFormat="1" applyFont="1" applyFill="1" applyBorder="1"/>
    <xf numFmtId="167" fontId="3" fillId="0" borderId="0" xfId="5" applyNumberFormat="1" applyFont="1" applyFill="1" applyBorder="1"/>
    <xf numFmtId="7" fontId="3" fillId="0" borderId="13" xfId="5" applyNumberFormat="1" applyFont="1" applyFill="1" applyBorder="1"/>
    <xf numFmtId="7" fontId="3" fillId="0" borderId="20" xfId="5" applyNumberFormat="1" applyFont="1" applyFill="1" applyBorder="1"/>
    <xf numFmtId="7" fontId="3" fillId="0" borderId="9" xfId="5" applyNumberFormat="1" applyFont="1" applyFill="1" applyBorder="1"/>
    <xf numFmtId="175" fontId="17" fillId="0" borderId="0" xfId="5" applyNumberFormat="1" applyFont="1"/>
    <xf numFmtId="10" fontId="17" fillId="0" borderId="0" xfId="9" applyNumberFormat="1" applyFont="1"/>
    <xf numFmtId="164" fontId="36" fillId="0" borderId="0" xfId="1" applyNumberFormat="1" applyFont="1" applyFill="1"/>
    <xf numFmtId="0" fontId="5" fillId="0" borderId="0" xfId="11" applyFont="1" applyFill="1" applyAlignment="1">
      <alignment horizontal="center" vertical="top"/>
    </xf>
    <xf numFmtId="0" fontId="5" fillId="0" borderId="0" xfId="11" applyFont="1" applyFill="1" applyAlignment="1">
      <alignment vertical="top"/>
    </xf>
    <xf numFmtId="37" fontId="5" fillId="0" borderId="0" xfId="11" applyNumberFormat="1" applyFont="1" applyFill="1" applyAlignment="1">
      <alignment vertical="top"/>
    </xf>
    <xf numFmtId="37" fontId="5" fillId="0" borderId="0" xfId="11" applyNumberFormat="1" applyFont="1" applyFill="1" applyAlignment="1">
      <alignment horizontal="right"/>
    </xf>
    <xf numFmtId="189" fontId="5" fillId="0" borderId="0" xfId="12" applyNumberFormat="1" applyFont="1" applyFill="1" applyAlignment="1">
      <alignment vertical="top" wrapText="1"/>
    </xf>
    <xf numFmtId="190" fontId="5" fillId="0" borderId="0" xfId="12" applyNumberFormat="1" applyFont="1" applyFill="1" applyAlignment="1">
      <alignment vertical="top"/>
    </xf>
    <xf numFmtId="190" fontId="5" fillId="0" borderId="0" xfId="12" applyNumberFormat="1" applyFont="1" applyFill="1" applyAlignment="1">
      <alignment horizontal="right" vertical="top"/>
    </xf>
    <xf numFmtId="44" fontId="36" fillId="0" borderId="0" xfId="12" applyFont="1" applyFill="1"/>
    <xf numFmtId="44" fontId="36" fillId="0" borderId="0" xfId="12" applyNumberFormat="1" applyFont="1" applyFill="1" applyAlignment="1">
      <alignment horizontal="right"/>
    </xf>
    <xf numFmtId="164" fontId="36" fillId="0" borderId="0" xfId="10" applyNumberFormat="1" applyFont="1" applyFill="1"/>
    <xf numFmtId="43" fontId="36" fillId="0" borderId="0" xfId="10" applyFont="1" applyFill="1"/>
    <xf numFmtId="188" fontId="36" fillId="0" borderId="0" xfId="10" applyNumberFormat="1" applyFont="1" applyFill="1"/>
    <xf numFmtId="188" fontId="36" fillId="0" borderId="0" xfId="10" applyNumberFormat="1" applyFont="1" applyFill="1" applyAlignment="1">
      <alignment horizontal="right"/>
    </xf>
    <xf numFmtId="43" fontId="36" fillId="0" borderId="0" xfId="11" applyNumberFormat="1" applyFont="1" applyFill="1"/>
    <xf numFmtId="164" fontId="5" fillId="0" borderId="0" xfId="10" applyNumberFormat="1" applyFont="1" applyFill="1" applyAlignment="1">
      <alignment horizontal="right" vertical="top"/>
    </xf>
    <xf numFmtId="164" fontId="5" fillId="0" borderId="0" xfId="10" applyNumberFormat="1" applyFont="1" applyFill="1" applyAlignment="1">
      <alignment vertical="top"/>
    </xf>
    <xf numFmtId="188" fontId="5" fillId="0" borderId="0" xfId="10" applyNumberFormat="1" applyFont="1" applyFill="1" applyAlignment="1">
      <alignment vertical="top"/>
    </xf>
    <xf numFmtId="188" fontId="5" fillId="0" borderId="0" xfId="10" applyNumberFormat="1" applyFont="1" applyFill="1" applyAlignment="1">
      <alignment horizontal="right" vertical="top"/>
    </xf>
    <xf numFmtId="188" fontId="36" fillId="0" borderId="0" xfId="11" applyNumberFormat="1" applyFont="1" applyFill="1"/>
    <xf numFmtId="0" fontId="5" fillId="0" borderId="0" xfId="11" applyFont="1" applyFill="1" applyAlignment="1">
      <alignment horizontal="center" wrapText="1"/>
    </xf>
    <xf numFmtId="177" fontId="3" fillId="0" borderId="0" xfId="6" applyNumberFormat="1" applyFont="1" applyFill="1" applyBorder="1"/>
    <xf numFmtId="37" fontId="3" fillId="0" borderId="6" xfId="6" applyNumberFormat="1" applyFont="1" applyFill="1" applyBorder="1"/>
    <xf numFmtId="7" fontId="7" fillId="0" borderId="0" xfId="1" applyNumberFormat="1" applyFont="1" applyFill="1" applyProtection="1"/>
    <xf numFmtId="43" fontId="7" fillId="0" borderId="0" xfId="1" applyNumberFormat="1" applyFont="1" applyFill="1" applyProtection="1"/>
    <xf numFmtId="164" fontId="39" fillId="0" borderId="0" xfId="1" applyNumberFormat="1" applyFont="1" applyFill="1"/>
    <xf numFmtId="0" fontId="17" fillId="0" borderId="0" xfId="3" applyFont="1" applyFill="1" applyAlignment="1">
      <alignment horizontal="right"/>
    </xf>
    <xf numFmtId="0" fontId="18" fillId="0" borderId="0" xfId="3" applyFont="1" applyFill="1" applyAlignment="1">
      <alignment horizontal="center"/>
    </xf>
    <xf numFmtId="0" fontId="17" fillId="0" borderId="5" xfId="3" applyFont="1" applyFill="1" applyBorder="1"/>
    <xf numFmtId="0" fontId="17" fillId="0" borderId="5" xfId="3" applyFont="1" applyFill="1" applyBorder="1" applyAlignment="1">
      <alignment horizontal="center"/>
    </xf>
    <xf numFmtId="0" fontId="17" fillId="0" borderId="0" xfId="3" applyFont="1" applyFill="1" applyBorder="1"/>
    <xf numFmtId="0" fontId="17" fillId="0" borderId="1" xfId="3" quotePrefix="1" applyFont="1" applyFill="1" applyBorder="1" applyAlignment="1">
      <alignment horizontal="center"/>
    </xf>
    <xf numFmtId="0" fontId="17" fillId="0" borderId="3" xfId="3" applyFont="1" applyFill="1" applyBorder="1" applyAlignment="1">
      <alignment horizontal="center"/>
    </xf>
    <xf numFmtId="0" fontId="17" fillId="0" borderId="0" xfId="3" quotePrefix="1" applyFont="1" applyFill="1" applyAlignment="1">
      <alignment horizontal="center"/>
    </xf>
    <xf numFmtId="0" fontId="19" fillId="0" borderId="0" xfId="3" applyFont="1" applyFill="1"/>
    <xf numFmtId="7" fontId="17" fillId="0" borderId="0" xfId="3" applyNumberFormat="1" applyFont="1" applyFill="1" applyProtection="1"/>
    <xf numFmtId="39" fontId="17" fillId="0" borderId="0" xfId="3" applyNumberFormat="1" applyFont="1" applyFill="1" applyProtection="1"/>
    <xf numFmtId="170" fontId="17" fillId="0" borderId="0" xfId="3" applyNumberFormat="1" applyFont="1" applyFill="1" applyProtection="1"/>
    <xf numFmtId="37" fontId="18" fillId="0" borderId="0" xfId="3" applyNumberFormat="1" applyFont="1" applyFill="1"/>
    <xf numFmtId="0" fontId="18" fillId="0" borderId="0" xfId="3" applyFont="1" applyFill="1"/>
    <xf numFmtId="0" fontId="21" fillId="0" borderId="0" xfId="3" applyFont="1" applyFill="1"/>
    <xf numFmtId="0" fontId="21" fillId="0" borderId="0" xfId="3" applyFont="1" applyFill="1" applyAlignment="1">
      <alignment horizontal="center"/>
    </xf>
    <xf numFmtId="170" fontId="21" fillId="0" borderId="0" xfId="3" applyNumberFormat="1" applyFont="1" applyFill="1" applyProtection="1"/>
    <xf numFmtId="37" fontId="17" fillId="0" borderId="0" xfId="3" applyNumberFormat="1" applyFont="1" applyFill="1" applyBorder="1"/>
    <xf numFmtId="0" fontId="17" fillId="0" borderId="0" xfId="3" applyFont="1" applyFill="1" applyBorder="1" applyAlignment="1">
      <alignment horizontal="right"/>
    </xf>
    <xf numFmtId="37" fontId="17" fillId="0" borderId="1" xfId="3" applyNumberFormat="1" applyFont="1" applyFill="1" applyBorder="1"/>
    <xf numFmtId="0" fontId="17" fillId="0" borderId="1" xfId="3" applyFont="1" applyFill="1" applyBorder="1"/>
    <xf numFmtId="164" fontId="17" fillId="0" borderId="4" xfId="1" applyNumberFormat="1" applyFont="1" applyFill="1" applyBorder="1"/>
    <xf numFmtId="164" fontId="17" fillId="0" borderId="0" xfId="1" applyNumberFormat="1" applyFont="1" applyFill="1" applyBorder="1"/>
    <xf numFmtId="0" fontId="3" fillId="0" borderId="0" xfId="3" applyFont="1" applyFill="1"/>
    <xf numFmtId="164" fontId="17" fillId="0" borderId="1" xfId="1" applyNumberFormat="1" applyFont="1" applyFill="1" applyBorder="1"/>
    <xf numFmtId="176" fontId="17" fillId="0" borderId="4" xfId="2" applyNumberFormat="1" applyFont="1" applyFill="1" applyBorder="1" applyProtection="1"/>
    <xf numFmtId="0" fontId="17" fillId="0" borderId="0" xfId="3" quotePrefix="1" applyFont="1" applyFill="1"/>
    <xf numFmtId="5" fontId="3" fillId="0" borderId="0" xfId="0" applyNumberFormat="1" applyFont="1" applyFill="1"/>
    <xf numFmtId="0" fontId="3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/>
    <xf numFmtId="0" fontId="0" fillId="0" borderId="0" xfId="0" applyFill="1"/>
    <xf numFmtId="164" fontId="17" fillId="0" borderId="0" xfId="0" applyNumberFormat="1" applyFont="1" applyFill="1"/>
    <xf numFmtId="0" fontId="3" fillId="0" borderId="3" xfId="0" applyFont="1" applyFill="1" applyBorder="1" applyAlignment="1">
      <alignment horizontal="center"/>
    </xf>
    <xf numFmtId="17" fontId="3" fillId="0" borderId="3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17" fontId="3" fillId="0" borderId="0" xfId="0" applyNumberFormat="1" applyFont="1" applyFill="1" applyAlignment="1">
      <alignment horizontal="center"/>
    </xf>
    <xf numFmtId="17" fontId="3" fillId="0" borderId="0" xfId="0" applyNumberFormat="1" applyFont="1" applyFill="1" applyBorder="1" applyAlignment="1">
      <alignment horizontal="center"/>
    </xf>
    <xf numFmtId="17" fontId="3" fillId="0" borderId="0" xfId="0" applyNumberFormat="1" applyFont="1" applyFill="1"/>
    <xf numFmtId="39" fontId="3" fillId="0" borderId="13" xfId="0" applyNumberFormat="1" applyFont="1" applyFill="1" applyBorder="1"/>
    <xf numFmtId="39" fontId="3" fillId="0" borderId="0" xfId="0" applyNumberFormat="1" applyFont="1" applyFill="1"/>
    <xf numFmtId="181" fontId="3" fillId="0" borderId="0" xfId="1" applyNumberFormat="1" applyFont="1" applyFill="1" applyBorder="1"/>
    <xf numFmtId="181" fontId="3" fillId="0" borderId="0" xfId="0" applyNumberFormat="1" applyFont="1" applyFill="1"/>
    <xf numFmtId="175" fontId="3" fillId="0" borderId="0" xfId="0" applyNumberFormat="1" applyFont="1" applyFill="1" applyBorder="1"/>
    <xf numFmtId="175" fontId="3" fillId="0" borderId="0" xfId="1" applyNumberFormat="1" applyFont="1" applyFill="1"/>
    <xf numFmtId="175" fontId="3" fillId="0" borderId="0" xfId="0" applyNumberFormat="1" applyFont="1" applyFill="1"/>
    <xf numFmtId="174" fontId="3" fillId="0" borderId="13" xfId="0" applyNumberFormat="1" applyFont="1" applyFill="1" applyBorder="1"/>
    <xf numFmtId="174" fontId="3" fillId="0" borderId="0" xfId="0" applyNumberFormat="1" applyFont="1" applyFill="1" applyBorder="1"/>
    <xf numFmtId="174" fontId="3" fillId="0" borderId="0" xfId="0" applyNumberFormat="1" applyFont="1" applyFill="1"/>
    <xf numFmtId="3" fontId="3" fillId="0" borderId="11" xfId="0" applyNumberFormat="1" applyFont="1" applyFill="1" applyBorder="1"/>
    <xf numFmtId="3" fontId="3" fillId="0" borderId="2" xfId="0" applyNumberFormat="1" applyFont="1" applyFill="1" applyBorder="1"/>
    <xf numFmtId="3" fontId="3" fillId="0" borderId="12" xfId="0" applyNumberFormat="1" applyFont="1" applyFill="1" applyBorder="1"/>
    <xf numFmtId="3" fontId="3" fillId="0" borderId="0" xfId="0" applyNumberFormat="1" applyFont="1" applyFill="1"/>
    <xf numFmtId="164" fontId="3" fillId="0" borderId="11" xfId="1" applyNumberFormat="1" applyFont="1" applyFill="1" applyBorder="1"/>
    <xf numFmtId="164" fontId="3" fillId="0" borderId="2" xfId="1" applyNumberFormat="1" applyFont="1" applyFill="1" applyBorder="1"/>
    <xf numFmtId="164" fontId="3" fillId="0" borderId="12" xfId="1" applyNumberFormat="1" applyFont="1" applyFill="1" applyBorder="1"/>
    <xf numFmtId="3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14" xfId="0" applyNumberFormat="1" applyFont="1" applyFill="1" applyBorder="1"/>
    <xf numFmtId="43" fontId="3" fillId="0" borderId="0" xfId="0" applyNumberFormat="1" applyFont="1" applyFill="1"/>
    <xf numFmtId="164" fontId="21" fillId="0" borderId="0" xfId="1" applyNumberFormat="1" applyFont="1" applyFill="1" applyProtection="1"/>
    <xf numFmtId="37" fontId="17" fillId="0" borderId="0" xfId="3" quotePrefix="1" applyNumberFormat="1" applyFont="1" applyFill="1"/>
    <xf numFmtId="37" fontId="17" fillId="0" borderId="0" xfId="1" quotePrefix="1" applyNumberFormat="1" applyFont="1" applyFill="1"/>
    <xf numFmtId="43" fontId="17" fillId="0" borderId="0" xfId="3" applyNumberFormat="1" applyFont="1" applyFill="1"/>
    <xf numFmtId="0" fontId="24" fillId="0" borderId="0" xfId="6" applyFont="1" applyFill="1" applyBorder="1"/>
    <xf numFmtId="0" fontId="3" fillId="0" borderId="3" xfId="6" applyFont="1" applyFill="1" applyBorder="1"/>
    <xf numFmtId="174" fontId="3" fillId="0" borderId="3" xfId="6" applyNumberFormat="1" applyFont="1" applyFill="1" applyBorder="1"/>
    <xf numFmtId="37" fontId="3" fillId="0" borderId="3" xfId="0" applyNumberFormat="1" applyFont="1" applyFill="1" applyBorder="1"/>
    <xf numFmtId="164" fontId="3" fillId="0" borderId="3" xfId="0" applyNumberFormat="1" applyFont="1" applyFill="1" applyBorder="1"/>
    <xf numFmtId="0" fontId="3" fillId="0" borderId="0" xfId="5" applyFont="1" applyFill="1" applyAlignment="1">
      <alignment horizontal="centerContinuous"/>
    </xf>
    <xf numFmtId="0" fontId="3" fillId="0" borderId="0" xfId="5" applyFont="1" applyFill="1" applyBorder="1" applyAlignment="1">
      <alignment horizontal="centerContinuous"/>
    </xf>
    <xf numFmtId="7" fontId="3" fillId="0" borderId="0" xfId="5" applyNumberFormat="1" applyFont="1" applyFill="1" applyProtection="1"/>
    <xf numFmtId="44" fontId="3" fillId="0" borderId="0" xfId="2" applyFont="1" applyFill="1" applyProtection="1"/>
    <xf numFmtId="190" fontId="3" fillId="0" borderId="0" xfId="2" applyNumberFormat="1" applyFont="1" applyFill="1" applyProtection="1"/>
    <xf numFmtId="0" fontId="3" fillId="0" borderId="0" xfId="0" applyFont="1" applyAlignment="1">
      <alignment horizontal="centerContinuous"/>
    </xf>
    <xf numFmtId="44" fontId="3" fillId="0" borderId="0" xfId="2" applyFont="1" applyAlignment="1">
      <alignment horizontal="right"/>
    </xf>
    <xf numFmtId="43" fontId="3" fillId="0" borderId="0" xfId="1" applyFont="1" applyAlignment="1">
      <alignment horizontal="right"/>
    </xf>
    <xf numFmtId="169" fontId="3" fillId="0" borderId="0" xfId="9" applyNumberFormat="1" applyFont="1" applyAlignment="1">
      <alignment horizontal="right"/>
    </xf>
    <xf numFmtId="17" fontId="3" fillId="0" borderId="0" xfId="4" applyNumberFormat="1" applyFont="1" applyFill="1" applyAlignment="1">
      <alignment horizontal="center"/>
    </xf>
    <xf numFmtId="10" fontId="3" fillId="0" borderId="0" xfId="9" applyNumberFormat="1" applyFont="1" applyFill="1" applyAlignment="1">
      <alignment horizontal="center"/>
    </xf>
    <xf numFmtId="186" fontId="3" fillId="0" borderId="0" xfId="4" applyNumberFormat="1" applyFont="1" applyFill="1"/>
    <xf numFmtId="9" fontId="3" fillId="0" borderId="0" xfId="9" applyFont="1" applyFill="1"/>
    <xf numFmtId="166" fontId="3" fillId="0" borderId="0" xfId="4" applyNumberFormat="1" applyFont="1" applyFill="1"/>
    <xf numFmtId="180" fontId="20" fillId="0" borderId="0" xfId="4" applyNumberFormat="1" applyFont="1" applyFill="1"/>
    <xf numFmtId="180" fontId="20" fillId="0" borderId="9" xfId="4" applyNumberFormat="1" applyFont="1" applyFill="1" applyBorder="1"/>
    <xf numFmtId="169" fontId="3" fillId="0" borderId="9" xfId="9" applyNumberFormat="1" applyFont="1" applyFill="1" applyBorder="1"/>
    <xf numFmtId="167" fontId="3" fillId="0" borderId="9" xfId="4" applyNumberFormat="1" applyFont="1" applyFill="1" applyBorder="1"/>
    <xf numFmtId="180" fontId="3" fillId="0" borderId="9" xfId="4" applyNumberFormat="1" applyFont="1" applyFill="1" applyBorder="1"/>
    <xf numFmtId="167" fontId="3" fillId="0" borderId="15" xfId="4" applyNumberFormat="1" applyFont="1" applyFill="1" applyBorder="1"/>
    <xf numFmtId="182" fontId="3" fillId="0" borderId="0" xfId="4" applyNumberFormat="1" applyFont="1" applyFill="1"/>
    <xf numFmtId="44" fontId="3" fillId="0" borderId="0" xfId="2" applyFont="1" applyFill="1"/>
    <xf numFmtId="177" fontId="3" fillId="0" borderId="0" xfId="2" applyNumberFormat="1" applyFont="1" applyFill="1"/>
    <xf numFmtId="5" fontId="3" fillId="0" borderId="0" xfId="2" applyNumberFormat="1" applyFont="1" applyFill="1"/>
    <xf numFmtId="5" fontId="3" fillId="0" borderId="0" xfId="4" applyNumberFormat="1" applyFont="1" applyFill="1"/>
    <xf numFmtId="175" fontId="3" fillId="0" borderId="0" xfId="4" applyNumberFormat="1" applyFont="1" applyFill="1"/>
    <xf numFmtId="184" fontId="3" fillId="0" borderId="0" xfId="4" applyNumberFormat="1" applyFont="1" applyFill="1"/>
    <xf numFmtId="185" fontId="3" fillId="0" borderId="0" xfId="4" applyNumberFormat="1" applyFont="1" applyFill="1"/>
    <xf numFmtId="7" fontId="3" fillId="0" borderId="0" xfId="4" applyNumberFormat="1" applyFont="1" applyFill="1"/>
    <xf numFmtId="183" fontId="3" fillId="0" borderId="0" xfId="4" applyNumberFormat="1" applyFont="1" applyFill="1"/>
    <xf numFmtId="8" fontId="3" fillId="0" borderId="0" xfId="4" applyNumberFormat="1" applyFont="1" applyFill="1"/>
    <xf numFmtId="8" fontId="7" fillId="0" borderId="2" xfId="4" applyNumberFormat="1" applyFont="1" applyFill="1" applyBorder="1"/>
    <xf numFmtId="183" fontId="7" fillId="0" borderId="11" xfId="4" applyNumberFormat="1" applyFont="1" applyFill="1" applyBorder="1"/>
    <xf numFmtId="10" fontId="3" fillId="0" borderId="0" xfId="4" applyNumberFormat="1" applyFont="1" applyFill="1"/>
    <xf numFmtId="0" fontId="3" fillId="0" borderId="0" xfId="4" quotePrefix="1" applyFont="1" applyFill="1" applyAlignment="1">
      <alignment horizontal="right"/>
    </xf>
    <xf numFmtId="9" fontId="27" fillId="0" borderId="0" xfId="9" applyFont="1" applyFill="1"/>
    <xf numFmtId="164" fontId="20" fillId="0" borderId="0" xfId="4" applyNumberFormat="1" applyFont="1" applyFill="1"/>
    <xf numFmtId="3" fontId="3" fillId="0" borderId="0" xfId="4" applyNumberFormat="1" applyFont="1" applyFill="1" applyBorder="1"/>
    <xf numFmtId="41" fontId="3" fillId="0" borderId="3" xfId="4" applyNumberFormat="1" applyFont="1" applyFill="1" applyBorder="1"/>
    <xf numFmtId="164" fontId="3" fillId="0" borderId="3" xfId="4" applyNumberFormat="1" applyFont="1" applyFill="1" applyBorder="1"/>
    <xf numFmtId="37" fontId="17" fillId="0" borderId="0" xfId="8" applyFont="1" applyFill="1" applyAlignment="1">
      <alignment horizontal="right"/>
    </xf>
    <xf numFmtId="37" fontId="18" fillId="0" borderId="0" xfId="8" applyFont="1" applyFill="1" applyAlignment="1">
      <alignment horizontal="center"/>
    </xf>
    <xf numFmtId="37" fontId="18" fillId="0" borderId="0" xfId="8" quotePrefix="1" applyFont="1" applyFill="1" applyAlignment="1">
      <alignment horizontal="center"/>
    </xf>
    <xf numFmtId="37" fontId="17" fillId="0" borderId="0" xfId="8" applyFont="1" applyFill="1" applyAlignment="1">
      <alignment horizontal="center"/>
    </xf>
    <xf numFmtId="37" fontId="17" fillId="0" borderId="1" xfId="8" applyFont="1" applyFill="1" applyBorder="1"/>
    <xf numFmtId="37" fontId="17" fillId="0" borderId="1" xfId="8" applyFont="1" applyFill="1" applyBorder="1" applyAlignment="1">
      <alignment horizontal="center"/>
    </xf>
    <xf numFmtId="17" fontId="17" fillId="0" borderId="0" xfId="8" applyNumberFormat="1" applyFont="1" applyFill="1" applyProtection="1"/>
    <xf numFmtId="10" fontId="3" fillId="0" borderId="0" xfId="0" applyNumberFormat="1" applyFont="1" applyFill="1"/>
    <xf numFmtId="188" fontId="3" fillId="0" borderId="0" xfId="1" applyNumberFormat="1" applyFont="1" applyFill="1"/>
    <xf numFmtId="0" fontId="3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right"/>
    </xf>
    <xf numFmtId="187" fontId="3" fillId="0" borderId="9" xfId="0" applyNumberFormat="1" applyFont="1" applyFill="1" applyBorder="1"/>
    <xf numFmtId="187" fontId="3" fillId="0" borderId="0" xfId="0" applyNumberFormat="1" applyFont="1" applyFill="1"/>
    <xf numFmtId="187" fontId="3" fillId="0" borderId="0" xfId="0" applyNumberFormat="1" applyFont="1" applyFill="1" applyBorder="1"/>
    <xf numFmtId="0" fontId="3" fillId="0" borderId="3" xfId="0" applyFont="1" applyFill="1" applyBorder="1"/>
    <xf numFmtId="0" fontId="3" fillId="0" borderId="13" xfId="0" applyFont="1" applyFill="1" applyBorder="1"/>
    <xf numFmtId="10" fontId="7" fillId="0" borderId="0" xfId="0" applyNumberFormat="1" applyFont="1" applyFill="1"/>
    <xf numFmtId="0" fontId="3" fillId="0" borderId="3" xfId="0" applyFont="1" applyFill="1" applyBorder="1" applyAlignment="1">
      <alignment horizontal="center" wrapText="1"/>
    </xf>
    <xf numFmtId="187" fontId="3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 applyBorder="1"/>
    <xf numFmtId="2" fontId="3" fillId="0" borderId="0" xfId="0" applyNumberFormat="1" applyFont="1" applyFill="1"/>
    <xf numFmtId="187" fontId="3" fillId="0" borderId="0" xfId="0" applyNumberFormat="1" applyFont="1" applyFill="1" applyAlignment="1">
      <alignment horizontal="left"/>
    </xf>
    <xf numFmtId="16" fontId="3" fillId="0" borderId="0" xfId="0" applyNumberFormat="1" applyFont="1" applyFill="1"/>
    <xf numFmtId="0" fontId="8" fillId="0" borderId="0" xfId="0" applyFont="1" applyFill="1" applyBorder="1"/>
    <xf numFmtId="165" fontId="3" fillId="0" borderId="0" xfId="0" applyNumberFormat="1" applyFont="1" applyFill="1" applyAlignment="1">
      <alignment horizontal="center"/>
    </xf>
    <xf numFmtId="4" fontId="3" fillId="0" borderId="0" xfId="0" applyNumberFormat="1" applyFont="1" applyFill="1"/>
    <xf numFmtId="178" fontId="3" fillId="0" borderId="0" xfId="0" applyNumberFormat="1" applyFont="1" applyFill="1"/>
    <xf numFmtId="0" fontId="7" fillId="0" borderId="3" xfId="0" applyFont="1" applyBorder="1" applyAlignment="1">
      <alignment horizontal="center"/>
    </xf>
    <xf numFmtId="0" fontId="17" fillId="0" borderId="0" xfId="3" applyFont="1" applyFill="1" applyBorder="1" applyAlignment="1">
      <alignment horizontal="center"/>
    </xf>
    <xf numFmtId="0" fontId="17" fillId="0" borderId="5" xfId="3" applyFont="1" applyFill="1" applyBorder="1" applyAlignment="1">
      <alignment horizontal="center"/>
    </xf>
    <xf numFmtId="37" fontId="17" fillId="0" borderId="0" xfId="8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0" fontId="28" fillId="0" borderId="11" xfId="0" applyNumberFormat="1" applyFont="1" applyFill="1" applyBorder="1" applyAlignment="1">
      <alignment horizontal="center"/>
    </xf>
    <xf numFmtId="10" fontId="28" fillId="0" borderId="2" xfId="0" applyNumberFormat="1" applyFont="1" applyFill="1" applyBorder="1" applyAlignment="1">
      <alignment horizontal="center"/>
    </xf>
    <xf numFmtId="10" fontId="28" fillId="0" borderId="12" xfId="0" applyNumberFormat="1" applyFont="1" applyFill="1" applyBorder="1" applyAlignment="1">
      <alignment horizontal="center"/>
    </xf>
    <xf numFmtId="0" fontId="3" fillId="10" borderId="0" xfId="0" applyFont="1" applyFill="1"/>
    <xf numFmtId="0" fontId="0" fillId="10" borderId="0" xfId="0" applyFill="1"/>
  </cellXfs>
  <cellStyles count="13">
    <cellStyle name="Comma" xfId="1" builtinId="3"/>
    <cellStyle name="Comma 2" xfId="10"/>
    <cellStyle name="Currency" xfId="2" builtinId="4"/>
    <cellStyle name="Currency 2" xfId="12"/>
    <cellStyle name="Normal" xfId="0" builtinId="0"/>
    <cellStyle name="Normal 2" xfId="11"/>
    <cellStyle name="Normal_1994 Rate Design Template mock-up" xfId="3"/>
    <cellStyle name="Normal_FY 2004 Gas Cost - Monthly Budget (04 05))" xfId="4"/>
    <cellStyle name="Normal_GenBillFrequency with Rate Design (Final)" xfId="5"/>
    <cellStyle name="Normal_Kentucky - CCS98 as filed" xfId="6"/>
    <cellStyle name="Normal_WKG Handbills 24 Month_August2006 (GS2)" xfId="7"/>
    <cellStyle name="Normal_WTH_998 garysmith" xfId="8"/>
    <cellStyle name="Percent" xfId="9" builtinId="5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Y%20SAP%20Volumes%20and%20Counts%20Sep14%20-%20Aug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KY%20Weather%2008.16.2005-08.31.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edge%20Position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NYMEX_11_05_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torage%20gas-book%20balance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ted%20TGP-KY%202015-16%20Winter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ted%20TGT%20Winter%20Plan%20Nov%20-%20Mar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Current%20TGP%20Summer%20Plan%20201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Current%20TGT%20Plan%20Summer%20Aug%20-%20Oct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Y%20Rate%20Case%20Special%20Contract%20Revenue%20Adjustment_Confident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end%20Lines%20Rate%20Impact%208.2015_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ate%20Admin%20KY%20August%202015%20Rat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Approved%20FY16%20PRP%20R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p13%20-%20Sep%2015%20Kentucky%20GCA%20Histor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Kentucky%20GCA%20Fil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Other%20Revenue%20TYE%208_31_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Res-Com-PA%20Revs%20to%20FD%20FY03%20-%20Current%20thru%20Aug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ummary"/>
      <sheetName val="Customers"/>
      <sheetName val="Volumes"/>
      <sheetName val="IND-Inter Adj"/>
      <sheetName val="Not Assigned Volume"/>
      <sheetName val="LookupTbl"/>
      <sheetName val="FinRep"/>
      <sheetName val="E19AEBE0CFBB45F59F329A2CDE2CB0A"/>
      <sheetName val="Sheet1"/>
    </sheetNames>
    <sheetDataSet>
      <sheetData sheetId="0" refreshError="1"/>
      <sheetData sheetId="1" refreshError="1"/>
      <sheetData sheetId="2">
        <row r="8">
          <cell r="AD8">
            <v>38019.416666666664</v>
          </cell>
          <cell r="AE8">
            <v>35225.833333333328</v>
          </cell>
          <cell r="AF8">
            <v>21244.401515151509</v>
          </cell>
          <cell r="AG8">
            <v>6737.4166666666679</v>
          </cell>
          <cell r="AH8">
            <v>52852.861111111117</v>
          </cell>
        </row>
        <row r="9">
          <cell r="AE9">
            <v>132.09090909090909</v>
          </cell>
          <cell r="AF9">
            <v>1</v>
          </cell>
          <cell r="AH9">
            <v>1304.151515151515</v>
          </cell>
        </row>
        <row r="10">
          <cell r="AF10">
            <v>1.0909090909090908</v>
          </cell>
          <cell r="AH10">
            <v>1.5833333333333333</v>
          </cell>
        </row>
        <row r="11">
          <cell r="AD11">
            <v>3333.545454545454</v>
          </cell>
          <cell r="AE11">
            <v>4395.204545454545</v>
          </cell>
          <cell r="AF11">
            <v>2666.6818181818189</v>
          </cell>
          <cell r="AG11">
            <v>654.97727272727275</v>
          </cell>
          <cell r="AH11">
            <v>6281.8030303030309</v>
          </cell>
        </row>
        <row r="12">
          <cell r="AD12">
            <v>248.96969696969697</v>
          </cell>
          <cell r="AE12">
            <v>363.28484848484845</v>
          </cell>
          <cell r="AF12">
            <v>360.74999999999994</v>
          </cell>
          <cell r="AG12">
            <v>43.083333333333329</v>
          </cell>
          <cell r="AH12">
            <v>541.91969696969693</v>
          </cell>
        </row>
        <row r="491">
          <cell r="L491">
            <v>149672</v>
          </cell>
          <cell r="M491">
            <v>151158</v>
          </cell>
          <cell r="N491">
            <v>151071</v>
          </cell>
          <cell r="O491">
            <v>156596</v>
          </cell>
          <cell r="P491">
            <v>156457</v>
          </cell>
          <cell r="Q491">
            <v>139931</v>
          </cell>
          <cell r="R491">
            <v>173781</v>
          </cell>
          <cell r="S491">
            <v>156828</v>
          </cell>
          <cell r="T491">
            <v>155295</v>
          </cell>
          <cell r="U491">
            <v>154867</v>
          </cell>
          <cell r="V491">
            <v>152881</v>
          </cell>
          <cell r="W491">
            <v>150414</v>
          </cell>
        </row>
        <row r="492">
          <cell r="L492">
            <v>1340</v>
          </cell>
          <cell r="M492">
            <v>1361</v>
          </cell>
          <cell r="N492">
            <v>1323</v>
          </cell>
          <cell r="O492">
            <v>1324</v>
          </cell>
          <cell r="P492">
            <v>1416</v>
          </cell>
          <cell r="Q492">
            <v>1250</v>
          </cell>
          <cell r="R492">
            <v>1588</v>
          </cell>
          <cell r="S492">
            <v>1411</v>
          </cell>
          <cell r="T492">
            <v>1414</v>
          </cell>
          <cell r="U492">
            <v>1426</v>
          </cell>
          <cell r="V492">
            <v>1412</v>
          </cell>
          <cell r="W492">
            <v>1421</v>
          </cell>
        </row>
        <row r="493">
          <cell r="L493">
            <v>16763</v>
          </cell>
          <cell r="M493">
            <v>16900</v>
          </cell>
          <cell r="N493">
            <v>16920</v>
          </cell>
          <cell r="O493">
            <v>17698</v>
          </cell>
          <cell r="P493">
            <v>17809</v>
          </cell>
          <cell r="Q493">
            <v>16330</v>
          </cell>
          <cell r="R493">
            <v>19213</v>
          </cell>
          <cell r="S493">
            <v>17745</v>
          </cell>
          <cell r="T493">
            <v>17372</v>
          </cell>
          <cell r="U493">
            <v>17239</v>
          </cell>
          <cell r="V493">
            <v>17099</v>
          </cell>
          <cell r="W493">
            <v>16768</v>
          </cell>
        </row>
        <row r="494">
          <cell r="L494">
            <v>189</v>
          </cell>
          <cell r="M494">
            <v>195</v>
          </cell>
          <cell r="N494">
            <v>181</v>
          </cell>
          <cell r="O494">
            <v>200</v>
          </cell>
          <cell r="P494">
            <v>201</v>
          </cell>
          <cell r="Q494">
            <v>169</v>
          </cell>
          <cell r="R494">
            <v>234</v>
          </cell>
          <cell r="S494">
            <v>197</v>
          </cell>
          <cell r="T494">
            <v>193</v>
          </cell>
          <cell r="U494">
            <v>205</v>
          </cell>
          <cell r="V494">
            <v>193</v>
          </cell>
          <cell r="W494">
            <v>211</v>
          </cell>
        </row>
        <row r="495">
          <cell r="L495">
            <v>1544</v>
          </cell>
          <cell r="M495">
            <v>1572</v>
          </cell>
          <cell r="N495">
            <v>1520</v>
          </cell>
          <cell r="O495">
            <v>1559</v>
          </cell>
          <cell r="P495">
            <v>1567</v>
          </cell>
          <cell r="Q495">
            <v>1378</v>
          </cell>
          <cell r="R495">
            <v>1769</v>
          </cell>
          <cell r="S495">
            <v>1555</v>
          </cell>
          <cell r="T495">
            <v>1550</v>
          </cell>
          <cell r="U495">
            <v>1563</v>
          </cell>
          <cell r="V495">
            <v>1563</v>
          </cell>
          <cell r="W495">
            <v>1507</v>
          </cell>
        </row>
        <row r="496">
          <cell r="L496">
            <v>2</v>
          </cell>
          <cell r="M496">
            <v>2</v>
          </cell>
          <cell r="N496">
            <v>2</v>
          </cell>
          <cell r="O496">
            <v>3</v>
          </cell>
          <cell r="P496">
            <v>4</v>
          </cell>
          <cell r="Q496">
            <v>3</v>
          </cell>
          <cell r="R496">
            <v>3</v>
          </cell>
          <cell r="S496">
            <v>4</v>
          </cell>
          <cell r="T496">
            <v>2</v>
          </cell>
          <cell r="U496">
            <v>2</v>
          </cell>
          <cell r="V496">
            <v>2</v>
          </cell>
          <cell r="W496">
            <v>2</v>
          </cell>
        </row>
      </sheetData>
      <sheetData sheetId="3">
        <row r="173">
          <cell r="Z173">
            <v>172952.49969090908</v>
          </cell>
          <cell r="AA173">
            <v>237170.22532727272</v>
          </cell>
          <cell r="AB173">
            <v>872329.33630909096</v>
          </cell>
          <cell r="AC173">
            <v>1632376.9590090909</v>
          </cell>
          <cell r="AD173">
            <v>2213488.9780454547</v>
          </cell>
          <cell r="AE173">
            <v>1817294.746681818</v>
          </cell>
          <cell r="AF173">
            <v>2409615.0712181819</v>
          </cell>
          <cell r="AG173">
            <v>840794.20979090908</v>
          </cell>
          <cell r="AH173">
            <v>329075.9436</v>
          </cell>
          <cell r="AI173">
            <v>196516.9406</v>
          </cell>
          <cell r="AJ173">
            <v>157912.34571818184</v>
          </cell>
          <cell r="AK173">
            <v>174979.03279999999</v>
          </cell>
        </row>
        <row r="174">
          <cell r="Z174">
            <v>51.590909090909086</v>
          </cell>
          <cell r="AA174">
            <v>1321.477272727273</v>
          </cell>
          <cell r="AB174">
            <v>312.90909090909093</v>
          </cell>
          <cell r="AC174">
            <v>91.409090909090921</v>
          </cell>
          <cell r="AD174">
            <v>222.67045454545456</v>
          </cell>
          <cell r="AE174">
            <v>209.55681818181819</v>
          </cell>
          <cell r="AF174">
            <v>152.44318181818181</v>
          </cell>
          <cell r="AG174">
            <v>109.84090909090909</v>
          </cell>
          <cell r="AH174">
            <v>0</v>
          </cell>
          <cell r="AI174">
            <v>0</v>
          </cell>
          <cell r="AJ174">
            <v>270.94318181818187</v>
          </cell>
          <cell r="AK174">
            <v>0</v>
          </cell>
        </row>
        <row r="179">
          <cell r="Z179">
            <v>144788.39386363636</v>
          </cell>
          <cell r="AA179">
            <v>166488.77769090908</v>
          </cell>
          <cell r="AB179">
            <v>350892.11766363634</v>
          </cell>
          <cell r="AC179">
            <v>624545.05058181821</v>
          </cell>
          <cell r="AD179">
            <v>846415.72839090903</v>
          </cell>
          <cell r="AE179">
            <v>737311.99094545445</v>
          </cell>
          <cell r="AF179">
            <v>874770.2786636363</v>
          </cell>
          <cell r="AG179">
            <v>354979.44740909088</v>
          </cell>
          <cell r="AH179">
            <v>173189.86251818182</v>
          </cell>
          <cell r="AI179">
            <v>137403.50343636365</v>
          </cell>
          <cell r="AJ179">
            <v>129448.20723636363</v>
          </cell>
          <cell r="AK179">
            <v>140181.84323636364</v>
          </cell>
        </row>
        <row r="180">
          <cell r="Z180">
            <v>37810.23863636364</v>
          </cell>
          <cell r="AA180">
            <v>72796.965909090912</v>
          </cell>
          <cell r="AB180">
            <v>39603.61363636364</v>
          </cell>
          <cell r="AC180">
            <v>77850.306818181823</v>
          </cell>
          <cell r="AD180">
            <v>126411.09090909091</v>
          </cell>
          <cell r="AE180">
            <v>104749.67045454547</v>
          </cell>
          <cell r="AF180">
            <v>129381.86363636365</v>
          </cell>
          <cell r="AG180">
            <v>45142.159090909096</v>
          </cell>
          <cell r="AH180">
            <v>24769.943181818184</v>
          </cell>
          <cell r="AI180">
            <v>12567.011363636364</v>
          </cell>
          <cell r="AJ180">
            <v>11533.136363636364</v>
          </cell>
          <cell r="AK180">
            <v>20635.636363636364</v>
          </cell>
        </row>
        <row r="185">
          <cell r="Z185">
            <v>10401.737645454547</v>
          </cell>
          <cell r="AA185">
            <v>11649.108463636363</v>
          </cell>
          <cell r="AB185">
            <v>22690.29796363636</v>
          </cell>
          <cell r="AC185">
            <v>36089.256672727272</v>
          </cell>
          <cell r="AD185">
            <v>42579.623990909102</v>
          </cell>
          <cell r="AE185">
            <v>34343.541009090899</v>
          </cell>
          <cell r="AF185">
            <v>51216.227236363644</v>
          </cell>
          <cell r="AG185">
            <v>24163.344945454544</v>
          </cell>
          <cell r="AH185">
            <v>13009.233909090908</v>
          </cell>
          <cell r="AI185">
            <v>9589.5276272727278</v>
          </cell>
          <cell r="AJ185">
            <v>8581.6553727272712</v>
          </cell>
          <cell r="AK185">
            <v>11302.885118181819</v>
          </cell>
        </row>
        <row r="186">
          <cell r="Z186">
            <v>9909.545454545454</v>
          </cell>
          <cell r="AA186">
            <v>7277.8636363636369</v>
          </cell>
          <cell r="AB186">
            <v>19647.738636363636</v>
          </cell>
          <cell r="AC186">
            <v>46086.897727272728</v>
          </cell>
          <cell r="AD186">
            <v>66501.215909090912</v>
          </cell>
          <cell r="AE186">
            <v>54557.034090909096</v>
          </cell>
          <cell r="AF186">
            <v>81450.761363636368</v>
          </cell>
          <cell r="AG186">
            <v>20127.920454545456</v>
          </cell>
          <cell r="AH186">
            <v>5983.409090909091</v>
          </cell>
          <cell r="AI186">
            <v>5630.352272727273</v>
          </cell>
          <cell r="AJ186">
            <v>4040.022727272727</v>
          </cell>
          <cell r="AK186">
            <v>10300.568181818182</v>
          </cell>
        </row>
        <row r="191">
          <cell r="Z191">
            <v>28080.809172727269</v>
          </cell>
          <cell r="AA191">
            <v>34565.38807272727</v>
          </cell>
          <cell r="AB191">
            <v>73108.57448181817</v>
          </cell>
          <cell r="AC191">
            <v>123432.64351818182</v>
          </cell>
          <cell r="AD191">
            <v>153799.58748181819</v>
          </cell>
          <cell r="AE191">
            <v>130233.90233636365</v>
          </cell>
          <cell r="AF191">
            <v>166998.41279999999</v>
          </cell>
          <cell r="AG191">
            <v>74351.570927272725</v>
          </cell>
          <cell r="AH191">
            <v>39502.724163636369</v>
          </cell>
          <cell r="AI191">
            <v>25577.022127272725</v>
          </cell>
          <cell r="AJ191">
            <v>21534.330381818181</v>
          </cell>
          <cell r="AK191">
            <v>22692.712881818181</v>
          </cell>
        </row>
        <row r="192">
          <cell r="Z192">
            <v>6163.6477272727279</v>
          </cell>
          <cell r="AA192">
            <v>9209.7727272727279</v>
          </cell>
          <cell r="AB192">
            <v>12694.05681818182</v>
          </cell>
          <cell r="AC192">
            <v>30471.068181818184</v>
          </cell>
          <cell r="AD192">
            <v>55794.181818181823</v>
          </cell>
          <cell r="AE192">
            <v>46472.136363636368</v>
          </cell>
          <cell r="AF192">
            <v>59830.375000000015</v>
          </cell>
          <cell r="AG192">
            <v>13557.727272727274</v>
          </cell>
          <cell r="AH192">
            <v>10527.988636363636</v>
          </cell>
          <cell r="AI192">
            <v>5195.8522727272739</v>
          </cell>
          <cell r="AJ192">
            <v>4329.931818181818</v>
          </cell>
          <cell r="AK192">
            <v>6312.8068181818189</v>
          </cell>
        </row>
        <row r="197">
          <cell r="Z197">
            <v>29.400300000000001</v>
          </cell>
          <cell r="AA197">
            <v>69.720500000000001</v>
          </cell>
          <cell r="AB197">
            <v>230.327</v>
          </cell>
          <cell r="AC197">
            <v>2682.4531000000002</v>
          </cell>
          <cell r="AD197">
            <v>2690.6185999999998</v>
          </cell>
          <cell r="AE197">
            <v>2484.3530999999998</v>
          </cell>
          <cell r="AF197">
            <v>3118.0165999999999</v>
          </cell>
          <cell r="AG197">
            <v>1728.9152999999999</v>
          </cell>
          <cell r="AH197">
            <v>52.122199999999999</v>
          </cell>
          <cell r="AI197">
            <v>20.756</v>
          </cell>
          <cell r="AJ197">
            <v>8.1245999999999992</v>
          </cell>
          <cell r="AK197">
            <v>25.572399999999998</v>
          </cell>
        </row>
        <row r="198"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yr Lagged Norms"/>
      <sheetName val="Lagged.Calendar HDDs"/>
      <sheetName val="HDDs"/>
      <sheetName val="NOAA Original"/>
      <sheetName val="FY15"/>
    </sheetNames>
    <sheetDataSet>
      <sheetData sheetId="0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0.2</v>
          </cell>
          <cell r="H24">
            <v>0</v>
          </cell>
          <cell r="I24">
            <v>0</v>
          </cell>
        </row>
        <row r="25">
          <cell r="E25">
            <v>0</v>
          </cell>
          <cell r="F25">
            <v>0</v>
          </cell>
          <cell r="G25">
            <v>0.1</v>
          </cell>
          <cell r="H25">
            <v>0</v>
          </cell>
          <cell r="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E41">
            <v>0</v>
          </cell>
          <cell r="F41">
            <v>0</v>
          </cell>
          <cell r="G41">
            <v>0.3</v>
          </cell>
          <cell r="H41">
            <v>0</v>
          </cell>
          <cell r="I41">
            <v>0</v>
          </cell>
        </row>
        <row r="42">
          <cell r="E42">
            <v>0</v>
          </cell>
          <cell r="F42">
            <v>0</v>
          </cell>
          <cell r="G42">
            <v>0.2</v>
          </cell>
          <cell r="H42">
            <v>0</v>
          </cell>
          <cell r="I42">
            <v>0</v>
          </cell>
        </row>
        <row r="43">
          <cell r="E43">
            <v>0.1</v>
          </cell>
          <cell r="F43">
            <v>0</v>
          </cell>
          <cell r="G43">
            <v>0.3</v>
          </cell>
          <cell r="H43">
            <v>0.1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E45">
            <v>0</v>
          </cell>
          <cell r="F45">
            <v>0</v>
          </cell>
          <cell r="G45">
            <v>0.4</v>
          </cell>
          <cell r="H45">
            <v>0</v>
          </cell>
          <cell r="I45">
            <v>0</v>
          </cell>
        </row>
        <row r="46">
          <cell r="E46">
            <v>0.1</v>
          </cell>
          <cell r="F46">
            <v>0.2</v>
          </cell>
          <cell r="G46">
            <v>0.3</v>
          </cell>
          <cell r="H46">
            <v>0</v>
          </cell>
          <cell r="I46">
            <v>0</v>
          </cell>
        </row>
        <row r="47">
          <cell r="E47">
            <v>0.2</v>
          </cell>
          <cell r="F47">
            <v>0.7</v>
          </cell>
          <cell r="G47">
            <v>0.7</v>
          </cell>
          <cell r="H47">
            <v>0.4</v>
          </cell>
          <cell r="I47">
            <v>0.1</v>
          </cell>
        </row>
        <row r="48">
          <cell r="E48">
            <v>0</v>
          </cell>
          <cell r="F48">
            <v>0</v>
          </cell>
          <cell r="G48">
            <v>0.5</v>
          </cell>
          <cell r="H48">
            <v>0.3</v>
          </cell>
          <cell r="I48">
            <v>0</v>
          </cell>
        </row>
        <row r="49">
          <cell r="E49">
            <v>0.1</v>
          </cell>
          <cell r="F49">
            <v>0.3</v>
          </cell>
          <cell r="G49">
            <v>0.6</v>
          </cell>
          <cell r="H49">
            <v>0.5</v>
          </cell>
          <cell r="I49">
            <v>0</v>
          </cell>
        </row>
        <row r="50">
          <cell r="E50">
            <v>0.3</v>
          </cell>
          <cell r="F50">
            <v>0</v>
          </cell>
          <cell r="G50">
            <v>0.1</v>
          </cell>
          <cell r="H50">
            <v>0</v>
          </cell>
          <cell r="I50">
            <v>0.2</v>
          </cell>
        </row>
        <row r="51">
          <cell r="E51">
            <v>0</v>
          </cell>
          <cell r="F51">
            <v>0</v>
          </cell>
          <cell r="G51">
            <v>0.1</v>
          </cell>
          <cell r="H51">
            <v>0</v>
          </cell>
          <cell r="I51">
            <v>0</v>
          </cell>
        </row>
        <row r="52">
          <cell r="E52">
            <v>0</v>
          </cell>
          <cell r="F52">
            <v>0</v>
          </cell>
          <cell r="G52">
            <v>0.1</v>
          </cell>
          <cell r="H52">
            <v>0</v>
          </cell>
          <cell r="I52">
            <v>0</v>
          </cell>
        </row>
        <row r="53">
          <cell r="E53">
            <v>0.4</v>
          </cell>
          <cell r="F53">
            <v>0</v>
          </cell>
          <cell r="G53">
            <v>0.1</v>
          </cell>
          <cell r="H53">
            <v>0</v>
          </cell>
          <cell r="I53">
            <v>0.3</v>
          </cell>
        </row>
        <row r="54">
          <cell r="E54">
            <v>0.8</v>
          </cell>
          <cell r="F54">
            <v>0.2</v>
          </cell>
          <cell r="G54">
            <v>0.9</v>
          </cell>
          <cell r="H54">
            <v>0.3</v>
          </cell>
          <cell r="I54">
            <v>0.8</v>
          </cell>
        </row>
        <row r="55">
          <cell r="E55">
            <v>0.8</v>
          </cell>
          <cell r="F55">
            <v>0.1</v>
          </cell>
          <cell r="G55">
            <v>1</v>
          </cell>
          <cell r="H55">
            <v>0.4</v>
          </cell>
          <cell r="I55">
            <v>0.4</v>
          </cell>
        </row>
        <row r="56">
          <cell r="E56">
            <v>1.4</v>
          </cell>
          <cell r="F56">
            <v>0.4</v>
          </cell>
          <cell r="G56">
            <v>1.7</v>
          </cell>
          <cell r="H56">
            <v>0.8</v>
          </cell>
          <cell r="I56">
            <v>1.5</v>
          </cell>
        </row>
        <row r="57">
          <cell r="E57">
            <v>1.2</v>
          </cell>
          <cell r="F57">
            <v>0.3</v>
          </cell>
          <cell r="G57">
            <v>2</v>
          </cell>
          <cell r="H57">
            <v>0.5</v>
          </cell>
          <cell r="I57">
            <v>0.8</v>
          </cell>
        </row>
        <row r="58">
          <cell r="E58">
            <v>0.7</v>
          </cell>
          <cell r="F58">
            <v>0</v>
          </cell>
          <cell r="G58">
            <v>0.8</v>
          </cell>
          <cell r="H58">
            <v>0.2</v>
          </cell>
          <cell r="I58">
            <v>0.8</v>
          </cell>
        </row>
        <row r="59">
          <cell r="E59">
            <v>0.6</v>
          </cell>
          <cell r="F59">
            <v>0.3</v>
          </cell>
          <cell r="G59">
            <v>0.7</v>
          </cell>
          <cell r="H59">
            <v>0.2</v>
          </cell>
          <cell r="I59">
            <v>1</v>
          </cell>
        </row>
        <row r="60">
          <cell r="E60">
            <v>1.4</v>
          </cell>
          <cell r="F60">
            <v>0.5</v>
          </cell>
          <cell r="G60">
            <v>1.4</v>
          </cell>
          <cell r="H60">
            <v>1</v>
          </cell>
          <cell r="I60">
            <v>1.2</v>
          </cell>
        </row>
        <row r="61">
          <cell r="E61">
            <v>1</v>
          </cell>
          <cell r="F61">
            <v>0.4</v>
          </cell>
          <cell r="G61">
            <v>1.9</v>
          </cell>
          <cell r="H61">
            <v>1.2</v>
          </cell>
          <cell r="I61">
            <v>0.9</v>
          </cell>
        </row>
        <row r="62">
          <cell r="E62">
            <v>0.8</v>
          </cell>
          <cell r="F62">
            <v>0.1</v>
          </cell>
          <cell r="G62">
            <v>1.1000000000000001</v>
          </cell>
          <cell r="H62">
            <v>0.7</v>
          </cell>
          <cell r="I62">
            <v>0.5</v>
          </cell>
        </row>
        <row r="63">
          <cell r="E63">
            <v>1.1000000000000001</v>
          </cell>
          <cell r="F63">
            <v>0.1</v>
          </cell>
          <cell r="G63">
            <v>1.8</v>
          </cell>
          <cell r="H63">
            <v>0.7</v>
          </cell>
          <cell r="I63">
            <v>0.7</v>
          </cell>
        </row>
        <row r="64">
          <cell r="E64">
            <v>2.1</v>
          </cell>
          <cell r="F64">
            <v>1</v>
          </cell>
          <cell r="G64">
            <v>3.2</v>
          </cell>
          <cell r="H64">
            <v>1.5</v>
          </cell>
          <cell r="I64">
            <v>2</v>
          </cell>
        </row>
        <row r="65">
          <cell r="E65">
            <v>1.7</v>
          </cell>
          <cell r="F65">
            <v>0.9</v>
          </cell>
          <cell r="G65">
            <v>2.2000000000000002</v>
          </cell>
          <cell r="H65">
            <v>1.3</v>
          </cell>
          <cell r="I65">
            <v>1.2</v>
          </cell>
        </row>
        <row r="66">
          <cell r="E66">
            <v>1.1000000000000001</v>
          </cell>
          <cell r="F66">
            <v>0</v>
          </cell>
          <cell r="G66">
            <v>0.9</v>
          </cell>
          <cell r="H66">
            <v>0.1</v>
          </cell>
          <cell r="I66">
            <v>1.1000000000000001</v>
          </cell>
        </row>
        <row r="67">
          <cell r="E67">
            <v>0.8</v>
          </cell>
          <cell r="F67">
            <v>0.1</v>
          </cell>
          <cell r="G67">
            <v>1</v>
          </cell>
          <cell r="H67">
            <v>0.2</v>
          </cell>
          <cell r="I67">
            <v>0.8</v>
          </cell>
        </row>
        <row r="68">
          <cell r="E68">
            <v>0.3</v>
          </cell>
          <cell r="F68">
            <v>0.3</v>
          </cell>
          <cell r="G68">
            <v>1.4</v>
          </cell>
          <cell r="H68">
            <v>0.2</v>
          </cell>
          <cell r="I68">
            <v>0.6</v>
          </cell>
        </row>
        <row r="69">
          <cell r="E69">
            <v>1.7</v>
          </cell>
          <cell r="F69">
            <v>0.7</v>
          </cell>
          <cell r="G69">
            <v>2.6</v>
          </cell>
          <cell r="H69">
            <v>1.2</v>
          </cell>
          <cell r="I69">
            <v>1.5</v>
          </cell>
        </row>
        <row r="70">
          <cell r="E70">
            <v>3.3</v>
          </cell>
          <cell r="F70">
            <v>1.4</v>
          </cell>
          <cell r="G70">
            <v>4.3</v>
          </cell>
          <cell r="H70">
            <v>2.5</v>
          </cell>
          <cell r="I70">
            <v>3</v>
          </cell>
        </row>
        <row r="71">
          <cell r="E71">
            <v>3.1</v>
          </cell>
          <cell r="F71">
            <v>1.4</v>
          </cell>
          <cell r="G71">
            <v>3.6</v>
          </cell>
          <cell r="H71">
            <v>2.2999999999999998</v>
          </cell>
          <cell r="I71">
            <v>2.2000000000000002</v>
          </cell>
        </row>
        <row r="72">
          <cell r="E72">
            <v>3.5</v>
          </cell>
          <cell r="F72">
            <v>1.8</v>
          </cell>
          <cell r="G72">
            <v>5.0999999999999996</v>
          </cell>
          <cell r="H72">
            <v>3</v>
          </cell>
          <cell r="I72">
            <v>2.6</v>
          </cell>
        </row>
        <row r="73">
          <cell r="E73">
            <v>4</v>
          </cell>
          <cell r="F73">
            <v>2.6</v>
          </cell>
          <cell r="G73">
            <v>4</v>
          </cell>
          <cell r="H73">
            <v>2.2999999999999998</v>
          </cell>
          <cell r="I73">
            <v>3.6</v>
          </cell>
        </row>
        <row r="74">
          <cell r="E74">
            <v>4.5</v>
          </cell>
          <cell r="F74">
            <v>3.2</v>
          </cell>
          <cell r="G74">
            <v>4.7</v>
          </cell>
          <cell r="H74">
            <v>2.5</v>
          </cell>
          <cell r="I74">
            <v>4.3</v>
          </cell>
        </row>
        <row r="75">
          <cell r="E75">
            <v>4.8</v>
          </cell>
          <cell r="F75">
            <v>4.4000000000000004</v>
          </cell>
          <cell r="G75">
            <v>5.0999999999999996</v>
          </cell>
          <cell r="H75">
            <v>3.3</v>
          </cell>
          <cell r="I75">
            <v>5.5</v>
          </cell>
        </row>
        <row r="76">
          <cell r="E76">
            <v>4.7</v>
          </cell>
          <cell r="F76">
            <v>2.5</v>
          </cell>
          <cell r="G76">
            <v>3.9</v>
          </cell>
          <cell r="H76">
            <v>3</v>
          </cell>
          <cell r="I76">
            <v>4.0999999999999996</v>
          </cell>
        </row>
        <row r="77">
          <cell r="E77">
            <v>5.2</v>
          </cell>
          <cell r="F77">
            <v>2.2999999999999998</v>
          </cell>
          <cell r="G77">
            <v>5.2</v>
          </cell>
          <cell r="H77">
            <v>3.7</v>
          </cell>
          <cell r="I77">
            <v>4.5999999999999996</v>
          </cell>
        </row>
        <row r="78">
          <cell r="E78">
            <v>5.4</v>
          </cell>
          <cell r="F78">
            <v>3.6</v>
          </cell>
          <cell r="G78">
            <v>5.8</v>
          </cell>
          <cell r="H78">
            <v>4.7</v>
          </cell>
          <cell r="I78">
            <v>4.8</v>
          </cell>
        </row>
        <row r="79">
          <cell r="E79">
            <v>5.4</v>
          </cell>
          <cell r="F79">
            <v>2.5</v>
          </cell>
          <cell r="G79">
            <v>5.7</v>
          </cell>
          <cell r="H79">
            <v>4.0999999999999996</v>
          </cell>
          <cell r="I79">
            <v>4.5999999999999996</v>
          </cell>
        </row>
        <row r="80">
          <cell r="E80">
            <v>3.8</v>
          </cell>
          <cell r="F80">
            <v>2.2999999999999998</v>
          </cell>
          <cell r="G80">
            <v>4.5999999999999996</v>
          </cell>
          <cell r="H80">
            <v>3.3</v>
          </cell>
          <cell r="I80">
            <v>3.8</v>
          </cell>
        </row>
        <row r="81">
          <cell r="E81">
            <v>5.8</v>
          </cell>
          <cell r="F81">
            <v>2.6</v>
          </cell>
          <cell r="G81">
            <v>5.6</v>
          </cell>
          <cell r="H81">
            <v>4.7</v>
          </cell>
          <cell r="I81">
            <v>5.3</v>
          </cell>
        </row>
        <row r="82">
          <cell r="E82">
            <v>6.2</v>
          </cell>
          <cell r="F82">
            <v>3.6</v>
          </cell>
          <cell r="G82">
            <v>6.6</v>
          </cell>
          <cell r="H82">
            <v>5</v>
          </cell>
          <cell r="I82">
            <v>6.6</v>
          </cell>
        </row>
        <row r="83">
          <cell r="E83">
            <v>4.5999999999999996</v>
          </cell>
          <cell r="F83">
            <v>3.6</v>
          </cell>
          <cell r="G83">
            <v>5.8</v>
          </cell>
          <cell r="H83">
            <v>4.5</v>
          </cell>
          <cell r="I83">
            <v>4.9000000000000004</v>
          </cell>
        </row>
        <row r="84">
          <cell r="E84">
            <v>4.8</v>
          </cell>
          <cell r="F84">
            <v>2.1</v>
          </cell>
          <cell r="G84">
            <v>5.4</v>
          </cell>
          <cell r="H84">
            <v>3.7</v>
          </cell>
          <cell r="I84">
            <v>3.8</v>
          </cell>
        </row>
        <row r="85">
          <cell r="E85">
            <v>5.5</v>
          </cell>
          <cell r="F85">
            <v>2.7</v>
          </cell>
          <cell r="G85">
            <v>5.9</v>
          </cell>
          <cell r="H85">
            <v>4.3</v>
          </cell>
          <cell r="I85">
            <v>5.4</v>
          </cell>
        </row>
        <row r="86">
          <cell r="E86">
            <v>7.4</v>
          </cell>
          <cell r="F86">
            <v>4.5999999999999996</v>
          </cell>
          <cell r="G86">
            <v>8</v>
          </cell>
          <cell r="H86">
            <v>5.9</v>
          </cell>
          <cell r="I86">
            <v>6.6</v>
          </cell>
        </row>
        <row r="87">
          <cell r="E87">
            <v>7.9</v>
          </cell>
          <cell r="F87">
            <v>6</v>
          </cell>
          <cell r="G87">
            <v>9</v>
          </cell>
          <cell r="H87">
            <v>6.8</v>
          </cell>
          <cell r="I87">
            <v>7.2</v>
          </cell>
        </row>
        <row r="88">
          <cell r="E88">
            <v>6.2</v>
          </cell>
          <cell r="F88">
            <v>4.5</v>
          </cell>
          <cell r="G88">
            <v>7.2</v>
          </cell>
          <cell r="H88">
            <v>5.2</v>
          </cell>
          <cell r="I88">
            <v>5.0999999999999996</v>
          </cell>
        </row>
        <row r="89">
          <cell r="E89">
            <v>7.3</v>
          </cell>
          <cell r="F89">
            <v>5.6</v>
          </cell>
          <cell r="G89">
            <v>7.3</v>
          </cell>
          <cell r="H89">
            <v>6.1</v>
          </cell>
          <cell r="I89">
            <v>7.2</v>
          </cell>
        </row>
        <row r="90">
          <cell r="E90">
            <v>11.4</v>
          </cell>
          <cell r="F90">
            <v>9.1</v>
          </cell>
          <cell r="G90">
            <v>11.4</v>
          </cell>
          <cell r="H90">
            <v>10.1</v>
          </cell>
          <cell r="I90">
            <v>10.9</v>
          </cell>
        </row>
        <row r="91">
          <cell r="E91">
            <v>9.9</v>
          </cell>
          <cell r="F91">
            <v>9.3000000000000007</v>
          </cell>
          <cell r="G91">
            <v>12.6</v>
          </cell>
          <cell r="H91">
            <v>9.6999999999999993</v>
          </cell>
          <cell r="I91">
            <v>9.3000000000000007</v>
          </cell>
        </row>
        <row r="92">
          <cell r="E92">
            <v>9.6999999999999993</v>
          </cell>
          <cell r="F92">
            <v>6.9</v>
          </cell>
          <cell r="G92">
            <v>11</v>
          </cell>
          <cell r="H92">
            <v>8.1999999999999993</v>
          </cell>
          <cell r="I92">
            <v>7.3</v>
          </cell>
        </row>
        <row r="93">
          <cell r="E93">
            <v>11</v>
          </cell>
          <cell r="F93">
            <v>7.3</v>
          </cell>
          <cell r="G93">
            <v>12.3</v>
          </cell>
          <cell r="H93">
            <v>9.6999999999999993</v>
          </cell>
          <cell r="I93">
            <v>9.4</v>
          </cell>
        </row>
        <row r="94">
          <cell r="E94">
            <v>11.4</v>
          </cell>
          <cell r="F94">
            <v>8.3000000000000007</v>
          </cell>
          <cell r="G94">
            <v>11.4</v>
          </cell>
          <cell r="H94">
            <v>9.6</v>
          </cell>
          <cell r="I94">
            <v>11.3</v>
          </cell>
        </row>
        <row r="95">
          <cell r="E95">
            <v>12.1</v>
          </cell>
          <cell r="F95">
            <v>11</v>
          </cell>
          <cell r="G95">
            <v>13.6</v>
          </cell>
          <cell r="H95">
            <v>11.8</v>
          </cell>
          <cell r="I95">
            <v>11.5</v>
          </cell>
        </row>
        <row r="96">
          <cell r="E96">
            <v>11.3</v>
          </cell>
          <cell r="F96">
            <v>10.1</v>
          </cell>
          <cell r="G96">
            <v>13</v>
          </cell>
          <cell r="H96">
            <v>10.6</v>
          </cell>
          <cell r="I96">
            <v>10.9</v>
          </cell>
        </row>
        <row r="97">
          <cell r="E97">
            <v>11.1</v>
          </cell>
          <cell r="F97">
            <v>9.1999999999999993</v>
          </cell>
          <cell r="G97">
            <v>11</v>
          </cell>
          <cell r="H97">
            <v>9.1</v>
          </cell>
          <cell r="I97">
            <v>9.6999999999999993</v>
          </cell>
        </row>
        <row r="98">
          <cell r="E98">
            <v>12.6</v>
          </cell>
          <cell r="F98">
            <v>9.4</v>
          </cell>
          <cell r="G98">
            <v>14.2</v>
          </cell>
          <cell r="H98">
            <v>11.7</v>
          </cell>
          <cell r="I98">
            <v>11.9</v>
          </cell>
        </row>
        <row r="99">
          <cell r="E99">
            <v>14.9</v>
          </cell>
          <cell r="F99">
            <v>12.4</v>
          </cell>
          <cell r="G99">
            <v>16.399999999999999</v>
          </cell>
          <cell r="H99">
            <v>13.3</v>
          </cell>
          <cell r="I99">
            <v>15.1</v>
          </cell>
        </row>
        <row r="100">
          <cell r="E100">
            <v>16.2</v>
          </cell>
          <cell r="F100">
            <v>12.9</v>
          </cell>
          <cell r="G100">
            <v>17.399999999999999</v>
          </cell>
          <cell r="H100">
            <v>14.7</v>
          </cell>
          <cell r="I100">
            <v>14.8</v>
          </cell>
        </row>
        <row r="101">
          <cell r="E101">
            <v>12.1</v>
          </cell>
          <cell r="F101">
            <v>10.5</v>
          </cell>
          <cell r="G101">
            <v>14.1</v>
          </cell>
          <cell r="H101">
            <v>11.4</v>
          </cell>
          <cell r="I101">
            <v>11.3</v>
          </cell>
        </row>
        <row r="102">
          <cell r="E102">
            <v>12.3</v>
          </cell>
          <cell r="F102">
            <v>9.9</v>
          </cell>
          <cell r="G102">
            <v>12.6</v>
          </cell>
          <cell r="H102">
            <v>10.7</v>
          </cell>
          <cell r="I102">
            <v>10.199999999999999</v>
          </cell>
        </row>
        <row r="103">
          <cell r="E103">
            <v>16.600000000000001</v>
          </cell>
          <cell r="F103">
            <v>13</v>
          </cell>
          <cell r="G103">
            <v>17.600000000000001</v>
          </cell>
          <cell r="H103">
            <v>14.1</v>
          </cell>
          <cell r="I103">
            <v>15.2</v>
          </cell>
        </row>
        <row r="104">
          <cell r="E104">
            <v>15.9</v>
          </cell>
          <cell r="F104">
            <v>13</v>
          </cell>
          <cell r="G104">
            <v>17.5</v>
          </cell>
          <cell r="H104">
            <v>14.2</v>
          </cell>
          <cell r="I104">
            <v>14.3</v>
          </cell>
        </row>
        <row r="105">
          <cell r="E105">
            <v>15</v>
          </cell>
          <cell r="F105">
            <v>12.7</v>
          </cell>
          <cell r="G105">
            <v>17.7</v>
          </cell>
          <cell r="H105">
            <v>14.2</v>
          </cell>
          <cell r="I105">
            <v>13.6</v>
          </cell>
        </row>
        <row r="106">
          <cell r="E106">
            <v>13.5</v>
          </cell>
          <cell r="F106">
            <v>11.6</v>
          </cell>
          <cell r="G106">
            <v>15.1</v>
          </cell>
          <cell r="H106">
            <v>11.9</v>
          </cell>
          <cell r="I106">
            <v>12.6</v>
          </cell>
        </row>
        <row r="107">
          <cell r="E107">
            <v>14.1</v>
          </cell>
          <cell r="F107">
            <v>11.1</v>
          </cell>
          <cell r="G107">
            <v>14.5</v>
          </cell>
          <cell r="H107">
            <v>12.5</v>
          </cell>
          <cell r="I107">
            <v>12.3</v>
          </cell>
        </row>
        <row r="108">
          <cell r="E108">
            <v>15.7</v>
          </cell>
          <cell r="F108">
            <v>12.2</v>
          </cell>
          <cell r="G108">
            <v>15.6</v>
          </cell>
          <cell r="H108">
            <v>13.7</v>
          </cell>
          <cell r="I108">
            <v>15</v>
          </cell>
        </row>
        <row r="109">
          <cell r="E109">
            <v>15.3</v>
          </cell>
          <cell r="F109">
            <v>13.7</v>
          </cell>
          <cell r="G109">
            <v>16.8</v>
          </cell>
          <cell r="H109">
            <v>14.1</v>
          </cell>
          <cell r="I109">
            <v>14.6</v>
          </cell>
        </row>
        <row r="110">
          <cell r="E110">
            <v>12.8</v>
          </cell>
          <cell r="F110">
            <v>12.9</v>
          </cell>
          <cell r="G110">
            <v>14.8</v>
          </cell>
          <cell r="H110">
            <v>11.9</v>
          </cell>
          <cell r="I110">
            <v>12.2</v>
          </cell>
        </row>
        <row r="111">
          <cell r="E111">
            <v>12.5</v>
          </cell>
          <cell r="F111">
            <v>11.2</v>
          </cell>
          <cell r="G111">
            <v>14</v>
          </cell>
          <cell r="H111">
            <v>10.8</v>
          </cell>
          <cell r="I111">
            <v>11.9</v>
          </cell>
        </row>
        <row r="112">
          <cell r="E112">
            <v>15.3</v>
          </cell>
          <cell r="F112">
            <v>13</v>
          </cell>
          <cell r="G112">
            <v>15.5</v>
          </cell>
          <cell r="H112">
            <v>12.8</v>
          </cell>
          <cell r="I112">
            <v>13.5</v>
          </cell>
        </row>
        <row r="113">
          <cell r="E113">
            <v>15.3</v>
          </cell>
          <cell r="F113">
            <v>12.3</v>
          </cell>
          <cell r="G113">
            <v>16.899999999999999</v>
          </cell>
          <cell r="H113">
            <v>13.7</v>
          </cell>
          <cell r="I113">
            <v>14.1</v>
          </cell>
        </row>
        <row r="114">
          <cell r="E114">
            <v>17.3</v>
          </cell>
          <cell r="F114">
            <v>15.3</v>
          </cell>
          <cell r="G114">
            <v>17.600000000000001</v>
          </cell>
          <cell r="H114">
            <v>15</v>
          </cell>
          <cell r="I114">
            <v>16.2</v>
          </cell>
        </row>
        <row r="115">
          <cell r="E115">
            <v>17.8</v>
          </cell>
          <cell r="F115">
            <v>14</v>
          </cell>
          <cell r="G115">
            <v>17.899999999999999</v>
          </cell>
          <cell r="H115">
            <v>15.1</v>
          </cell>
          <cell r="I115">
            <v>16.899999999999999</v>
          </cell>
        </row>
        <row r="116">
          <cell r="E116">
            <v>17.7</v>
          </cell>
          <cell r="F116">
            <v>14.5</v>
          </cell>
          <cell r="G116">
            <v>18.100000000000001</v>
          </cell>
          <cell r="H116">
            <v>15.8</v>
          </cell>
          <cell r="I116">
            <v>16.899999999999999</v>
          </cell>
        </row>
        <row r="117">
          <cell r="E117">
            <v>19.3</v>
          </cell>
          <cell r="F117">
            <v>15.4</v>
          </cell>
          <cell r="G117">
            <v>19.100000000000001</v>
          </cell>
          <cell r="H117">
            <v>17.600000000000001</v>
          </cell>
          <cell r="I117">
            <v>17.7</v>
          </cell>
        </row>
        <row r="118">
          <cell r="E118">
            <v>21.6</v>
          </cell>
          <cell r="F118">
            <v>17.600000000000001</v>
          </cell>
          <cell r="G118">
            <v>21</v>
          </cell>
          <cell r="H118">
            <v>19</v>
          </cell>
          <cell r="I118">
            <v>20.7</v>
          </cell>
        </row>
        <row r="119">
          <cell r="E119">
            <v>23.3</v>
          </cell>
          <cell r="F119">
            <v>20.100000000000001</v>
          </cell>
          <cell r="G119">
            <v>23.6</v>
          </cell>
          <cell r="H119">
            <v>21.9</v>
          </cell>
          <cell r="I119">
            <v>22.3</v>
          </cell>
        </row>
        <row r="120">
          <cell r="E120">
            <v>25.5</v>
          </cell>
          <cell r="F120">
            <v>20.9</v>
          </cell>
          <cell r="G120">
            <v>26.5</v>
          </cell>
          <cell r="H120">
            <v>23.4</v>
          </cell>
          <cell r="I120">
            <v>24.1</v>
          </cell>
        </row>
        <row r="121">
          <cell r="E121">
            <v>20.7</v>
          </cell>
          <cell r="F121">
            <v>17.899999999999999</v>
          </cell>
          <cell r="G121">
            <v>22.7</v>
          </cell>
          <cell r="H121">
            <v>19.399999999999999</v>
          </cell>
          <cell r="I121">
            <v>18.399999999999999</v>
          </cell>
        </row>
        <row r="122">
          <cell r="E122">
            <v>20.100000000000001</v>
          </cell>
          <cell r="F122">
            <v>15.1</v>
          </cell>
          <cell r="G122">
            <v>19.8</v>
          </cell>
          <cell r="H122">
            <v>17.5</v>
          </cell>
          <cell r="I122">
            <v>18.2</v>
          </cell>
        </row>
        <row r="123">
          <cell r="E123">
            <v>19.8</v>
          </cell>
          <cell r="F123">
            <v>14.6</v>
          </cell>
          <cell r="G123">
            <v>18.600000000000001</v>
          </cell>
          <cell r="H123">
            <v>16.7</v>
          </cell>
          <cell r="I123">
            <v>18.7</v>
          </cell>
        </row>
        <row r="124">
          <cell r="E124">
            <v>18.7</v>
          </cell>
          <cell r="F124">
            <v>15</v>
          </cell>
          <cell r="G124">
            <v>18.5</v>
          </cell>
          <cell r="H124">
            <v>16.2</v>
          </cell>
          <cell r="I124">
            <v>17.600000000000001</v>
          </cell>
        </row>
        <row r="125">
          <cell r="E125">
            <v>22.2</v>
          </cell>
          <cell r="F125">
            <v>18.399999999999999</v>
          </cell>
          <cell r="G125">
            <v>22.6</v>
          </cell>
          <cell r="H125">
            <v>19.8</v>
          </cell>
          <cell r="I125">
            <v>20.5</v>
          </cell>
        </row>
        <row r="126">
          <cell r="E126">
            <v>24.4</v>
          </cell>
          <cell r="F126">
            <v>20.5</v>
          </cell>
          <cell r="G126">
            <v>25.3</v>
          </cell>
          <cell r="H126">
            <v>23.7</v>
          </cell>
          <cell r="I126">
            <v>22.5</v>
          </cell>
        </row>
        <row r="127">
          <cell r="E127">
            <v>25</v>
          </cell>
          <cell r="F127">
            <v>20.100000000000001</v>
          </cell>
          <cell r="G127">
            <v>23.4</v>
          </cell>
          <cell r="H127">
            <v>22.3</v>
          </cell>
          <cell r="I127">
            <v>23.1</v>
          </cell>
        </row>
        <row r="128">
          <cell r="E128">
            <v>23.8</v>
          </cell>
          <cell r="F128">
            <v>18.3</v>
          </cell>
          <cell r="G128">
            <v>22.5</v>
          </cell>
          <cell r="H128">
            <v>21.4</v>
          </cell>
          <cell r="I128">
            <v>21.7</v>
          </cell>
        </row>
        <row r="129">
          <cell r="E129">
            <v>25.1</v>
          </cell>
          <cell r="F129">
            <v>21</v>
          </cell>
          <cell r="G129">
            <v>24.4</v>
          </cell>
          <cell r="H129">
            <v>22</v>
          </cell>
          <cell r="I129">
            <v>22.8</v>
          </cell>
        </row>
        <row r="130">
          <cell r="E130">
            <v>23.1</v>
          </cell>
          <cell r="F130">
            <v>20.7</v>
          </cell>
          <cell r="G130">
            <v>23.6</v>
          </cell>
          <cell r="H130">
            <v>21.3</v>
          </cell>
          <cell r="I130">
            <v>21.9</v>
          </cell>
        </row>
        <row r="131">
          <cell r="E131">
            <v>20.5</v>
          </cell>
          <cell r="F131">
            <v>18.3</v>
          </cell>
          <cell r="G131">
            <v>21.6</v>
          </cell>
          <cell r="H131">
            <v>18.899999999999999</v>
          </cell>
          <cell r="I131">
            <v>20</v>
          </cell>
        </row>
        <row r="132">
          <cell r="E132">
            <v>22.3</v>
          </cell>
          <cell r="F132">
            <v>18.399999999999999</v>
          </cell>
          <cell r="G132">
            <v>20.100000000000001</v>
          </cell>
          <cell r="H132">
            <v>17.899999999999999</v>
          </cell>
          <cell r="I132">
            <v>21.9</v>
          </cell>
        </row>
        <row r="133">
          <cell r="E133">
            <v>25.5</v>
          </cell>
          <cell r="F133">
            <v>20.6</v>
          </cell>
          <cell r="G133">
            <v>24.8</v>
          </cell>
          <cell r="H133">
            <v>22.4</v>
          </cell>
          <cell r="I133">
            <v>25</v>
          </cell>
        </row>
        <row r="134">
          <cell r="E134">
            <v>25.5</v>
          </cell>
          <cell r="F134">
            <v>20.3</v>
          </cell>
          <cell r="G134">
            <v>25.5</v>
          </cell>
          <cell r="H134">
            <v>23.5</v>
          </cell>
          <cell r="I134">
            <v>24.1</v>
          </cell>
        </row>
        <row r="135">
          <cell r="E135">
            <v>23.8</v>
          </cell>
          <cell r="F135">
            <v>19.3</v>
          </cell>
          <cell r="G135">
            <v>23.7</v>
          </cell>
          <cell r="H135">
            <v>23</v>
          </cell>
          <cell r="I135">
            <v>22.3</v>
          </cell>
        </row>
        <row r="136">
          <cell r="E136">
            <v>26.3</v>
          </cell>
          <cell r="F136">
            <v>18</v>
          </cell>
          <cell r="G136">
            <v>25.7</v>
          </cell>
          <cell r="H136">
            <v>24.3</v>
          </cell>
          <cell r="I136">
            <v>23.8</v>
          </cell>
        </row>
        <row r="137">
          <cell r="E137">
            <v>29.8</v>
          </cell>
          <cell r="F137">
            <v>23.4</v>
          </cell>
          <cell r="G137">
            <v>29.1</v>
          </cell>
          <cell r="H137">
            <v>26.8</v>
          </cell>
          <cell r="I137">
            <v>28.1</v>
          </cell>
        </row>
        <row r="138">
          <cell r="E138">
            <v>32.5</v>
          </cell>
          <cell r="F138">
            <v>27.2</v>
          </cell>
          <cell r="G138">
            <v>32.799999999999997</v>
          </cell>
          <cell r="H138">
            <v>30.9</v>
          </cell>
          <cell r="I138">
            <v>30</v>
          </cell>
        </row>
        <row r="139">
          <cell r="E139">
            <v>33.6</v>
          </cell>
          <cell r="F139">
            <v>27.2</v>
          </cell>
          <cell r="G139">
            <v>33.4</v>
          </cell>
          <cell r="H139">
            <v>31.9</v>
          </cell>
          <cell r="I139">
            <v>31.4</v>
          </cell>
        </row>
        <row r="140">
          <cell r="E140">
            <v>29.7</v>
          </cell>
          <cell r="F140">
            <v>23.3</v>
          </cell>
          <cell r="G140">
            <v>30.9</v>
          </cell>
          <cell r="H140">
            <v>28.9</v>
          </cell>
          <cell r="I140">
            <v>28.9</v>
          </cell>
        </row>
        <row r="141">
          <cell r="E141">
            <v>29.1</v>
          </cell>
          <cell r="F141">
            <v>21.9</v>
          </cell>
          <cell r="G141">
            <v>26.6</v>
          </cell>
          <cell r="H141">
            <v>25.9</v>
          </cell>
          <cell r="I141">
            <v>29.2</v>
          </cell>
        </row>
        <row r="142">
          <cell r="E142">
            <v>31.9</v>
          </cell>
          <cell r="F142">
            <v>24.8</v>
          </cell>
          <cell r="G142">
            <v>29</v>
          </cell>
          <cell r="H142">
            <v>27.8</v>
          </cell>
          <cell r="I142">
            <v>31.5</v>
          </cell>
        </row>
        <row r="143">
          <cell r="E143">
            <v>28.6</v>
          </cell>
          <cell r="F143">
            <v>24.7</v>
          </cell>
          <cell r="G143">
            <v>28.9</v>
          </cell>
          <cell r="H143">
            <v>26.6</v>
          </cell>
          <cell r="I143">
            <v>27.3</v>
          </cell>
        </row>
        <row r="144">
          <cell r="E144">
            <v>31.6</v>
          </cell>
          <cell r="F144">
            <v>25.7</v>
          </cell>
          <cell r="G144">
            <v>30.4</v>
          </cell>
          <cell r="H144">
            <v>28.2</v>
          </cell>
          <cell r="I144">
            <v>28.7</v>
          </cell>
        </row>
        <row r="145">
          <cell r="E145">
            <v>29.1</v>
          </cell>
          <cell r="F145">
            <v>25.4</v>
          </cell>
          <cell r="G145">
            <v>28.8</v>
          </cell>
          <cell r="H145">
            <v>26.6</v>
          </cell>
          <cell r="I145">
            <v>26.9</v>
          </cell>
        </row>
        <row r="146">
          <cell r="E146">
            <v>23.2</v>
          </cell>
          <cell r="F146">
            <v>20.9</v>
          </cell>
          <cell r="G146">
            <v>24.3</v>
          </cell>
          <cell r="H146">
            <v>21.6</v>
          </cell>
          <cell r="I146">
            <v>21.6</v>
          </cell>
        </row>
        <row r="147">
          <cell r="E147">
            <v>24.8</v>
          </cell>
          <cell r="F147">
            <v>21.2</v>
          </cell>
          <cell r="G147">
            <v>25.6</v>
          </cell>
          <cell r="H147">
            <v>23.7</v>
          </cell>
          <cell r="I147">
            <v>23.1</v>
          </cell>
        </row>
        <row r="148">
          <cell r="E148">
            <v>28.8</v>
          </cell>
          <cell r="F148">
            <v>21.8</v>
          </cell>
          <cell r="G148">
            <v>27.4</v>
          </cell>
          <cell r="H148">
            <v>26</v>
          </cell>
          <cell r="I148">
            <v>27.1</v>
          </cell>
        </row>
        <row r="149">
          <cell r="E149">
            <v>28.8</v>
          </cell>
          <cell r="F149">
            <v>22.8</v>
          </cell>
          <cell r="G149">
            <v>28.7</v>
          </cell>
          <cell r="H149">
            <v>26.3</v>
          </cell>
          <cell r="I149">
            <v>27.1</v>
          </cell>
        </row>
        <row r="150">
          <cell r="E150">
            <v>28.3</v>
          </cell>
          <cell r="F150">
            <v>22.9</v>
          </cell>
          <cell r="G150">
            <v>28.8</v>
          </cell>
          <cell r="H150">
            <v>27</v>
          </cell>
          <cell r="I150">
            <v>25.6</v>
          </cell>
        </row>
        <row r="151">
          <cell r="E151">
            <v>26.4</v>
          </cell>
          <cell r="F151">
            <v>20.9</v>
          </cell>
          <cell r="G151">
            <v>26.8</v>
          </cell>
          <cell r="H151">
            <v>24.3</v>
          </cell>
          <cell r="I151">
            <v>23.6</v>
          </cell>
        </row>
        <row r="152">
          <cell r="E152">
            <v>25.7</v>
          </cell>
          <cell r="F152">
            <v>21.5</v>
          </cell>
          <cell r="G152">
            <v>27.4</v>
          </cell>
          <cell r="H152">
            <v>24.7</v>
          </cell>
          <cell r="I152">
            <v>23.9</v>
          </cell>
        </row>
        <row r="153">
          <cell r="E153">
            <v>25.2</v>
          </cell>
          <cell r="F153">
            <v>20.2</v>
          </cell>
          <cell r="G153">
            <v>26</v>
          </cell>
          <cell r="H153">
            <v>23.5</v>
          </cell>
          <cell r="I153">
            <v>23.7</v>
          </cell>
        </row>
        <row r="154">
          <cell r="E154">
            <v>27</v>
          </cell>
          <cell r="F154">
            <v>22.8</v>
          </cell>
          <cell r="G154">
            <v>27.1</v>
          </cell>
          <cell r="H154">
            <v>25.1</v>
          </cell>
          <cell r="I154">
            <v>25</v>
          </cell>
        </row>
        <row r="155">
          <cell r="E155">
            <v>25</v>
          </cell>
          <cell r="F155">
            <v>22.2</v>
          </cell>
          <cell r="G155">
            <v>25.6</v>
          </cell>
          <cell r="H155">
            <v>23.4</v>
          </cell>
          <cell r="I155">
            <v>23.4</v>
          </cell>
        </row>
        <row r="156">
          <cell r="E156">
            <v>26.8</v>
          </cell>
          <cell r="F156">
            <v>21.5</v>
          </cell>
          <cell r="G156">
            <v>26.7</v>
          </cell>
          <cell r="H156">
            <v>25.2</v>
          </cell>
          <cell r="I156">
            <v>25.2</v>
          </cell>
        </row>
        <row r="157">
          <cell r="E157">
            <v>28</v>
          </cell>
          <cell r="F157">
            <v>25</v>
          </cell>
          <cell r="G157">
            <v>29</v>
          </cell>
          <cell r="H157">
            <v>27.5</v>
          </cell>
          <cell r="I157">
            <v>27.8</v>
          </cell>
        </row>
        <row r="158">
          <cell r="E158">
            <v>28.3</v>
          </cell>
          <cell r="F158">
            <v>25.8</v>
          </cell>
          <cell r="G158">
            <v>27.9</v>
          </cell>
          <cell r="H158">
            <v>27.1</v>
          </cell>
          <cell r="I158">
            <v>27.5</v>
          </cell>
        </row>
        <row r="159">
          <cell r="E159">
            <v>26</v>
          </cell>
          <cell r="F159">
            <v>22.3</v>
          </cell>
          <cell r="G159">
            <v>25.7</v>
          </cell>
          <cell r="H159">
            <v>24.3</v>
          </cell>
          <cell r="I159">
            <v>26.1</v>
          </cell>
        </row>
        <row r="160">
          <cell r="E160">
            <v>27.1</v>
          </cell>
          <cell r="F160">
            <v>24.3</v>
          </cell>
          <cell r="G160">
            <v>26.7</v>
          </cell>
          <cell r="H160">
            <v>25</v>
          </cell>
          <cell r="I160">
            <v>27.6</v>
          </cell>
        </row>
        <row r="161">
          <cell r="E161">
            <v>28.6</v>
          </cell>
          <cell r="F161">
            <v>24.4</v>
          </cell>
          <cell r="G161">
            <v>28.9</v>
          </cell>
          <cell r="H161">
            <v>26.8</v>
          </cell>
          <cell r="I161">
            <v>26.9</v>
          </cell>
        </row>
        <row r="162">
          <cell r="E162">
            <v>26.6</v>
          </cell>
          <cell r="F162">
            <v>22.3</v>
          </cell>
          <cell r="G162">
            <v>27.3</v>
          </cell>
          <cell r="H162">
            <v>25.1</v>
          </cell>
          <cell r="I162">
            <v>24.7</v>
          </cell>
        </row>
        <row r="163">
          <cell r="E163">
            <v>26.3</v>
          </cell>
          <cell r="F163">
            <v>21.7</v>
          </cell>
          <cell r="G163">
            <v>26.2</v>
          </cell>
          <cell r="H163">
            <v>23.8</v>
          </cell>
          <cell r="I163">
            <v>24</v>
          </cell>
        </row>
        <row r="164">
          <cell r="E164">
            <v>30.5</v>
          </cell>
          <cell r="F164">
            <v>25.5</v>
          </cell>
          <cell r="G164">
            <v>29.2</v>
          </cell>
          <cell r="H164">
            <v>28.2</v>
          </cell>
          <cell r="I164">
            <v>29.6</v>
          </cell>
        </row>
        <row r="165">
          <cell r="E165">
            <v>34.299999999999997</v>
          </cell>
          <cell r="F165">
            <v>28.9</v>
          </cell>
          <cell r="G165">
            <v>33.9</v>
          </cell>
          <cell r="H165">
            <v>32.200000000000003</v>
          </cell>
          <cell r="I165">
            <v>32.700000000000003</v>
          </cell>
        </row>
        <row r="166">
          <cell r="E166">
            <v>33.1</v>
          </cell>
          <cell r="F166">
            <v>29.7</v>
          </cell>
          <cell r="G166">
            <v>34.5</v>
          </cell>
          <cell r="H166">
            <v>32.1</v>
          </cell>
          <cell r="I166">
            <v>31.4</v>
          </cell>
        </row>
        <row r="167">
          <cell r="E167">
            <v>28.9</v>
          </cell>
          <cell r="F167">
            <v>24.7</v>
          </cell>
          <cell r="G167">
            <v>27.7</v>
          </cell>
          <cell r="H167">
            <v>26.1</v>
          </cell>
          <cell r="I167">
            <v>28.1</v>
          </cell>
        </row>
        <row r="168">
          <cell r="E168">
            <v>31.8</v>
          </cell>
          <cell r="F168">
            <v>26.7</v>
          </cell>
          <cell r="G168">
            <v>29.8</v>
          </cell>
          <cell r="H168">
            <v>28.5</v>
          </cell>
          <cell r="I168">
            <v>30.9</v>
          </cell>
        </row>
        <row r="169">
          <cell r="E169">
            <v>31.8</v>
          </cell>
          <cell r="F169">
            <v>26.5</v>
          </cell>
          <cell r="G169">
            <v>30.5</v>
          </cell>
          <cell r="H169">
            <v>29.2</v>
          </cell>
          <cell r="I169">
            <v>30.4</v>
          </cell>
        </row>
        <row r="170">
          <cell r="E170">
            <v>32.799999999999997</v>
          </cell>
          <cell r="F170">
            <v>27.1</v>
          </cell>
          <cell r="G170">
            <v>33.4</v>
          </cell>
          <cell r="H170">
            <v>31.7</v>
          </cell>
          <cell r="I170">
            <v>29.7</v>
          </cell>
        </row>
        <row r="171">
          <cell r="E171">
            <v>32.9</v>
          </cell>
          <cell r="F171">
            <v>28.1</v>
          </cell>
          <cell r="G171">
            <v>33.5</v>
          </cell>
          <cell r="H171">
            <v>31.8</v>
          </cell>
          <cell r="I171">
            <v>30.4</v>
          </cell>
        </row>
        <row r="172">
          <cell r="E172">
            <v>31.4</v>
          </cell>
          <cell r="F172">
            <v>25.8</v>
          </cell>
          <cell r="G172">
            <v>31.5</v>
          </cell>
          <cell r="H172">
            <v>28.8</v>
          </cell>
          <cell r="I172">
            <v>30</v>
          </cell>
        </row>
        <row r="173">
          <cell r="E173">
            <v>29.3</v>
          </cell>
          <cell r="F173">
            <v>23.1</v>
          </cell>
          <cell r="G173">
            <v>29.8</v>
          </cell>
          <cell r="H173">
            <v>27.7</v>
          </cell>
          <cell r="I173">
            <v>27.3</v>
          </cell>
        </row>
        <row r="174">
          <cell r="E174">
            <v>26.6</v>
          </cell>
          <cell r="F174">
            <v>22.6</v>
          </cell>
          <cell r="G174">
            <v>26.1</v>
          </cell>
          <cell r="H174">
            <v>25</v>
          </cell>
          <cell r="I174">
            <v>25</v>
          </cell>
        </row>
        <row r="175">
          <cell r="E175">
            <v>26.6</v>
          </cell>
          <cell r="F175">
            <v>23.1</v>
          </cell>
          <cell r="G175">
            <v>26.6</v>
          </cell>
          <cell r="H175">
            <v>24.8</v>
          </cell>
          <cell r="I175">
            <v>24.8</v>
          </cell>
        </row>
        <row r="176">
          <cell r="E176">
            <v>31.2</v>
          </cell>
          <cell r="F176">
            <v>25.1</v>
          </cell>
          <cell r="G176">
            <v>29.8</v>
          </cell>
          <cell r="H176">
            <v>27.9</v>
          </cell>
          <cell r="I176">
            <v>29.7</v>
          </cell>
        </row>
        <row r="177">
          <cell r="E177">
            <v>32.5</v>
          </cell>
          <cell r="F177">
            <v>27.7</v>
          </cell>
          <cell r="G177">
            <v>32.200000000000003</v>
          </cell>
          <cell r="H177">
            <v>30.3</v>
          </cell>
          <cell r="I177">
            <v>30.5</v>
          </cell>
        </row>
        <row r="178">
          <cell r="E178">
            <v>34</v>
          </cell>
          <cell r="F178">
            <v>29.9</v>
          </cell>
          <cell r="G178">
            <v>33.799999999999997</v>
          </cell>
          <cell r="H178">
            <v>32.299999999999997</v>
          </cell>
          <cell r="I178">
            <v>32.9</v>
          </cell>
        </row>
        <row r="179">
          <cell r="E179">
            <v>32</v>
          </cell>
          <cell r="F179">
            <v>28</v>
          </cell>
          <cell r="G179">
            <v>33.700000000000003</v>
          </cell>
          <cell r="H179">
            <v>31.1</v>
          </cell>
          <cell r="I179">
            <v>30</v>
          </cell>
        </row>
        <row r="180">
          <cell r="E180">
            <v>29.5</v>
          </cell>
          <cell r="F180">
            <v>26</v>
          </cell>
          <cell r="G180">
            <v>30.3</v>
          </cell>
          <cell r="H180">
            <v>28.5</v>
          </cell>
          <cell r="I180">
            <v>28.3</v>
          </cell>
        </row>
        <row r="181">
          <cell r="E181">
            <v>31.3</v>
          </cell>
          <cell r="F181">
            <v>26</v>
          </cell>
          <cell r="G181">
            <v>32.200000000000003</v>
          </cell>
          <cell r="H181">
            <v>29.9</v>
          </cell>
          <cell r="I181">
            <v>29.3</v>
          </cell>
        </row>
        <row r="182">
          <cell r="E182">
            <v>30.1</v>
          </cell>
          <cell r="F182">
            <v>24.6</v>
          </cell>
          <cell r="G182">
            <v>30</v>
          </cell>
          <cell r="H182">
            <v>28.3</v>
          </cell>
          <cell r="I182">
            <v>26.3</v>
          </cell>
        </row>
        <row r="183">
          <cell r="E183">
            <v>31.3</v>
          </cell>
          <cell r="F183">
            <v>23.5</v>
          </cell>
          <cell r="G183">
            <v>31.2</v>
          </cell>
          <cell r="H183">
            <v>29.4</v>
          </cell>
          <cell r="I183">
            <v>28.1</v>
          </cell>
        </row>
        <row r="184">
          <cell r="E184">
            <v>34.9</v>
          </cell>
          <cell r="F184">
            <v>26.8</v>
          </cell>
          <cell r="G184">
            <v>35.1</v>
          </cell>
          <cell r="H184">
            <v>33.299999999999997</v>
          </cell>
          <cell r="I184">
            <v>31.5</v>
          </cell>
        </row>
        <row r="185">
          <cell r="E185">
            <v>33.799999999999997</v>
          </cell>
          <cell r="F185">
            <v>28</v>
          </cell>
          <cell r="G185">
            <v>35.5</v>
          </cell>
          <cell r="H185">
            <v>33.299999999999997</v>
          </cell>
          <cell r="I185">
            <v>31.1</v>
          </cell>
        </row>
        <row r="186">
          <cell r="E186">
            <v>31.5</v>
          </cell>
          <cell r="F186">
            <v>26.9</v>
          </cell>
          <cell r="G186">
            <v>32.9</v>
          </cell>
          <cell r="H186">
            <v>29.9</v>
          </cell>
          <cell r="I186">
            <v>29.7</v>
          </cell>
        </row>
        <row r="187">
          <cell r="E187">
            <v>33.4</v>
          </cell>
          <cell r="F187">
            <v>28.3</v>
          </cell>
          <cell r="G187">
            <v>35.6</v>
          </cell>
          <cell r="H187">
            <v>32.5</v>
          </cell>
          <cell r="I187">
            <v>32</v>
          </cell>
        </row>
        <row r="188">
          <cell r="E188">
            <v>34.5</v>
          </cell>
          <cell r="F188">
            <v>28.6</v>
          </cell>
          <cell r="G188">
            <v>35.299999999999997</v>
          </cell>
          <cell r="H188">
            <v>33.5</v>
          </cell>
          <cell r="I188">
            <v>33</v>
          </cell>
        </row>
        <row r="189">
          <cell r="E189">
            <v>32.799999999999997</v>
          </cell>
          <cell r="F189">
            <v>27.4</v>
          </cell>
          <cell r="G189">
            <v>33.5</v>
          </cell>
          <cell r="H189">
            <v>31.7</v>
          </cell>
          <cell r="I189">
            <v>30.5</v>
          </cell>
        </row>
        <row r="190">
          <cell r="E190">
            <v>31.9</v>
          </cell>
          <cell r="F190">
            <v>26.4</v>
          </cell>
          <cell r="G190">
            <v>32.1</v>
          </cell>
          <cell r="H190">
            <v>30</v>
          </cell>
          <cell r="I190">
            <v>29.1</v>
          </cell>
        </row>
        <row r="191">
          <cell r="E191">
            <v>31.5</v>
          </cell>
          <cell r="F191">
            <v>27.2</v>
          </cell>
          <cell r="G191">
            <v>33.4</v>
          </cell>
          <cell r="H191">
            <v>30.2</v>
          </cell>
          <cell r="I191">
            <v>29.5</v>
          </cell>
        </row>
        <row r="192">
          <cell r="E192">
            <v>28.9</v>
          </cell>
          <cell r="F192">
            <v>24.9</v>
          </cell>
          <cell r="G192">
            <v>30.4</v>
          </cell>
          <cell r="H192">
            <v>27.7</v>
          </cell>
          <cell r="I192">
            <v>26.6</v>
          </cell>
        </row>
        <row r="193">
          <cell r="E193">
            <v>32.6</v>
          </cell>
          <cell r="F193">
            <v>27.1</v>
          </cell>
          <cell r="G193">
            <v>33.9</v>
          </cell>
          <cell r="H193">
            <v>30.9</v>
          </cell>
          <cell r="I193">
            <v>30.5</v>
          </cell>
        </row>
        <row r="194">
          <cell r="E194">
            <v>33.700000000000003</v>
          </cell>
          <cell r="F194">
            <v>26.9</v>
          </cell>
          <cell r="G194">
            <v>35.200000000000003</v>
          </cell>
          <cell r="H194">
            <v>31.9</v>
          </cell>
          <cell r="I194">
            <v>30.4</v>
          </cell>
        </row>
        <row r="195">
          <cell r="E195">
            <v>27.6</v>
          </cell>
          <cell r="F195">
            <v>22.4</v>
          </cell>
          <cell r="G195">
            <v>27</v>
          </cell>
          <cell r="H195">
            <v>24.9</v>
          </cell>
          <cell r="I195">
            <v>26.1</v>
          </cell>
        </row>
        <row r="196">
          <cell r="E196">
            <v>31.7</v>
          </cell>
          <cell r="F196">
            <v>25.7</v>
          </cell>
          <cell r="G196">
            <v>29.2</v>
          </cell>
          <cell r="H196">
            <v>27.4</v>
          </cell>
          <cell r="I196">
            <v>30.5</v>
          </cell>
        </row>
        <row r="197">
          <cell r="E197">
            <v>33.4</v>
          </cell>
          <cell r="F197">
            <v>27.9</v>
          </cell>
          <cell r="G197">
            <v>34.200000000000003</v>
          </cell>
          <cell r="H197">
            <v>31</v>
          </cell>
          <cell r="I197">
            <v>31.3</v>
          </cell>
        </row>
        <row r="198">
          <cell r="E198">
            <v>31.8</v>
          </cell>
          <cell r="F198">
            <v>25.9</v>
          </cell>
          <cell r="G198">
            <v>32.9</v>
          </cell>
          <cell r="H198">
            <v>29.9</v>
          </cell>
          <cell r="I198">
            <v>28.7</v>
          </cell>
        </row>
        <row r="199">
          <cell r="E199">
            <v>33.5</v>
          </cell>
          <cell r="F199">
            <v>25.8</v>
          </cell>
          <cell r="G199">
            <v>34.200000000000003</v>
          </cell>
          <cell r="H199">
            <v>31.9</v>
          </cell>
          <cell r="I199">
            <v>30.4</v>
          </cell>
        </row>
        <row r="200">
          <cell r="E200">
            <v>32</v>
          </cell>
          <cell r="F200">
            <v>24.8</v>
          </cell>
          <cell r="G200">
            <v>32.9</v>
          </cell>
          <cell r="H200">
            <v>30.4</v>
          </cell>
          <cell r="I200">
            <v>28.9</v>
          </cell>
        </row>
        <row r="201">
          <cell r="E201">
            <v>30.7</v>
          </cell>
          <cell r="F201">
            <v>24.2</v>
          </cell>
          <cell r="G201">
            <v>30.5</v>
          </cell>
          <cell r="H201">
            <v>28.8</v>
          </cell>
          <cell r="I201">
            <v>28.6</v>
          </cell>
        </row>
        <row r="202">
          <cell r="E202">
            <v>31</v>
          </cell>
          <cell r="F202">
            <v>24.6</v>
          </cell>
          <cell r="G202">
            <v>31.3</v>
          </cell>
          <cell r="H202">
            <v>28.5</v>
          </cell>
          <cell r="I202">
            <v>27.9</v>
          </cell>
        </row>
        <row r="203">
          <cell r="E203">
            <v>32.799999999999997</v>
          </cell>
          <cell r="F203">
            <v>26.6</v>
          </cell>
          <cell r="G203">
            <v>32.700000000000003</v>
          </cell>
          <cell r="H203">
            <v>30.8</v>
          </cell>
          <cell r="I203">
            <v>30.6</v>
          </cell>
        </row>
        <row r="204">
          <cell r="E204">
            <v>33.4</v>
          </cell>
          <cell r="F204">
            <v>28.4</v>
          </cell>
          <cell r="G204">
            <v>35.299999999999997</v>
          </cell>
          <cell r="H204">
            <v>32.1</v>
          </cell>
          <cell r="I204">
            <v>32.4</v>
          </cell>
        </row>
        <row r="205">
          <cell r="E205">
            <v>35.1</v>
          </cell>
          <cell r="F205">
            <v>28.9</v>
          </cell>
          <cell r="G205">
            <v>36.1</v>
          </cell>
          <cell r="H205">
            <v>32.200000000000003</v>
          </cell>
          <cell r="I205">
            <v>33.4</v>
          </cell>
        </row>
        <row r="206">
          <cell r="E206">
            <v>33.299999999999997</v>
          </cell>
          <cell r="F206">
            <v>27.8</v>
          </cell>
          <cell r="G206">
            <v>34.5</v>
          </cell>
          <cell r="H206">
            <v>32.4</v>
          </cell>
          <cell r="I206">
            <v>33.6</v>
          </cell>
        </row>
        <row r="207">
          <cell r="E207">
            <v>33.200000000000003</v>
          </cell>
          <cell r="F207">
            <v>28.5</v>
          </cell>
          <cell r="G207">
            <v>34.6</v>
          </cell>
          <cell r="H207">
            <v>32.700000000000003</v>
          </cell>
          <cell r="I207">
            <v>31.9</v>
          </cell>
        </row>
        <row r="208">
          <cell r="E208">
            <v>31.6</v>
          </cell>
          <cell r="F208">
            <v>25.2</v>
          </cell>
          <cell r="G208">
            <v>31.4</v>
          </cell>
          <cell r="H208">
            <v>29.4</v>
          </cell>
          <cell r="I208">
            <v>27.8</v>
          </cell>
        </row>
        <row r="209">
          <cell r="E209">
            <v>34</v>
          </cell>
          <cell r="F209">
            <v>26.7</v>
          </cell>
          <cell r="G209">
            <v>33.5</v>
          </cell>
          <cell r="H209">
            <v>31.2</v>
          </cell>
          <cell r="I209">
            <v>30.8</v>
          </cell>
        </row>
        <row r="210">
          <cell r="E210">
            <v>31.5</v>
          </cell>
          <cell r="F210">
            <v>24.6</v>
          </cell>
          <cell r="G210">
            <v>31.6</v>
          </cell>
          <cell r="H210">
            <v>29.7</v>
          </cell>
          <cell r="I210">
            <v>29.3</v>
          </cell>
        </row>
        <row r="211">
          <cell r="E211">
            <v>31.1</v>
          </cell>
          <cell r="F211">
            <v>24</v>
          </cell>
          <cell r="G211">
            <v>29</v>
          </cell>
          <cell r="H211">
            <v>27.9</v>
          </cell>
          <cell r="I211">
            <v>28.4</v>
          </cell>
        </row>
        <row r="212">
          <cell r="E212">
            <v>30.3</v>
          </cell>
          <cell r="F212">
            <v>23.5</v>
          </cell>
          <cell r="G212">
            <v>29.9</v>
          </cell>
          <cell r="H212">
            <v>27.9</v>
          </cell>
          <cell r="I212">
            <v>27.6</v>
          </cell>
        </row>
        <row r="213">
          <cell r="E213">
            <v>35.4</v>
          </cell>
          <cell r="F213">
            <v>27.5</v>
          </cell>
          <cell r="G213">
            <v>35.5</v>
          </cell>
          <cell r="H213">
            <v>32.799999999999997</v>
          </cell>
          <cell r="I213">
            <v>31.6</v>
          </cell>
        </row>
        <row r="214">
          <cell r="E214">
            <v>29.1</v>
          </cell>
          <cell r="F214">
            <v>22.8</v>
          </cell>
          <cell r="G214">
            <v>31.7</v>
          </cell>
          <cell r="H214">
            <v>28.3</v>
          </cell>
          <cell r="I214">
            <v>25.5</v>
          </cell>
        </row>
        <row r="215">
          <cell r="E215">
            <v>25.9</v>
          </cell>
          <cell r="F215">
            <v>18.3</v>
          </cell>
          <cell r="G215">
            <v>25.8</v>
          </cell>
          <cell r="H215">
            <v>25</v>
          </cell>
          <cell r="I215">
            <v>23.3</v>
          </cell>
        </row>
        <row r="216">
          <cell r="E216">
            <v>27.6</v>
          </cell>
          <cell r="F216">
            <v>20.5</v>
          </cell>
          <cell r="G216">
            <v>25.7</v>
          </cell>
          <cell r="H216">
            <v>24.9</v>
          </cell>
          <cell r="I216">
            <v>25.3</v>
          </cell>
        </row>
        <row r="217">
          <cell r="E217">
            <v>30.6</v>
          </cell>
          <cell r="F217">
            <v>22.9</v>
          </cell>
          <cell r="G217">
            <v>30</v>
          </cell>
          <cell r="H217">
            <v>28.1</v>
          </cell>
          <cell r="I217">
            <v>28.1</v>
          </cell>
        </row>
        <row r="218">
          <cell r="E218">
            <v>29.2</v>
          </cell>
          <cell r="F218">
            <v>22.7</v>
          </cell>
          <cell r="G218">
            <v>30.9</v>
          </cell>
          <cell r="H218">
            <v>28.8</v>
          </cell>
          <cell r="I218">
            <v>27</v>
          </cell>
        </row>
        <row r="219">
          <cell r="E219">
            <v>28.3</v>
          </cell>
          <cell r="F219">
            <v>21.8</v>
          </cell>
          <cell r="G219">
            <v>27.8</v>
          </cell>
          <cell r="H219">
            <v>26.5</v>
          </cell>
          <cell r="I219">
            <v>25.8</v>
          </cell>
        </row>
        <row r="220">
          <cell r="E220">
            <v>28.9</v>
          </cell>
          <cell r="F220">
            <v>23.6</v>
          </cell>
          <cell r="G220">
            <v>29.6</v>
          </cell>
          <cell r="H220">
            <v>28</v>
          </cell>
          <cell r="I220">
            <v>26.2</v>
          </cell>
        </row>
        <row r="221">
          <cell r="E221">
            <v>28.5</v>
          </cell>
          <cell r="F221">
            <v>22.6</v>
          </cell>
          <cell r="G221">
            <v>29.8</v>
          </cell>
          <cell r="H221">
            <v>27</v>
          </cell>
          <cell r="I221">
            <v>25.2</v>
          </cell>
        </row>
        <row r="222">
          <cell r="E222">
            <v>25.7</v>
          </cell>
          <cell r="F222">
            <v>20.5</v>
          </cell>
          <cell r="G222">
            <v>28</v>
          </cell>
          <cell r="H222">
            <v>25.4</v>
          </cell>
          <cell r="I222">
            <v>22.9</v>
          </cell>
        </row>
        <row r="223">
          <cell r="E223">
            <v>23</v>
          </cell>
          <cell r="F223">
            <v>17.899999999999999</v>
          </cell>
          <cell r="G223">
            <v>22.4</v>
          </cell>
          <cell r="H223">
            <v>20.6</v>
          </cell>
          <cell r="I223">
            <v>20.6</v>
          </cell>
        </row>
        <row r="224">
          <cell r="E224">
            <v>25</v>
          </cell>
          <cell r="F224">
            <v>18.899999999999999</v>
          </cell>
          <cell r="G224">
            <v>24.7</v>
          </cell>
          <cell r="H224">
            <v>23.2</v>
          </cell>
          <cell r="I224">
            <v>22.5</v>
          </cell>
        </row>
        <row r="225">
          <cell r="E225">
            <v>28.8</v>
          </cell>
          <cell r="F225">
            <v>23.1</v>
          </cell>
          <cell r="G225">
            <v>28.7</v>
          </cell>
          <cell r="H225">
            <v>26.5</v>
          </cell>
          <cell r="I225">
            <v>27.2</v>
          </cell>
        </row>
        <row r="226">
          <cell r="E226">
            <v>28.4</v>
          </cell>
          <cell r="F226">
            <v>21.4</v>
          </cell>
          <cell r="G226">
            <v>29.2</v>
          </cell>
          <cell r="H226">
            <v>27</v>
          </cell>
          <cell r="I226">
            <v>26.5</v>
          </cell>
        </row>
        <row r="227">
          <cell r="E227">
            <v>26.9</v>
          </cell>
          <cell r="F227">
            <v>23.3</v>
          </cell>
          <cell r="G227">
            <v>29.8</v>
          </cell>
          <cell r="H227">
            <v>26.1</v>
          </cell>
          <cell r="I227">
            <v>24.5</v>
          </cell>
        </row>
        <row r="228">
          <cell r="E228">
            <v>25.9</v>
          </cell>
          <cell r="F228">
            <v>22</v>
          </cell>
          <cell r="G228">
            <v>29</v>
          </cell>
          <cell r="H228">
            <v>25.1</v>
          </cell>
          <cell r="I228">
            <v>24.2</v>
          </cell>
        </row>
        <row r="229">
          <cell r="E229">
            <v>21</v>
          </cell>
          <cell r="F229">
            <v>18.100000000000001</v>
          </cell>
          <cell r="G229">
            <v>22.9</v>
          </cell>
          <cell r="H229">
            <v>20.100000000000001</v>
          </cell>
          <cell r="I229">
            <v>20.100000000000001</v>
          </cell>
        </row>
        <row r="230">
          <cell r="E230">
            <v>19.7</v>
          </cell>
          <cell r="F230">
            <v>14.4</v>
          </cell>
          <cell r="G230">
            <v>20.5</v>
          </cell>
          <cell r="H230">
            <v>17.899999999999999</v>
          </cell>
          <cell r="I230">
            <v>18.100000000000001</v>
          </cell>
        </row>
        <row r="231">
          <cell r="E231">
            <v>18.7</v>
          </cell>
          <cell r="F231">
            <v>12.1</v>
          </cell>
          <cell r="G231">
            <v>18</v>
          </cell>
          <cell r="H231">
            <v>16.7</v>
          </cell>
          <cell r="I231">
            <v>15</v>
          </cell>
        </row>
        <row r="232">
          <cell r="E232">
            <v>13</v>
          </cell>
          <cell r="F232">
            <v>8.3000000000000007</v>
          </cell>
          <cell r="G232">
            <v>13.6</v>
          </cell>
          <cell r="H232">
            <v>11.6</v>
          </cell>
          <cell r="I232">
            <v>11.8</v>
          </cell>
        </row>
        <row r="233">
          <cell r="E233">
            <v>15.7</v>
          </cell>
          <cell r="F233">
            <v>10.4</v>
          </cell>
          <cell r="G233">
            <v>14.8</v>
          </cell>
          <cell r="H233">
            <v>12.9</v>
          </cell>
          <cell r="I233">
            <v>13.5</v>
          </cell>
        </row>
        <row r="234">
          <cell r="E234">
            <v>13.9</v>
          </cell>
          <cell r="F234">
            <v>11</v>
          </cell>
          <cell r="G234">
            <v>15.3</v>
          </cell>
          <cell r="H234">
            <v>13</v>
          </cell>
          <cell r="I234">
            <v>12.9</v>
          </cell>
        </row>
        <row r="235">
          <cell r="E235">
            <v>15.6</v>
          </cell>
          <cell r="F235">
            <v>12.4</v>
          </cell>
          <cell r="G235">
            <v>16.100000000000001</v>
          </cell>
          <cell r="H235">
            <v>14.4</v>
          </cell>
          <cell r="I235">
            <v>13.3</v>
          </cell>
        </row>
        <row r="236">
          <cell r="E236">
            <v>15.7</v>
          </cell>
          <cell r="F236">
            <v>12.8</v>
          </cell>
          <cell r="G236">
            <v>17.399999999999999</v>
          </cell>
          <cell r="H236">
            <v>15.6</v>
          </cell>
          <cell r="I236">
            <v>14.4</v>
          </cell>
        </row>
        <row r="237">
          <cell r="E237">
            <v>15.6</v>
          </cell>
          <cell r="F237">
            <v>10.6</v>
          </cell>
          <cell r="G237">
            <v>16.399999999999999</v>
          </cell>
          <cell r="H237">
            <v>14</v>
          </cell>
          <cell r="I237">
            <v>13.5</v>
          </cell>
        </row>
        <row r="238">
          <cell r="E238">
            <v>13.5</v>
          </cell>
          <cell r="F238">
            <v>10.9</v>
          </cell>
          <cell r="G238">
            <v>15.7</v>
          </cell>
          <cell r="H238">
            <v>11.8</v>
          </cell>
          <cell r="I238">
            <v>12.1</v>
          </cell>
        </row>
        <row r="239">
          <cell r="E239">
            <v>16.5</v>
          </cell>
          <cell r="F239">
            <v>12.4</v>
          </cell>
          <cell r="G239">
            <v>17.7</v>
          </cell>
          <cell r="H239">
            <v>14.9</v>
          </cell>
          <cell r="I239">
            <v>14.5</v>
          </cell>
        </row>
        <row r="240">
          <cell r="E240">
            <v>15.5</v>
          </cell>
          <cell r="F240">
            <v>10.7</v>
          </cell>
          <cell r="G240">
            <v>15.5</v>
          </cell>
          <cell r="H240">
            <v>13.9</v>
          </cell>
          <cell r="I240">
            <v>13</v>
          </cell>
        </row>
        <row r="241">
          <cell r="E241">
            <v>16</v>
          </cell>
          <cell r="F241">
            <v>11.5</v>
          </cell>
          <cell r="G241">
            <v>16.600000000000001</v>
          </cell>
          <cell r="H241">
            <v>15.3</v>
          </cell>
          <cell r="I241">
            <v>14.7</v>
          </cell>
        </row>
        <row r="242">
          <cell r="E242">
            <v>16.2</v>
          </cell>
          <cell r="F242">
            <v>12.1</v>
          </cell>
          <cell r="G242">
            <v>16.899999999999999</v>
          </cell>
          <cell r="H242">
            <v>14.6</v>
          </cell>
          <cell r="I242">
            <v>14.1</v>
          </cell>
        </row>
        <row r="243">
          <cell r="E243">
            <v>12.5</v>
          </cell>
          <cell r="F243">
            <v>12.7</v>
          </cell>
          <cell r="G243">
            <v>13.9</v>
          </cell>
          <cell r="H243">
            <v>11.9</v>
          </cell>
          <cell r="I243">
            <v>12.7</v>
          </cell>
        </row>
        <row r="244">
          <cell r="E244">
            <v>15</v>
          </cell>
          <cell r="F244">
            <v>11.8</v>
          </cell>
          <cell r="G244">
            <v>15.8</v>
          </cell>
          <cell r="H244">
            <v>13.5</v>
          </cell>
          <cell r="I244">
            <v>12.8</v>
          </cell>
        </row>
        <row r="245">
          <cell r="E245">
            <v>14.3</v>
          </cell>
          <cell r="F245">
            <v>10.3</v>
          </cell>
          <cell r="G245">
            <v>15.3</v>
          </cell>
          <cell r="H245">
            <v>12.9</v>
          </cell>
          <cell r="I245">
            <v>13.1</v>
          </cell>
        </row>
        <row r="246">
          <cell r="E246">
            <v>17.2</v>
          </cell>
          <cell r="F246">
            <v>13.7</v>
          </cell>
          <cell r="G246">
            <v>18.600000000000001</v>
          </cell>
          <cell r="H246">
            <v>16.3</v>
          </cell>
          <cell r="I246">
            <v>15.3</v>
          </cell>
        </row>
        <row r="247">
          <cell r="E247">
            <v>16.399999999999999</v>
          </cell>
          <cell r="F247">
            <v>15.4</v>
          </cell>
          <cell r="G247">
            <v>17.399999999999999</v>
          </cell>
          <cell r="H247">
            <v>15.4</v>
          </cell>
          <cell r="I247">
            <v>15.6</v>
          </cell>
        </row>
        <row r="248">
          <cell r="E248">
            <v>17.600000000000001</v>
          </cell>
          <cell r="F248">
            <v>13.9</v>
          </cell>
          <cell r="G248">
            <v>19.5</v>
          </cell>
          <cell r="H248">
            <v>17</v>
          </cell>
          <cell r="I248">
            <v>17</v>
          </cell>
        </row>
        <row r="249">
          <cell r="E249">
            <v>15.7</v>
          </cell>
          <cell r="F249">
            <v>12.3</v>
          </cell>
          <cell r="G249">
            <v>18.2</v>
          </cell>
          <cell r="H249">
            <v>15.9</v>
          </cell>
          <cell r="I249">
            <v>13.1</v>
          </cell>
        </row>
        <row r="250">
          <cell r="E250">
            <v>15.2</v>
          </cell>
          <cell r="F250">
            <v>9.6999999999999993</v>
          </cell>
          <cell r="G250">
            <v>14.7</v>
          </cell>
          <cell r="H250">
            <v>12.9</v>
          </cell>
          <cell r="I250">
            <v>11.9</v>
          </cell>
        </row>
        <row r="251">
          <cell r="E251">
            <v>16.100000000000001</v>
          </cell>
          <cell r="F251">
            <v>13.3</v>
          </cell>
          <cell r="G251">
            <v>18.899999999999999</v>
          </cell>
          <cell r="H251">
            <v>16</v>
          </cell>
          <cell r="I251">
            <v>15.4</v>
          </cell>
        </row>
        <row r="252">
          <cell r="E252">
            <v>12.5</v>
          </cell>
          <cell r="F252">
            <v>10</v>
          </cell>
          <cell r="G252">
            <v>14.2</v>
          </cell>
          <cell r="H252">
            <v>11.9</v>
          </cell>
          <cell r="I252">
            <v>11.9</v>
          </cell>
        </row>
        <row r="253">
          <cell r="E253">
            <v>7.2</v>
          </cell>
          <cell r="F253">
            <v>6.6</v>
          </cell>
          <cell r="G253">
            <v>9.9</v>
          </cell>
          <cell r="H253">
            <v>6.9</v>
          </cell>
          <cell r="I253">
            <v>5.3</v>
          </cell>
        </row>
        <row r="254">
          <cell r="E254">
            <v>9.4</v>
          </cell>
          <cell r="F254">
            <v>5.5</v>
          </cell>
          <cell r="G254">
            <v>10.5</v>
          </cell>
          <cell r="H254">
            <v>7.8</v>
          </cell>
          <cell r="I254">
            <v>7</v>
          </cell>
        </row>
        <row r="255">
          <cell r="E255">
            <v>8</v>
          </cell>
          <cell r="F255">
            <v>4.5999999999999996</v>
          </cell>
          <cell r="G255">
            <v>8.5</v>
          </cell>
          <cell r="H255">
            <v>7</v>
          </cell>
          <cell r="I255">
            <v>5.7</v>
          </cell>
        </row>
        <row r="256">
          <cell r="E256">
            <v>9.4</v>
          </cell>
          <cell r="F256">
            <v>5.7</v>
          </cell>
          <cell r="G256">
            <v>9</v>
          </cell>
          <cell r="H256">
            <v>7.5</v>
          </cell>
          <cell r="I256">
            <v>7.3</v>
          </cell>
        </row>
        <row r="257">
          <cell r="E257">
            <v>12.5</v>
          </cell>
          <cell r="F257">
            <v>9.8000000000000007</v>
          </cell>
          <cell r="G257">
            <v>13.1</v>
          </cell>
          <cell r="H257">
            <v>10.7</v>
          </cell>
          <cell r="I257">
            <v>11.4</v>
          </cell>
        </row>
        <row r="258">
          <cell r="E258">
            <v>13.8</v>
          </cell>
          <cell r="F258">
            <v>11</v>
          </cell>
          <cell r="G258">
            <v>14.9</v>
          </cell>
          <cell r="H258">
            <v>12.8</v>
          </cell>
          <cell r="I258">
            <v>12.9</v>
          </cell>
        </row>
        <row r="259">
          <cell r="E259">
            <v>12.4</v>
          </cell>
          <cell r="F259">
            <v>10</v>
          </cell>
          <cell r="G259">
            <v>14.1</v>
          </cell>
          <cell r="H259">
            <v>11.5</v>
          </cell>
          <cell r="I259">
            <v>11.2</v>
          </cell>
        </row>
        <row r="260">
          <cell r="E260">
            <v>9.4</v>
          </cell>
          <cell r="F260">
            <v>6.9</v>
          </cell>
          <cell r="G260">
            <v>10.1</v>
          </cell>
          <cell r="H260">
            <v>8.3000000000000007</v>
          </cell>
          <cell r="I260">
            <v>8.4</v>
          </cell>
        </row>
        <row r="261">
          <cell r="E261">
            <v>10.3</v>
          </cell>
          <cell r="F261">
            <v>8.1999999999999993</v>
          </cell>
          <cell r="G261">
            <v>10.9</v>
          </cell>
          <cell r="H261">
            <v>8.9</v>
          </cell>
          <cell r="I261">
            <v>10</v>
          </cell>
        </row>
        <row r="262">
          <cell r="E262">
            <v>10.1</v>
          </cell>
          <cell r="F262">
            <v>7.6</v>
          </cell>
          <cell r="G262">
            <v>11.4</v>
          </cell>
          <cell r="H262">
            <v>8.8000000000000007</v>
          </cell>
          <cell r="I262">
            <v>9.6</v>
          </cell>
        </row>
        <row r="263">
          <cell r="E263">
            <v>7.5</v>
          </cell>
          <cell r="F263">
            <v>5.9</v>
          </cell>
          <cell r="G263">
            <v>8.9</v>
          </cell>
          <cell r="H263">
            <v>6.3</v>
          </cell>
          <cell r="I263">
            <v>6.6</v>
          </cell>
        </row>
        <row r="264">
          <cell r="E264">
            <v>7.6</v>
          </cell>
          <cell r="F264">
            <v>4.7</v>
          </cell>
          <cell r="G264">
            <v>7.7</v>
          </cell>
          <cell r="H264">
            <v>5.7</v>
          </cell>
          <cell r="I264">
            <v>7</v>
          </cell>
        </row>
        <row r="265">
          <cell r="E265">
            <v>11.4</v>
          </cell>
          <cell r="F265">
            <v>7</v>
          </cell>
          <cell r="G265">
            <v>11.5</v>
          </cell>
          <cell r="H265">
            <v>9.1999999999999993</v>
          </cell>
          <cell r="I265">
            <v>9.6</v>
          </cell>
        </row>
        <row r="266">
          <cell r="E266">
            <v>9</v>
          </cell>
          <cell r="F266">
            <v>6.8</v>
          </cell>
          <cell r="G266">
            <v>9.9</v>
          </cell>
          <cell r="H266">
            <v>8</v>
          </cell>
          <cell r="I266">
            <v>9.1</v>
          </cell>
        </row>
        <row r="267">
          <cell r="E267">
            <v>9.1999999999999993</v>
          </cell>
          <cell r="F267">
            <v>5.9</v>
          </cell>
          <cell r="G267">
            <v>8.4</v>
          </cell>
          <cell r="H267">
            <v>7.6</v>
          </cell>
          <cell r="I267">
            <v>9</v>
          </cell>
        </row>
        <row r="268">
          <cell r="E268">
            <v>8.6999999999999993</v>
          </cell>
          <cell r="F268">
            <v>8.3000000000000007</v>
          </cell>
          <cell r="G268">
            <v>10.8</v>
          </cell>
          <cell r="H268">
            <v>8.5</v>
          </cell>
          <cell r="I268">
            <v>7.5</v>
          </cell>
        </row>
        <row r="269">
          <cell r="E269">
            <v>7.8</v>
          </cell>
          <cell r="F269">
            <v>6.8</v>
          </cell>
          <cell r="G269">
            <v>8.3000000000000007</v>
          </cell>
          <cell r="H269">
            <v>6.6</v>
          </cell>
          <cell r="I269">
            <v>7.7</v>
          </cell>
        </row>
        <row r="270">
          <cell r="E270">
            <v>6.1</v>
          </cell>
          <cell r="F270">
            <v>5.2</v>
          </cell>
          <cell r="G270">
            <v>8.1</v>
          </cell>
          <cell r="H270">
            <v>5.2</v>
          </cell>
          <cell r="I270">
            <v>5.0999999999999996</v>
          </cell>
        </row>
        <row r="271">
          <cell r="E271">
            <v>4.9000000000000004</v>
          </cell>
          <cell r="F271">
            <v>2.8</v>
          </cell>
          <cell r="G271">
            <v>5.8</v>
          </cell>
          <cell r="H271">
            <v>3.4</v>
          </cell>
          <cell r="I271">
            <v>4.4000000000000004</v>
          </cell>
        </row>
        <row r="272">
          <cell r="E272">
            <v>7.3</v>
          </cell>
          <cell r="F272">
            <v>5.2</v>
          </cell>
          <cell r="G272">
            <v>7.5</v>
          </cell>
          <cell r="H272">
            <v>5.4</v>
          </cell>
          <cell r="I272">
            <v>6.4</v>
          </cell>
        </row>
        <row r="273">
          <cell r="E273">
            <v>8.4</v>
          </cell>
          <cell r="F273">
            <v>5.3</v>
          </cell>
          <cell r="G273">
            <v>8.5</v>
          </cell>
          <cell r="H273">
            <v>7</v>
          </cell>
          <cell r="I273">
            <v>7.2</v>
          </cell>
        </row>
        <row r="274">
          <cell r="E274">
            <v>9.1999999999999993</v>
          </cell>
          <cell r="F274">
            <v>6.9</v>
          </cell>
          <cell r="G274">
            <v>10.7</v>
          </cell>
          <cell r="H274">
            <v>8</v>
          </cell>
          <cell r="I274">
            <v>8</v>
          </cell>
        </row>
        <row r="275">
          <cell r="E275">
            <v>6.1</v>
          </cell>
          <cell r="F275">
            <v>3.8</v>
          </cell>
          <cell r="G275">
            <v>8.6</v>
          </cell>
          <cell r="H275">
            <v>5.0999999999999996</v>
          </cell>
          <cell r="I275">
            <v>4.5999999999999996</v>
          </cell>
        </row>
        <row r="276">
          <cell r="E276">
            <v>4.9000000000000004</v>
          </cell>
          <cell r="F276">
            <v>3.1</v>
          </cell>
          <cell r="G276">
            <v>7</v>
          </cell>
          <cell r="H276">
            <v>4.7</v>
          </cell>
          <cell r="I276">
            <v>4</v>
          </cell>
        </row>
        <row r="277">
          <cell r="E277">
            <v>5.0999999999999996</v>
          </cell>
          <cell r="F277">
            <v>3.1</v>
          </cell>
          <cell r="G277">
            <v>5.4</v>
          </cell>
          <cell r="H277">
            <v>3.5</v>
          </cell>
          <cell r="I277">
            <v>3.9</v>
          </cell>
        </row>
        <row r="278">
          <cell r="E278">
            <v>3.4</v>
          </cell>
          <cell r="F278">
            <v>1.6</v>
          </cell>
          <cell r="G278">
            <v>4.5999999999999996</v>
          </cell>
          <cell r="H278">
            <v>3.2</v>
          </cell>
          <cell r="I278">
            <v>2.2000000000000002</v>
          </cell>
        </row>
        <row r="279">
          <cell r="E279">
            <v>5.4</v>
          </cell>
          <cell r="F279">
            <v>3.7</v>
          </cell>
          <cell r="G279">
            <v>6.4</v>
          </cell>
          <cell r="H279">
            <v>4.2</v>
          </cell>
          <cell r="I279">
            <v>5.0999999999999996</v>
          </cell>
        </row>
        <row r="280">
          <cell r="E280">
            <v>7.9</v>
          </cell>
          <cell r="F280">
            <v>5.4</v>
          </cell>
          <cell r="G280">
            <v>8.3000000000000007</v>
          </cell>
          <cell r="H280">
            <v>6.4</v>
          </cell>
          <cell r="I280">
            <v>6.9</v>
          </cell>
        </row>
        <row r="281">
          <cell r="E281">
            <v>6.1</v>
          </cell>
          <cell r="F281">
            <v>4.5</v>
          </cell>
          <cell r="G281">
            <v>7.7</v>
          </cell>
          <cell r="H281">
            <v>5.0999999999999996</v>
          </cell>
          <cell r="I281">
            <v>6</v>
          </cell>
        </row>
        <row r="282">
          <cell r="E282">
            <v>3.9</v>
          </cell>
          <cell r="F282">
            <v>3.1</v>
          </cell>
          <cell r="G282">
            <v>6.9</v>
          </cell>
          <cell r="H282">
            <v>4.0999999999999996</v>
          </cell>
          <cell r="I282">
            <v>3.7</v>
          </cell>
        </row>
        <row r="283">
          <cell r="E283">
            <v>3.4</v>
          </cell>
          <cell r="F283">
            <v>2.1</v>
          </cell>
          <cell r="G283">
            <v>4</v>
          </cell>
          <cell r="H283">
            <v>2.8</v>
          </cell>
          <cell r="I283">
            <v>3.1</v>
          </cell>
        </row>
        <row r="284">
          <cell r="E284">
            <v>3.1</v>
          </cell>
          <cell r="F284">
            <v>1.9</v>
          </cell>
          <cell r="G284">
            <v>2.5</v>
          </cell>
          <cell r="H284">
            <v>1.9</v>
          </cell>
          <cell r="I284">
            <v>2.5</v>
          </cell>
        </row>
        <row r="285">
          <cell r="E285">
            <v>4.0999999999999996</v>
          </cell>
          <cell r="F285">
            <v>1.4</v>
          </cell>
          <cell r="G285">
            <v>3.4</v>
          </cell>
          <cell r="H285">
            <v>2.7</v>
          </cell>
          <cell r="I285">
            <v>3.9</v>
          </cell>
        </row>
        <row r="286">
          <cell r="E286">
            <v>3.3</v>
          </cell>
          <cell r="F286">
            <v>2.4</v>
          </cell>
          <cell r="G286">
            <v>4.9000000000000004</v>
          </cell>
          <cell r="H286">
            <v>2.8</v>
          </cell>
          <cell r="I286">
            <v>3.6</v>
          </cell>
        </row>
        <row r="287">
          <cell r="E287">
            <v>4.7</v>
          </cell>
          <cell r="F287">
            <v>4.4000000000000004</v>
          </cell>
          <cell r="G287">
            <v>4.2</v>
          </cell>
          <cell r="H287">
            <v>3.4</v>
          </cell>
          <cell r="I287">
            <v>4.5</v>
          </cell>
        </row>
        <row r="288">
          <cell r="E288">
            <v>3.4</v>
          </cell>
          <cell r="F288">
            <v>2.7</v>
          </cell>
          <cell r="G288">
            <v>4.4000000000000004</v>
          </cell>
          <cell r="H288">
            <v>2.6</v>
          </cell>
          <cell r="I288">
            <v>3.5</v>
          </cell>
        </row>
        <row r="289">
          <cell r="E289">
            <v>1.9</v>
          </cell>
          <cell r="F289">
            <v>1.9</v>
          </cell>
          <cell r="G289">
            <v>3.4</v>
          </cell>
          <cell r="H289">
            <v>1.4</v>
          </cell>
          <cell r="I289">
            <v>1.6</v>
          </cell>
        </row>
        <row r="290">
          <cell r="E290">
            <v>0.8</v>
          </cell>
          <cell r="F290">
            <v>1.6</v>
          </cell>
          <cell r="G290">
            <v>2.6</v>
          </cell>
          <cell r="H290">
            <v>0.7</v>
          </cell>
          <cell r="I290">
            <v>1.2</v>
          </cell>
        </row>
        <row r="291">
          <cell r="E291">
            <v>2</v>
          </cell>
          <cell r="F291">
            <v>0.9</v>
          </cell>
          <cell r="G291">
            <v>2.1</v>
          </cell>
          <cell r="H291">
            <v>1.6</v>
          </cell>
          <cell r="I291">
            <v>1.4</v>
          </cell>
        </row>
        <row r="292">
          <cell r="E292">
            <v>3.2</v>
          </cell>
          <cell r="F292">
            <v>1.3</v>
          </cell>
          <cell r="G292">
            <v>2.8</v>
          </cell>
          <cell r="H292">
            <v>1.7</v>
          </cell>
          <cell r="I292">
            <v>1.7</v>
          </cell>
        </row>
        <row r="293">
          <cell r="E293">
            <v>2.8</v>
          </cell>
          <cell r="F293">
            <v>1.9</v>
          </cell>
          <cell r="G293">
            <v>3.7</v>
          </cell>
          <cell r="H293">
            <v>1.9</v>
          </cell>
          <cell r="I293">
            <v>2.2000000000000002</v>
          </cell>
        </row>
        <row r="294">
          <cell r="E294">
            <v>2.7</v>
          </cell>
          <cell r="F294">
            <v>1.9</v>
          </cell>
          <cell r="G294">
            <v>3.9</v>
          </cell>
          <cell r="H294">
            <v>2.4</v>
          </cell>
          <cell r="I294">
            <v>2.4</v>
          </cell>
        </row>
        <row r="295">
          <cell r="E295">
            <v>4.2</v>
          </cell>
          <cell r="F295">
            <v>2.5</v>
          </cell>
          <cell r="G295">
            <v>4.8</v>
          </cell>
          <cell r="H295">
            <v>3.3</v>
          </cell>
          <cell r="I295">
            <v>3.4</v>
          </cell>
        </row>
        <row r="296">
          <cell r="E296">
            <v>3.2</v>
          </cell>
          <cell r="F296">
            <v>1.8</v>
          </cell>
          <cell r="G296">
            <v>4.4000000000000004</v>
          </cell>
          <cell r="H296">
            <v>2.8</v>
          </cell>
          <cell r="I296">
            <v>2.2999999999999998</v>
          </cell>
        </row>
        <row r="297">
          <cell r="E297">
            <v>3.4</v>
          </cell>
          <cell r="F297">
            <v>1.9</v>
          </cell>
          <cell r="G297">
            <v>3.2</v>
          </cell>
          <cell r="H297">
            <v>1.5</v>
          </cell>
          <cell r="I297">
            <v>2.7</v>
          </cell>
        </row>
        <row r="298">
          <cell r="E298">
            <v>4.5999999999999996</v>
          </cell>
          <cell r="F298">
            <v>3</v>
          </cell>
          <cell r="G298">
            <v>4</v>
          </cell>
          <cell r="H298">
            <v>3.3</v>
          </cell>
          <cell r="I298">
            <v>3</v>
          </cell>
        </row>
        <row r="299">
          <cell r="E299">
            <v>4.0999999999999996</v>
          </cell>
          <cell r="F299">
            <v>3.6</v>
          </cell>
          <cell r="G299">
            <v>6.1</v>
          </cell>
          <cell r="H299">
            <v>3.6</v>
          </cell>
          <cell r="I299">
            <v>3.2</v>
          </cell>
        </row>
        <row r="300">
          <cell r="E300">
            <v>4.5</v>
          </cell>
          <cell r="F300">
            <v>3.9</v>
          </cell>
          <cell r="G300">
            <v>6.6</v>
          </cell>
          <cell r="H300">
            <v>4.4000000000000004</v>
          </cell>
          <cell r="I300">
            <v>3.1</v>
          </cell>
        </row>
        <row r="301">
          <cell r="E301">
            <v>4.4000000000000004</v>
          </cell>
          <cell r="F301">
            <v>3.2</v>
          </cell>
          <cell r="G301">
            <v>7.2</v>
          </cell>
          <cell r="H301">
            <v>4.4000000000000004</v>
          </cell>
          <cell r="I301">
            <v>3.4</v>
          </cell>
        </row>
        <row r="302">
          <cell r="E302">
            <v>3.9</v>
          </cell>
          <cell r="F302">
            <v>1.7</v>
          </cell>
          <cell r="G302">
            <v>5.3</v>
          </cell>
          <cell r="H302">
            <v>2.5</v>
          </cell>
          <cell r="I302">
            <v>1.4</v>
          </cell>
        </row>
        <row r="303">
          <cell r="E303">
            <v>2.2000000000000002</v>
          </cell>
          <cell r="F303">
            <v>0.2</v>
          </cell>
          <cell r="G303">
            <v>2.9</v>
          </cell>
          <cell r="H303">
            <v>1.3</v>
          </cell>
          <cell r="I303">
            <v>1.4</v>
          </cell>
        </row>
        <row r="304">
          <cell r="E304">
            <v>1.7</v>
          </cell>
          <cell r="F304">
            <v>1</v>
          </cell>
          <cell r="G304">
            <v>2.5</v>
          </cell>
          <cell r="H304">
            <v>1.2</v>
          </cell>
          <cell r="I304">
            <v>1.4</v>
          </cell>
        </row>
        <row r="305">
          <cell r="E305">
            <v>1.4</v>
          </cell>
          <cell r="F305">
            <v>0.5</v>
          </cell>
          <cell r="G305">
            <v>2</v>
          </cell>
          <cell r="H305">
            <v>0.7</v>
          </cell>
          <cell r="I305">
            <v>0.7</v>
          </cell>
        </row>
        <row r="306">
          <cell r="E306">
            <v>0.7</v>
          </cell>
          <cell r="F306">
            <v>0</v>
          </cell>
          <cell r="G306">
            <v>1</v>
          </cell>
          <cell r="H306">
            <v>0.5</v>
          </cell>
          <cell r="I306">
            <v>0</v>
          </cell>
        </row>
        <row r="307">
          <cell r="E307">
            <v>0.8</v>
          </cell>
          <cell r="F307">
            <v>0.2</v>
          </cell>
          <cell r="G307">
            <v>1.2</v>
          </cell>
          <cell r="H307">
            <v>0.4</v>
          </cell>
          <cell r="I307">
            <v>0.5</v>
          </cell>
        </row>
        <row r="308">
          <cell r="E308">
            <v>0.5</v>
          </cell>
          <cell r="F308">
            <v>0.1</v>
          </cell>
          <cell r="G308">
            <v>1.3</v>
          </cell>
          <cell r="H308">
            <v>0.5</v>
          </cell>
          <cell r="I308">
            <v>0.4</v>
          </cell>
        </row>
        <row r="309">
          <cell r="E309">
            <v>0.3</v>
          </cell>
          <cell r="F309">
            <v>0</v>
          </cell>
          <cell r="G309">
            <v>0.2</v>
          </cell>
          <cell r="H309">
            <v>0</v>
          </cell>
          <cell r="I309">
            <v>0.3</v>
          </cell>
        </row>
        <row r="310">
          <cell r="E310">
            <v>0.9</v>
          </cell>
          <cell r="F310">
            <v>0.2</v>
          </cell>
          <cell r="G310">
            <v>0.4</v>
          </cell>
          <cell r="H310">
            <v>0.6</v>
          </cell>
          <cell r="I310">
            <v>0.6</v>
          </cell>
        </row>
        <row r="311">
          <cell r="E311">
            <v>0</v>
          </cell>
          <cell r="F311">
            <v>0</v>
          </cell>
          <cell r="G311">
            <v>0.4</v>
          </cell>
          <cell r="H311">
            <v>0</v>
          </cell>
          <cell r="I311">
            <v>0</v>
          </cell>
        </row>
        <row r="312">
          <cell r="E312">
            <v>0</v>
          </cell>
          <cell r="F312">
            <v>0</v>
          </cell>
          <cell r="G312">
            <v>0.1</v>
          </cell>
          <cell r="H312">
            <v>0</v>
          </cell>
          <cell r="I312">
            <v>0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E314">
            <v>0.3</v>
          </cell>
          <cell r="F314">
            <v>0</v>
          </cell>
          <cell r="G314">
            <v>0</v>
          </cell>
          <cell r="H314">
            <v>0</v>
          </cell>
          <cell r="I314">
            <v>0.1</v>
          </cell>
        </row>
        <row r="315">
          <cell r="E315">
            <v>1</v>
          </cell>
          <cell r="F315">
            <v>0.5</v>
          </cell>
          <cell r="G315">
            <v>1.4</v>
          </cell>
          <cell r="H315">
            <v>0.8</v>
          </cell>
          <cell r="I315">
            <v>0.7</v>
          </cell>
        </row>
        <row r="316">
          <cell r="E316">
            <v>0.5</v>
          </cell>
          <cell r="F316">
            <v>0.2</v>
          </cell>
          <cell r="G316">
            <v>1.4</v>
          </cell>
          <cell r="H316">
            <v>0.5</v>
          </cell>
          <cell r="I316">
            <v>0.2</v>
          </cell>
        </row>
        <row r="317">
          <cell r="E317">
            <v>0.2</v>
          </cell>
          <cell r="F317">
            <v>0</v>
          </cell>
          <cell r="G317">
            <v>0.3</v>
          </cell>
          <cell r="H317">
            <v>0</v>
          </cell>
          <cell r="I317">
            <v>0</v>
          </cell>
        </row>
        <row r="318">
          <cell r="E318">
            <v>0.3</v>
          </cell>
          <cell r="F318">
            <v>0</v>
          </cell>
          <cell r="G318">
            <v>0.7</v>
          </cell>
          <cell r="H318">
            <v>0.6</v>
          </cell>
          <cell r="I318">
            <v>0.3</v>
          </cell>
        </row>
        <row r="319">
          <cell r="E319">
            <v>0.1</v>
          </cell>
          <cell r="F319">
            <v>0</v>
          </cell>
          <cell r="G319">
            <v>0.3</v>
          </cell>
          <cell r="H319">
            <v>0.1</v>
          </cell>
          <cell r="I319">
            <v>0</v>
          </cell>
        </row>
        <row r="320">
          <cell r="E320">
            <v>0</v>
          </cell>
          <cell r="F320">
            <v>0</v>
          </cell>
          <cell r="G320">
            <v>0.3</v>
          </cell>
          <cell r="H320">
            <v>0</v>
          </cell>
          <cell r="I320">
            <v>0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E325">
            <v>0</v>
          </cell>
          <cell r="F325">
            <v>0</v>
          </cell>
          <cell r="G325">
            <v>0.1</v>
          </cell>
          <cell r="H325">
            <v>0</v>
          </cell>
          <cell r="I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E362">
            <v>0</v>
          </cell>
          <cell r="F362">
            <v>0</v>
          </cell>
          <cell r="G362">
            <v>0.2</v>
          </cell>
          <cell r="H362">
            <v>0</v>
          </cell>
          <cell r="I362">
            <v>0</v>
          </cell>
        </row>
        <row r="363">
          <cell r="E363">
            <v>0</v>
          </cell>
          <cell r="F363">
            <v>0</v>
          </cell>
          <cell r="G363">
            <v>0.1</v>
          </cell>
          <cell r="H363">
            <v>0</v>
          </cell>
          <cell r="I363">
            <v>0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E373">
            <v>0</v>
          </cell>
          <cell r="F373">
            <v>0</v>
          </cell>
          <cell r="G373">
            <v>0.2</v>
          </cell>
          <cell r="H373">
            <v>0</v>
          </cell>
          <cell r="I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</sheetData>
      <sheetData sheetId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E38">
            <v>4</v>
          </cell>
          <cell r="F38">
            <v>0</v>
          </cell>
          <cell r="G38">
            <v>1</v>
          </cell>
          <cell r="H38">
            <v>0</v>
          </cell>
          <cell r="I38">
            <v>3</v>
          </cell>
        </row>
        <row r="39">
          <cell r="E39">
            <v>6</v>
          </cell>
          <cell r="F39">
            <v>2</v>
          </cell>
          <cell r="G39">
            <v>5</v>
          </cell>
          <cell r="H39">
            <v>3</v>
          </cell>
          <cell r="I39">
            <v>5</v>
          </cell>
        </row>
        <row r="40">
          <cell r="E40">
            <v>4</v>
          </cell>
          <cell r="F40">
            <v>0</v>
          </cell>
          <cell r="G40">
            <v>3</v>
          </cell>
          <cell r="H40">
            <v>2</v>
          </cell>
          <cell r="I40">
            <v>2</v>
          </cell>
        </row>
        <row r="41">
          <cell r="E41">
            <v>1</v>
          </cell>
          <cell r="F41">
            <v>0</v>
          </cell>
          <cell r="G41">
            <v>1</v>
          </cell>
          <cell r="H41">
            <v>0</v>
          </cell>
          <cell r="I41">
            <v>0</v>
          </cell>
        </row>
        <row r="42">
          <cell r="E42">
            <v>6</v>
          </cell>
          <cell r="F42">
            <v>0</v>
          </cell>
          <cell r="G42">
            <v>3</v>
          </cell>
          <cell r="H42">
            <v>1</v>
          </cell>
          <cell r="I42">
            <v>3</v>
          </cell>
        </row>
        <row r="43">
          <cell r="E43">
            <v>6</v>
          </cell>
          <cell r="F43">
            <v>0</v>
          </cell>
          <cell r="G43">
            <v>3</v>
          </cell>
          <cell r="H43">
            <v>2</v>
          </cell>
          <cell r="I43">
            <v>4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E48">
            <v>4</v>
          </cell>
          <cell r="F48">
            <v>0</v>
          </cell>
          <cell r="G48">
            <v>5</v>
          </cell>
          <cell r="H48">
            <v>3</v>
          </cell>
          <cell r="I48">
            <v>1</v>
          </cell>
        </row>
        <row r="49">
          <cell r="E49">
            <v>4</v>
          </cell>
          <cell r="F49">
            <v>1</v>
          </cell>
          <cell r="G49">
            <v>6</v>
          </cell>
          <cell r="H49">
            <v>2</v>
          </cell>
          <cell r="I49">
            <v>2</v>
          </cell>
        </row>
        <row r="50">
          <cell r="E50">
            <v>1</v>
          </cell>
          <cell r="F50">
            <v>0</v>
          </cell>
          <cell r="G50">
            <v>1</v>
          </cell>
          <cell r="H50">
            <v>0</v>
          </cell>
          <cell r="I50">
            <v>1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E59">
            <v>6</v>
          </cell>
          <cell r="F59">
            <v>1</v>
          </cell>
          <cell r="G59">
            <v>3</v>
          </cell>
          <cell r="H59">
            <v>0</v>
          </cell>
          <cell r="I59">
            <v>7</v>
          </cell>
        </row>
        <row r="60">
          <cell r="E60">
            <v>17</v>
          </cell>
          <cell r="F60">
            <v>15</v>
          </cell>
          <cell r="G60">
            <v>16</v>
          </cell>
          <cell r="H60">
            <v>13</v>
          </cell>
          <cell r="I60">
            <v>18</v>
          </cell>
        </row>
        <row r="61">
          <cell r="E61">
            <v>10</v>
          </cell>
          <cell r="F61">
            <v>9</v>
          </cell>
          <cell r="G61">
            <v>12</v>
          </cell>
          <cell r="H61">
            <v>12</v>
          </cell>
          <cell r="I61">
            <v>9</v>
          </cell>
        </row>
        <row r="62">
          <cell r="E62">
            <v>4</v>
          </cell>
          <cell r="F62">
            <v>0</v>
          </cell>
          <cell r="G62">
            <v>7</v>
          </cell>
          <cell r="H62">
            <v>3</v>
          </cell>
          <cell r="I62">
            <v>0</v>
          </cell>
        </row>
        <row r="63">
          <cell r="E63">
            <v>0</v>
          </cell>
          <cell r="F63">
            <v>0</v>
          </cell>
          <cell r="G63">
            <v>2</v>
          </cell>
          <cell r="H63">
            <v>0</v>
          </cell>
          <cell r="I63">
            <v>0</v>
          </cell>
        </row>
        <row r="64">
          <cell r="E64">
            <v>3</v>
          </cell>
          <cell r="F64">
            <v>0</v>
          </cell>
          <cell r="G64">
            <v>2</v>
          </cell>
          <cell r="H64">
            <v>1</v>
          </cell>
          <cell r="I64">
            <v>0</v>
          </cell>
        </row>
        <row r="65">
          <cell r="E65">
            <v>0</v>
          </cell>
          <cell r="F65">
            <v>0</v>
          </cell>
          <cell r="G65">
            <v>5</v>
          </cell>
          <cell r="H65">
            <v>2</v>
          </cell>
          <cell r="I65">
            <v>0</v>
          </cell>
        </row>
        <row r="66">
          <cell r="E66">
            <v>9</v>
          </cell>
          <cell r="F66">
            <v>0</v>
          </cell>
          <cell r="G66">
            <v>5</v>
          </cell>
          <cell r="H66">
            <v>8</v>
          </cell>
          <cell r="I66">
            <v>6</v>
          </cell>
        </row>
        <row r="67">
          <cell r="E67">
            <v>10</v>
          </cell>
          <cell r="F67">
            <v>2</v>
          </cell>
          <cell r="G67">
            <v>9</v>
          </cell>
          <cell r="H67">
            <v>9</v>
          </cell>
          <cell r="I67">
            <v>10</v>
          </cell>
        </row>
        <row r="68">
          <cell r="E68">
            <v>4</v>
          </cell>
          <cell r="F68">
            <v>0</v>
          </cell>
          <cell r="G68">
            <v>0</v>
          </cell>
          <cell r="H68">
            <v>2</v>
          </cell>
          <cell r="I68">
            <v>1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E70">
            <v>4</v>
          </cell>
          <cell r="F70">
            <v>2</v>
          </cell>
          <cell r="G70">
            <v>0</v>
          </cell>
          <cell r="H70">
            <v>0</v>
          </cell>
          <cell r="I70">
            <v>7</v>
          </cell>
        </row>
        <row r="71">
          <cell r="E71">
            <v>10</v>
          </cell>
          <cell r="F71">
            <v>9</v>
          </cell>
          <cell r="G71">
            <v>6</v>
          </cell>
          <cell r="H71">
            <v>8</v>
          </cell>
          <cell r="I71">
            <v>10</v>
          </cell>
        </row>
        <row r="72">
          <cell r="E72">
            <v>9</v>
          </cell>
          <cell r="F72">
            <v>10</v>
          </cell>
          <cell r="G72">
            <v>7</v>
          </cell>
          <cell r="H72">
            <v>7</v>
          </cell>
          <cell r="I72">
            <v>6</v>
          </cell>
        </row>
        <row r="73">
          <cell r="E73">
            <v>2</v>
          </cell>
          <cell r="F73">
            <v>1</v>
          </cell>
          <cell r="G73">
            <v>2</v>
          </cell>
          <cell r="H73">
            <v>2</v>
          </cell>
          <cell r="I73">
            <v>1</v>
          </cell>
        </row>
        <row r="74">
          <cell r="E74">
            <v>9</v>
          </cell>
          <cell r="F74">
            <v>8</v>
          </cell>
          <cell r="G74">
            <v>11</v>
          </cell>
          <cell r="H74">
            <v>9</v>
          </cell>
          <cell r="I74">
            <v>11</v>
          </cell>
        </row>
        <row r="75">
          <cell r="E75">
            <v>14</v>
          </cell>
          <cell r="F75">
            <v>10</v>
          </cell>
          <cell r="G75">
            <v>11</v>
          </cell>
          <cell r="H75">
            <v>10</v>
          </cell>
          <cell r="I75">
            <v>14</v>
          </cell>
        </row>
        <row r="76">
          <cell r="E76">
            <v>6</v>
          </cell>
          <cell r="F76">
            <v>9</v>
          </cell>
          <cell r="G76">
            <v>11</v>
          </cell>
          <cell r="H76">
            <v>7</v>
          </cell>
          <cell r="I76">
            <v>5</v>
          </cell>
        </row>
        <row r="77">
          <cell r="E77">
            <v>10</v>
          </cell>
          <cell r="F77">
            <v>5</v>
          </cell>
          <cell r="G77">
            <v>11</v>
          </cell>
          <cell r="H77">
            <v>9</v>
          </cell>
          <cell r="I77">
            <v>7</v>
          </cell>
        </row>
        <row r="78">
          <cell r="E78">
            <v>13</v>
          </cell>
          <cell r="F78">
            <v>11</v>
          </cell>
          <cell r="G78">
            <v>15</v>
          </cell>
          <cell r="H78">
            <v>12</v>
          </cell>
          <cell r="I78">
            <v>13</v>
          </cell>
        </row>
        <row r="79">
          <cell r="E79">
            <v>14</v>
          </cell>
          <cell r="F79">
            <v>11</v>
          </cell>
          <cell r="G79">
            <v>10</v>
          </cell>
          <cell r="H79">
            <v>13</v>
          </cell>
          <cell r="I79">
            <v>17</v>
          </cell>
        </row>
        <row r="80">
          <cell r="E80">
            <v>9</v>
          </cell>
          <cell r="F80">
            <v>6</v>
          </cell>
          <cell r="G80">
            <v>12</v>
          </cell>
          <cell r="H80">
            <v>10</v>
          </cell>
          <cell r="I80">
            <v>10</v>
          </cell>
        </row>
        <row r="81">
          <cell r="E81">
            <v>0</v>
          </cell>
          <cell r="F81">
            <v>2</v>
          </cell>
          <cell r="G81">
            <v>6</v>
          </cell>
          <cell r="H81">
            <v>2</v>
          </cell>
          <cell r="I81">
            <v>0</v>
          </cell>
        </row>
        <row r="82">
          <cell r="E82">
            <v>3</v>
          </cell>
          <cell r="F82">
            <v>0</v>
          </cell>
          <cell r="G82">
            <v>4</v>
          </cell>
          <cell r="H82">
            <v>2</v>
          </cell>
          <cell r="I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3</v>
          </cell>
        </row>
        <row r="85">
          <cell r="E85">
            <v>13</v>
          </cell>
          <cell r="F85">
            <v>7</v>
          </cell>
          <cell r="G85">
            <v>10</v>
          </cell>
          <cell r="H85">
            <v>10</v>
          </cell>
          <cell r="I85">
            <v>13</v>
          </cell>
        </row>
        <row r="86">
          <cell r="E86">
            <v>18</v>
          </cell>
          <cell r="F86">
            <v>13</v>
          </cell>
          <cell r="G86">
            <v>19</v>
          </cell>
          <cell r="H86">
            <v>16</v>
          </cell>
          <cell r="I86">
            <v>16</v>
          </cell>
        </row>
        <row r="87">
          <cell r="E87">
            <v>20</v>
          </cell>
          <cell r="F87">
            <v>19</v>
          </cell>
          <cell r="G87">
            <v>22</v>
          </cell>
          <cell r="H87">
            <v>21</v>
          </cell>
          <cell r="I87">
            <v>20</v>
          </cell>
        </row>
        <row r="88">
          <cell r="E88">
            <v>26</v>
          </cell>
          <cell r="F88">
            <v>23</v>
          </cell>
          <cell r="G88">
            <v>29</v>
          </cell>
          <cell r="H88">
            <v>24</v>
          </cell>
          <cell r="I88">
            <v>25</v>
          </cell>
        </row>
        <row r="89">
          <cell r="E89">
            <v>25</v>
          </cell>
          <cell r="F89">
            <v>24</v>
          </cell>
          <cell r="G89">
            <v>25</v>
          </cell>
          <cell r="H89">
            <v>23</v>
          </cell>
          <cell r="I89">
            <v>25</v>
          </cell>
        </row>
        <row r="90">
          <cell r="E90">
            <v>12</v>
          </cell>
          <cell r="F90">
            <v>13</v>
          </cell>
          <cell r="G90">
            <v>14</v>
          </cell>
          <cell r="H90">
            <v>11</v>
          </cell>
          <cell r="I90">
            <v>11</v>
          </cell>
        </row>
        <row r="91">
          <cell r="E91">
            <v>10</v>
          </cell>
          <cell r="F91">
            <v>5</v>
          </cell>
          <cell r="G91">
            <v>7</v>
          </cell>
          <cell r="H91">
            <v>5</v>
          </cell>
          <cell r="I91">
            <v>8</v>
          </cell>
        </row>
        <row r="92">
          <cell r="E92">
            <v>13</v>
          </cell>
          <cell r="F92">
            <v>8</v>
          </cell>
          <cell r="G92">
            <v>12</v>
          </cell>
          <cell r="H92">
            <v>10</v>
          </cell>
          <cell r="I92">
            <v>14</v>
          </cell>
        </row>
        <row r="93">
          <cell r="E93">
            <v>18</v>
          </cell>
          <cell r="F93">
            <v>12</v>
          </cell>
          <cell r="G93">
            <v>18</v>
          </cell>
          <cell r="H93">
            <v>15</v>
          </cell>
          <cell r="I93">
            <v>20</v>
          </cell>
        </row>
        <row r="94">
          <cell r="E94">
            <v>24</v>
          </cell>
          <cell r="F94">
            <v>18</v>
          </cell>
          <cell r="G94">
            <v>26</v>
          </cell>
          <cell r="H94">
            <v>19</v>
          </cell>
          <cell r="I94">
            <v>23</v>
          </cell>
        </row>
        <row r="95">
          <cell r="E95">
            <v>20</v>
          </cell>
          <cell r="F95">
            <v>18</v>
          </cell>
          <cell r="G95">
            <v>21</v>
          </cell>
          <cell r="H95">
            <v>18</v>
          </cell>
          <cell r="I95">
            <v>21</v>
          </cell>
        </row>
        <row r="96">
          <cell r="E96">
            <v>21</v>
          </cell>
          <cell r="F96">
            <v>18</v>
          </cell>
          <cell r="G96">
            <v>22</v>
          </cell>
          <cell r="H96">
            <v>18</v>
          </cell>
          <cell r="I96">
            <v>21</v>
          </cell>
        </row>
        <row r="97">
          <cell r="E97">
            <v>13</v>
          </cell>
          <cell r="F97">
            <v>14</v>
          </cell>
          <cell r="G97">
            <v>14</v>
          </cell>
          <cell r="H97">
            <v>13</v>
          </cell>
          <cell r="I97">
            <v>8</v>
          </cell>
        </row>
        <row r="98">
          <cell r="E98">
            <v>16</v>
          </cell>
          <cell r="F98">
            <v>10</v>
          </cell>
          <cell r="G98">
            <v>13</v>
          </cell>
          <cell r="H98">
            <v>14</v>
          </cell>
          <cell r="I98">
            <v>17</v>
          </cell>
        </row>
        <row r="99">
          <cell r="E99">
            <v>32</v>
          </cell>
          <cell r="F99">
            <v>29</v>
          </cell>
          <cell r="G99">
            <v>29</v>
          </cell>
          <cell r="H99">
            <v>28</v>
          </cell>
          <cell r="I99">
            <v>33</v>
          </cell>
        </row>
        <row r="100">
          <cell r="E100">
            <v>36</v>
          </cell>
          <cell r="F100">
            <v>32</v>
          </cell>
          <cell r="G100">
            <v>35</v>
          </cell>
          <cell r="H100">
            <v>36</v>
          </cell>
          <cell r="I100">
            <v>34</v>
          </cell>
        </row>
        <row r="101">
          <cell r="E101">
            <v>37</v>
          </cell>
          <cell r="F101">
            <v>35</v>
          </cell>
          <cell r="G101">
            <v>40</v>
          </cell>
          <cell r="H101">
            <v>36</v>
          </cell>
          <cell r="I101">
            <v>37</v>
          </cell>
        </row>
        <row r="102">
          <cell r="E102">
            <v>35</v>
          </cell>
          <cell r="F102">
            <v>30</v>
          </cell>
          <cell r="G102">
            <v>39</v>
          </cell>
          <cell r="H102">
            <v>33</v>
          </cell>
          <cell r="I102">
            <v>36</v>
          </cell>
        </row>
        <row r="103">
          <cell r="E103">
            <v>30</v>
          </cell>
          <cell r="F103">
            <v>24</v>
          </cell>
          <cell r="G103">
            <v>28</v>
          </cell>
          <cell r="H103">
            <v>26</v>
          </cell>
          <cell r="I103">
            <v>29</v>
          </cell>
        </row>
        <row r="104">
          <cell r="E104">
            <v>40</v>
          </cell>
          <cell r="F104">
            <v>33</v>
          </cell>
          <cell r="G104">
            <v>37</v>
          </cell>
          <cell r="H104">
            <v>38</v>
          </cell>
          <cell r="I104">
            <v>39</v>
          </cell>
        </row>
        <row r="105">
          <cell r="E105">
            <v>48</v>
          </cell>
          <cell r="F105">
            <v>39</v>
          </cell>
          <cell r="G105">
            <v>48</v>
          </cell>
          <cell r="H105">
            <v>44</v>
          </cell>
          <cell r="I105">
            <v>47</v>
          </cell>
        </row>
        <row r="106">
          <cell r="E106">
            <v>33</v>
          </cell>
          <cell r="F106">
            <v>28</v>
          </cell>
          <cell r="G106">
            <v>36</v>
          </cell>
          <cell r="H106">
            <v>32</v>
          </cell>
          <cell r="I106">
            <v>27</v>
          </cell>
        </row>
        <row r="107">
          <cell r="E107">
            <v>36</v>
          </cell>
          <cell r="F107">
            <v>26</v>
          </cell>
          <cell r="G107">
            <v>37</v>
          </cell>
          <cell r="H107">
            <v>36</v>
          </cell>
          <cell r="I107">
            <v>34</v>
          </cell>
        </row>
        <row r="108">
          <cell r="E108">
            <v>33</v>
          </cell>
          <cell r="F108">
            <v>25</v>
          </cell>
          <cell r="G108">
            <v>38</v>
          </cell>
          <cell r="H108">
            <v>34</v>
          </cell>
          <cell r="I108">
            <v>28</v>
          </cell>
        </row>
        <row r="109">
          <cell r="E109">
            <v>13</v>
          </cell>
          <cell r="F109">
            <v>10</v>
          </cell>
          <cell r="G109">
            <v>17</v>
          </cell>
          <cell r="H109">
            <v>14</v>
          </cell>
          <cell r="I109">
            <v>9</v>
          </cell>
        </row>
        <row r="110">
          <cell r="E110">
            <v>10</v>
          </cell>
          <cell r="F110">
            <v>8</v>
          </cell>
          <cell r="G110">
            <v>12</v>
          </cell>
          <cell r="H110">
            <v>10</v>
          </cell>
          <cell r="I110">
            <v>10</v>
          </cell>
        </row>
        <row r="111">
          <cell r="E111">
            <v>14</v>
          </cell>
          <cell r="F111">
            <v>14</v>
          </cell>
          <cell r="G111">
            <v>14</v>
          </cell>
          <cell r="H111">
            <v>13</v>
          </cell>
          <cell r="I111">
            <v>15</v>
          </cell>
        </row>
        <row r="112">
          <cell r="E112">
            <v>30</v>
          </cell>
          <cell r="F112">
            <v>22</v>
          </cell>
          <cell r="G112">
            <v>25</v>
          </cell>
          <cell r="H112">
            <v>25</v>
          </cell>
          <cell r="I112">
            <v>29</v>
          </cell>
        </row>
        <row r="113">
          <cell r="E113">
            <v>33</v>
          </cell>
          <cell r="F113">
            <v>25</v>
          </cell>
          <cell r="G113">
            <v>30</v>
          </cell>
          <cell r="H113">
            <v>29</v>
          </cell>
          <cell r="I113">
            <v>32</v>
          </cell>
        </row>
        <row r="114">
          <cell r="E114">
            <v>37</v>
          </cell>
          <cell r="F114">
            <v>31</v>
          </cell>
          <cell r="G114">
            <v>34</v>
          </cell>
          <cell r="H114">
            <v>31</v>
          </cell>
          <cell r="I114">
            <v>33</v>
          </cell>
        </row>
        <row r="115">
          <cell r="E115">
            <v>32</v>
          </cell>
          <cell r="F115">
            <v>30</v>
          </cell>
          <cell r="G115">
            <v>35</v>
          </cell>
          <cell r="H115">
            <v>32</v>
          </cell>
          <cell r="I115">
            <v>28</v>
          </cell>
        </row>
        <row r="116">
          <cell r="E116">
            <v>15</v>
          </cell>
          <cell r="F116">
            <v>16</v>
          </cell>
          <cell r="G116">
            <v>20</v>
          </cell>
          <cell r="H116">
            <v>18</v>
          </cell>
          <cell r="I116">
            <v>12</v>
          </cell>
        </row>
        <row r="117">
          <cell r="E117">
            <v>7</v>
          </cell>
          <cell r="F117">
            <v>1</v>
          </cell>
          <cell r="G117">
            <v>4</v>
          </cell>
          <cell r="H117">
            <v>0</v>
          </cell>
          <cell r="I117">
            <v>7</v>
          </cell>
        </row>
        <row r="118">
          <cell r="E118">
            <v>25</v>
          </cell>
          <cell r="F118">
            <v>13</v>
          </cell>
          <cell r="G118">
            <v>17</v>
          </cell>
          <cell r="H118">
            <v>14</v>
          </cell>
          <cell r="I118">
            <v>26</v>
          </cell>
        </row>
        <row r="119">
          <cell r="E119">
            <v>30</v>
          </cell>
          <cell r="F119">
            <v>20</v>
          </cell>
          <cell r="G119">
            <v>26</v>
          </cell>
          <cell r="H119">
            <v>26</v>
          </cell>
          <cell r="I119">
            <v>30</v>
          </cell>
        </row>
        <row r="120">
          <cell r="E120">
            <v>23</v>
          </cell>
          <cell r="F120">
            <v>19</v>
          </cell>
          <cell r="G120">
            <v>29</v>
          </cell>
          <cell r="H120">
            <v>24</v>
          </cell>
          <cell r="I120">
            <v>25</v>
          </cell>
        </row>
        <row r="121">
          <cell r="E121">
            <v>26</v>
          </cell>
          <cell r="F121">
            <v>19</v>
          </cell>
          <cell r="G121">
            <v>29</v>
          </cell>
          <cell r="H121">
            <v>27</v>
          </cell>
          <cell r="I121">
            <v>23</v>
          </cell>
        </row>
        <row r="122">
          <cell r="E122">
            <v>14</v>
          </cell>
          <cell r="F122">
            <v>7</v>
          </cell>
          <cell r="G122">
            <v>16</v>
          </cell>
          <cell r="H122">
            <v>15</v>
          </cell>
          <cell r="I122">
            <v>12</v>
          </cell>
        </row>
        <row r="123">
          <cell r="E123">
            <v>20</v>
          </cell>
          <cell r="F123">
            <v>13</v>
          </cell>
          <cell r="G123">
            <v>17</v>
          </cell>
          <cell r="H123">
            <v>14</v>
          </cell>
          <cell r="I123">
            <v>15</v>
          </cell>
        </row>
        <row r="124">
          <cell r="E124">
            <v>26</v>
          </cell>
          <cell r="F124">
            <v>20</v>
          </cell>
          <cell r="G124">
            <v>27</v>
          </cell>
          <cell r="H124">
            <v>24</v>
          </cell>
          <cell r="I124">
            <v>23</v>
          </cell>
        </row>
        <row r="125">
          <cell r="E125">
            <v>23</v>
          </cell>
          <cell r="F125">
            <v>18</v>
          </cell>
          <cell r="G125">
            <v>24</v>
          </cell>
          <cell r="H125">
            <v>22</v>
          </cell>
          <cell r="I125">
            <v>24</v>
          </cell>
        </row>
        <row r="126">
          <cell r="E126">
            <v>24</v>
          </cell>
          <cell r="F126">
            <v>22</v>
          </cell>
          <cell r="G126">
            <v>25</v>
          </cell>
          <cell r="H126">
            <v>23</v>
          </cell>
          <cell r="I126">
            <v>26</v>
          </cell>
        </row>
        <row r="127">
          <cell r="E127">
            <v>28</v>
          </cell>
          <cell r="F127">
            <v>27</v>
          </cell>
          <cell r="G127">
            <v>31</v>
          </cell>
          <cell r="H127">
            <v>28</v>
          </cell>
          <cell r="I127">
            <v>28</v>
          </cell>
        </row>
        <row r="128">
          <cell r="E128">
            <v>32</v>
          </cell>
          <cell r="F128">
            <v>29</v>
          </cell>
          <cell r="G128">
            <v>31</v>
          </cell>
          <cell r="H128">
            <v>28</v>
          </cell>
          <cell r="I128">
            <v>31</v>
          </cell>
        </row>
        <row r="129">
          <cell r="E129">
            <v>32</v>
          </cell>
          <cell r="F129">
            <v>29</v>
          </cell>
          <cell r="G129">
            <v>32</v>
          </cell>
          <cell r="H129">
            <v>30</v>
          </cell>
          <cell r="I129">
            <v>28</v>
          </cell>
        </row>
        <row r="130">
          <cell r="E130">
            <v>22</v>
          </cell>
          <cell r="F130">
            <v>28</v>
          </cell>
          <cell r="G130">
            <v>25</v>
          </cell>
          <cell r="H130">
            <v>20</v>
          </cell>
          <cell r="I130">
            <v>20</v>
          </cell>
        </row>
        <row r="131">
          <cell r="E131">
            <v>18</v>
          </cell>
          <cell r="F131">
            <v>21</v>
          </cell>
          <cell r="G131">
            <v>22</v>
          </cell>
          <cell r="H131">
            <v>18</v>
          </cell>
          <cell r="I131">
            <v>14</v>
          </cell>
        </row>
        <row r="132">
          <cell r="E132">
            <v>15</v>
          </cell>
          <cell r="F132">
            <v>23</v>
          </cell>
          <cell r="G132">
            <v>19</v>
          </cell>
          <cell r="H132">
            <v>17</v>
          </cell>
          <cell r="I132">
            <v>15</v>
          </cell>
        </row>
        <row r="133">
          <cell r="E133">
            <v>20</v>
          </cell>
          <cell r="F133">
            <v>16</v>
          </cell>
          <cell r="G133">
            <v>20</v>
          </cell>
          <cell r="H133">
            <v>18</v>
          </cell>
          <cell r="I133">
            <v>22</v>
          </cell>
        </row>
        <row r="134">
          <cell r="E134">
            <v>31</v>
          </cell>
          <cell r="F134">
            <v>28</v>
          </cell>
          <cell r="G134">
            <v>33</v>
          </cell>
          <cell r="H134">
            <v>31</v>
          </cell>
          <cell r="I134">
            <v>29</v>
          </cell>
        </row>
        <row r="135">
          <cell r="E135">
            <v>32</v>
          </cell>
          <cell r="F135">
            <v>29</v>
          </cell>
          <cell r="G135">
            <v>35</v>
          </cell>
          <cell r="H135">
            <v>33</v>
          </cell>
          <cell r="I135">
            <v>30</v>
          </cell>
        </row>
        <row r="136">
          <cell r="E136">
            <v>31</v>
          </cell>
          <cell r="F136">
            <v>27</v>
          </cell>
          <cell r="G136">
            <v>37</v>
          </cell>
          <cell r="H136">
            <v>33</v>
          </cell>
          <cell r="I136">
            <v>27</v>
          </cell>
        </row>
        <row r="137">
          <cell r="E137">
            <v>31</v>
          </cell>
          <cell r="F137">
            <v>27</v>
          </cell>
          <cell r="G137">
            <v>34</v>
          </cell>
          <cell r="H137">
            <v>31</v>
          </cell>
          <cell r="I137">
            <v>28</v>
          </cell>
        </row>
        <row r="138">
          <cell r="E138">
            <v>29</v>
          </cell>
          <cell r="F138">
            <v>25</v>
          </cell>
          <cell r="G138">
            <v>34</v>
          </cell>
          <cell r="H138">
            <v>30</v>
          </cell>
          <cell r="I138">
            <v>28</v>
          </cell>
        </row>
        <row r="139">
          <cell r="E139">
            <v>22</v>
          </cell>
          <cell r="F139">
            <v>17</v>
          </cell>
          <cell r="G139">
            <v>20</v>
          </cell>
          <cell r="H139">
            <v>21</v>
          </cell>
          <cell r="I139">
            <v>17</v>
          </cell>
        </row>
        <row r="140">
          <cell r="E140">
            <v>14</v>
          </cell>
          <cell r="F140">
            <v>10</v>
          </cell>
          <cell r="G140">
            <v>11</v>
          </cell>
          <cell r="H140">
            <v>10</v>
          </cell>
          <cell r="I140">
            <v>15</v>
          </cell>
        </row>
        <row r="141">
          <cell r="E141">
            <v>22</v>
          </cell>
          <cell r="F141">
            <v>16</v>
          </cell>
          <cell r="G141">
            <v>16</v>
          </cell>
          <cell r="H141">
            <v>16</v>
          </cell>
          <cell r="I141">
            <v>21</v>
          </cell>
        </row>
        <row r="142">
          <cell r="E142">
            <v>21</v>
          </cell>
          <cell r="F142">
            <v>22</v>
          </cell>
          <cell r="G142">
            <v>28</v>
          </cell>
          <cell r="H142">
            <v>25</v>
          </cell>
          <cell r="I142">
            <v>22</v>
          </cell>
        </row>
        <row r="143">
          <cell r="E143">
            <v>18</v>
          </cell>
          <cell r="F143">
            <v>22</v>
          </cell>
          <cell r="G143">
            <v>23</v>
          </cell>
          <cell r="H143">
            <v>20</v>
          </cell>
          <cell r="I143">
            <v>16</v>
          </cell>
        </row>
        <row r="144">
          <cell r="E144">
            <v>20</v>
          </cell>
          <cell r="F144">
            <v>12</v>
          </cell>
          <cell r="G144">
            <v>16</v>
          </cell>
          <cell r="H144">
            <v>15</v>
          </cell>
          <cell r="I144">
            <v>19</v>
          </cell>
        </row>
        <row r="145">
          <cell r="E145">
            <v>28</v>
          </cell>
          <cell r="F145">
            <v>21</v>
          </cell>
          <cell r="G145">
            <v>25</v>
          </cell>
          <cell r="H145">
            <v>23</v>
          </cell>
          <cell r="I145">
            <v>28</v>
          </cell>
        </row>
        <row r="146">
          <cell r="E146">
            <v>29</v>
          </cell>
          <cell r="F146">
            <v>26</v>
          </cell>
          <cell r="G146">
            <v>32</v>
          </cell>
          <cell r="H146">
            <v>28</v>
          </cell>
          <cell r="I146">
            <v>32</v>
          </cell>
        </row>
        <row r="147">
          <cell r="E147">
            <v>34</v>
          </cell>
          <cell r="F147">
            <v>29</v>
          </cell>
          <cell r="G147">
            <v>35</v>
          </cell>
          <cell r="H147">
            <v>32</v>
          </cell>
          <cell r="I147">
            <v>33</v>
          </cell>
        </row>
        <row r="148">
          <cell r="E148">
            <v>41</v>
          </cell>
          <cell r="F148">
            <v>36</v>
          </cell>
          <cell r="G148">
            <v>42</v>
          </cell>
          <cell r="H148">
            <v>40</v>
          </cell>
          <cell r="I148">
            <v>39</v>
          </cell>
        </row>
        <row r="149">
          <cell r="E149">
            <v>33</v>
          </cell>
          <cell r="F149">
            <v>33</v>
          </cell>
          <cell r="G149">
            <v>36</v>
          </cell>
          <cell r="H149">
            <v>33</v>
          </cell>
          <cell r="I149">
            <v>35</v>
          </cell>
        </row>
        <row r="150">
          <cell r="E150">
            <v>28</v>
          </cell>
          <cell r="F150">
            <v>24</v>
          </cell>
          <cell r="G150">
            <v>29</v>
          </cell>
          <cell r="H150">
            <v>28</v>
          </cell>
          <cell r="I150">
            <v>27</v>
          </cell>
        </row>
        <row r="151">
          <cell r="E151">
            <v>14</v>
          </cell>
          <cell r="F151">
            <v>11</v>
          </cell>
          <cell r="G151">
            <v>15</v>
          </cell>
          <cell r="H151">
            <v>14</v>
          </cell>
          <cell r="I151">
            <v>13</v>
          </cell>
        </row>
        <row r="152">
          <cell r="E152">
            <v>28</v>
          </cell>
          <cell r="F152">
            <v>19</v>
          </cell>
          <cell r="G152">
            <v>23</v>
          </cell>
          <cell r="H152">
            <v>22</v>
          </cell>
          <cell r="I152">
            <v>29</v>
          </cell>
        </row>
        <row r="153">
          <cell r="E153">
            <v>43</v>
          </cell>
          <cell r="F153">
            <v>38</v>
          </cell>
          <cell r="G153">
            <v>45</v>
          </cell>
          <cell r="H153">
            <v>43</v>
          </cell>
          <cell r="I153">
            <v>41</v>
          </cell>
        </row>
        <row r="154">
          <cell r="E154">
            <v>35</v>
          </cell>
          <cell r="F154">
            <v>32</v>
          </cell>
          <cell r="G154">
            <v>38</v>
          </cell>
          <cell r="H154">
            <v>36</v>
          </cell>
          <cell r="I154">
            <v>35</v>
          </cell>
        </row>
        <row r="155">
          <cell r="E155">
            <v>50</v>
          </cell>
          <cell r="F155">
            <v>48</v>
          </cell>
          <cell r="G155">
            <v>53</v>
          </cell>
          <cell r="H155">
            <v>52</v>
          </cell>
          <cell r="I155">
            <v>49</v>
          </cell>
        </row>
        <row r="156">
          <cell r="E156">
            <v>50</v>
          </cell>
          <cell r="F156">
            <v>48</v>
          </cell>
          <cell r="G156">
            <v>52</v>
          </cell>
          <cell r="H156">
            <v>50</v>
          </cell>
          <cell r="I156">
            <v>50</v>
          </cell>
        </row>
        <row r="157">
          <cell r="E157">
            <v>44</v>
          </cell>
          <cell r="F157">
            <v>39</v>
          </cell>
          <cell r="G157">
            <v>47</v>
          </cell>
          <cell r="H157">
            <v>45</v>
          </cell>
          <cell r="I157">
            <v>45</v>
          </cell>
        </row>
        <row r="158">
          <cell r="E158">
            <v>47</v>
          </cell>
          <cell r="F158">
            <v>42</v>
          </cell>
          <cell r="G158">
            <v>49</v>
          </cell>
          <cell r="H158">
            <v>47</v>
          </cell>
          <cell r="I158">
            <v>45</v>
          </cell>
        </row>
        <row r="159">
          <cell r="E159">
            <v>32</v>
          </cell>
          <cell r="F159">
            <v>29</v>
          </cell>
          <cell r="G159">
            <v>33</v>
          </cell>
          <cell r="H159">
            <v>33</v>
          </cell>
          <cell r="I159">
            <v>29</v>
          </cell>
        </row>
        <row r="160">
          <cell r="E160">
            <v>33</v>
          </cell>
          <cell r="F160">
            <v>24</v>
          </cell>
          <cell r="G160">
            <v>29</v>
          </cell>
          <cell r="H160">
            <v>30</v>
          </cell>
          <cell r="I160">
            <v>32</v>
          </cell>
        </row>
        <row r="161">
          <cell r="E161">
            <v>39</v>
          </cell>
          <cell r="F161">
            <v>33</v>
          </cell>
          <cell r="G161">
            <v>38</v>
          </cell>
          <cell r="H161">
            <v>37</v>
          </cell>
          <cell r="I161">
            <v>38</v>
          </cell>
        </row>
        <row r="162">
          <cell r="E162">
            <v>39</v>
          </cell>
          <cell r="F162">
            <v>32</v>
          </cell>
          <cell r="G162">
            <v>38</v>
          </cell>
          <cell r="H162">
            <v>35</v>
          </cell>
          <cell r="I162">
            <v>36</v>
          </cell>
        </row>
        <row r="163">
          <cell r="E163">
            <v>31</v>
          </cell>
          <cell r="F163">
            <v>31</v>
          </cell>
          <cell r="G163">
            <v>36</v>
          </cell>
          <cell r="H163">
            <v>31</v>
          </cell>
          <cell r="I163">
            <v>34</v>
          </cell>
        </row>
        <row r="164">
          <cell r="E164">
            <v>29</v>
          </cell>
          <cell r="F164">
            <v>26</v>
          </cell>
          <cell r="G164">
            <v>32</v>
          </cell>
          <cell r="H164">
            <v>27</v>
          </cell>
          <cell r="I164">
            <v>28</v>
          </cell>
        </row>
        <row r="165">
          <cell r="E165">
            <v>23</v>
          </cell>
          <cell r="F165">
            <v>21</v>
          </cell>
          <cell r="G165">
            <v>23</v>
          </cell>
          <cell r="H165">
            <v>21</v>
          </cell>
          <cell r="I165">
            <v>18</v>
          </cell>
        </row>
        <row r="166">
          <cell r="E166">
            <v>24</v>
          </cell>
          <cell r="F166">
            <v>17</v>
          </cell>
          <cell r="G166">
            <v>25</v>
          </cell>
          <cell r="H166">
            <v>21</v>
          </cell>
          <cell r="I166">
            <v>20</v>
          </cell>
        </row>
        <row r="167">
          <cell r="E167">
            <v>23</v>
          </cell>
          <cell r="F167">
            <v>15</v>
          </cell>
          <cell r="G167">
            <v>25</v>
          </cell>
          <cell r="H167">
            <v>21</v>
          </cell>
          <cell r="I167">
            <v>21</v>
          </cell>
        </row>
        <row r="168">
          <cell r="E168">
            <v>23</v>
          </cell>
          <cell r="F168">
            <v>12</v>
          </cell>
          <cell r="G168">
            <v>21</v>
          </cell>
          <cell r="H168">
            <v>19</v>
          </cell>
          <cell r="I168">
            <v>22</v>
          </cell>
        </row>
        <row r="169">
          <cell r="E169">
            <v>24</v>
          </cell>
          <cell r="F169">
            <v>19</v>
          </cell>
          <cell r="G169">
            <v>24</v>
          </cell>
          <cell r="H169">
            <v>20</v>
          </cell>
          <cell r="I169">
            <v>23</v>
          </cell>
        </row>
        <row r="170">
          <cell r="E170">
            <v>31</v>
          </cell>
          <cell r="F170">
            <v>26</v>
          </cell>
          <cell r="G170">
            <v>33</v>
          </cell>
          <cell r="H170">
            <v>29</v>
          </cell>
          <cell r="I170">
            <v>31</v>
          </cell>
        </row>
        <row r="171">
          <cell r="E171">
            <v>31</v>
          </cell>
          <cell r="F171">
            <v>29</v>
          </cell>
          <cell r="G171">
            <v>32</v>
          </cell>
          <cell r="H171">
            <v>29</v>
          </cell>
          <cell r="I171">
            <v>32</v>
          </cell>
        </row>
        <row r="172">
          <cell r="E172">
            <v>28</v>
          </cell>
          <cell r="F172">
            <v>26</v>
          </cell>
          <cell r="G172">
            <v>36</v>
          </cell>
          <cell r="H172">
            <v>29</v>
          </cell>
          <cell r="I172">
            <v>28</v>
          </cell>
        </row>
        <row r="173">
          <cell r="E173">
            <v>26</v>
          </cell>
          <cell r="F173">
            <v>21</v>
          </cell>
          <cell r="G173">
            <v>27</v>
          </cell>
          <cell r="H173">
            <v>24</v>
          </cell>
          <cell r="I173">
            <v>25</v>
          </cell>
        </row>
        <row r="174">
          <cell r="E174">
            <v>33</v>
          </cell>
          <cell r="F174">
            <v>26</v>
          </cell>
          <cell r="G174">
            <v>33</v>
          </cell>
          <cell r="H174">
            <v>33</v>
          </cell>
          <cell r="I174">
            <v>31</v>
          </cell>
        </row>
        <row r="175">
          <cell r="E175">
            <v>31</v>
          </cell>
          <cell r="F175">
            <v>28</v>
          </cell>
          <cell r="G175">
            <v>39</v>
          </cell>
          <cell r="H175">
            <v>34</v>
          </cell>
          <cell r="I175">
            <v>28</v>
          </cell>
        </row>
        <row r="176">
          <cell r="E176">
            <v>29</v>
          </cell>
          <cell r="F176">
            <v>24</v>
          </cell>
          <cell r="G176">
            <v>40</v>
          </cell>
          <cell r="H176">
            <v>34</v>
          </cell>
          <cell r="I176">
            <v>28</v>
          </cell>
        </row>
        <row r="177">
          <cell r="E177">
            <v>20</v>
          </cell>
          <cell r="F177">
            <v>11</v>
          </cell>
          <cell r="G177">
            <v>22</v>
          </cell>
          <cell r="H177">
            <v>20</v>
          </cell>
          <cell r="I177">
            <v>18</v>
          </cell>
        </row>
        <row r="178">
          <cell r="E178">
            <v>31</v>
          </cell>
          <cell r="F178">
            <v>26</v>
          </cell>
          <cell r="G178">
            <v>36</v>
          </cell>
          <cell r="H178">
            <v>30</v>
          </cell>
          <cell r="I178">
            <v>29</v>
          </cell>
        </row>
        <row r="179">
          <cell r="E179">
            <v>31</v>
          </cell>
          <cell r="F179">
            <v>30</v>
          </cell>
          <cell r="G179">
            <v>35</v>
          </cell>
          <cell r="H179">
            <v>33</v>
          </cell>
          <cell r="I179">
            <v>30</v>
          </cell>
        </row>
        <row r="180">
          <cell r="E180">
            <v>24</v>
          </cell>
          <cell r="F180">
            <v>16</v>
          </cell>
          <cell r="G180">
            <v>24</v>
          </cell>
          <cell r="H180">
            <v>21</v>
          </cell>
          <cell r="I180">
            <v>22</v>
          </cell>
        </row>
        <row r="181">
          <cell r="E181">
            <v>38</v>
          </cell>
          <cell r="F181">
            <v>30</v>
          </cell>
          <cell r="G181">
            <v>32</v>
          </cell>
          <cell r="H181">
            <v>31</v>
          </cell>
          <cell r="I181">
            <v>37</v>
          </cell>
        </row>
        <row r="182">
          <cell r="E182">
            <v>33</v>
          </cell>
          <cell r="F182">
            <v>33</v>
          </cell>
          <cell r="G182">
            <v>36</v>
          </cell>
          <cell r="H182">
            <v>33</v>
          </cell>
          <cell r="I182">
            <v>34</v>
          </cell>
        </row>
        <row r="183">
          <cell r="E183">
            <v>28</v>
          </cell>
          <cell r="F183">
            <v>24</v>
          </cell>
          <cell r="G183">
            <v>25</v>
          </cell>
          <cell r="H183">
            <v>24</v>
          </cell>
          <cell r="I183">
            <v>25</v>
          </cell>
        </row>
        <row r="184">
          <cell r="E184">
            <v>42</v>
          </cell>
          <cell r="F184">
            <v>36</v>
          </cell>
          <cell r="G184">
            <v>42</v>
          </cell>
          <cell r="H184">
            <v>42</v>
          </cell>
          <cell r="I184">
            <v>40</v>
          </cell>
        </row>
        <row r="185">
          <cell r="E185">
            <v>34</v>
          </cell>
          <cell r="F185">
            <v>30</v>
          </cell>
          <cell r="G185">
            <v>39</v>
          </cell>
          <cell r="H185">
            <v>34</v>
          </cell>
          <cell r="I185">
            <v>32</v>
          </cell>
        </row>
        <row r="186">
          <cell r="E186">
            <v>19</v>
          </cell>
          <cell r="F186">
            <v>18</v>
          </cell>
          <cell r="G186">
            <v>19</v>
          </cell>
          <cell r="H186">
            <v>16</v>
          </cell>
          <cell r="I186">
            <v>17</v>
          </cell>
        </row>
        <row r="187">
          <cell r="E187">
            <v>13</v>
          </cell>
          <cell r="F187">
            <v>9</v>
          </cell>
          <cell r="G187">
            <v>13</v>
          </cell>
          <cell r="H187">
            <v>10</v>
          </cell>
          <cell r="I187">
            <v>11</v>
          </cell>
        </row>
        <row r="188">
          <cell r="E188">
            <v>26</v>
          </cell>
          <cell r="F188">
            <v>19</v>
          </cell>
          <cell r="G188">
            <v>26</v>
          </cell>
          <cell r="H188">
            <v>23</v>
          </cell>
          <cell r="I188">
            <v>23</v>
          </cell>
        </row>
        <row r="189">
          <cell r="E189">
            <v>28</v>
          </cell>
          <cell r="F189">
            <v>28</v>
          </cell>
          <cell r="G189">
            <v>37</v>
          </cell>
          <cell r="H189">
            <v>29</v>
          </cell>
          <cell r="I189">
            <v>29</v>
          </cell>
        </row>
        <row r="190">
          <cell r="E190">
            <v>26</v>
          </cell>
          <cell r="F190">
            <v>26</v>
          </cell>
          <cell r="G190">
            <v>32</v>
          </cell>
          <cell r="H190">
            <v>26</v>
          </cell>
          <cell r="I190">
            <v>26</v>
          </cell>
        </row>
        <row r="191">
          <cell r="E191">
            <v>39</v>
          </cell>
          <cell r="F191">
            <v>35</v>
          </cell>
          <cell r="G191">
            <v>38</v>
          </cell>
          <cell r="H191">
            <v>38</v>
          </cell>
          <cell r="I191">
            <v>40</v>
          </cell>
        </row>
        <row r="192">
          <cell r="E192">
            <v>38</v>
          </cell>
          <cell r="F192">
            <v>37</v>
          </cell>
          <cell r="G192">
            <v>42</v>
          </cell>
          <cell r="H192">
            <v>39</v>
          </cell>
          <cell r="I192">
            <v>40</v>
          </cell>
        </row>
        <row r="193">
          <cell r="E193">
            <v>41</v>
          </cell>
          <cell r="F193">
            <v>31</v>
          </cell>
          <cell r="G193">
            <v>43</v>
          </cell>
          <cell r="H193">
            <v>40</v>
          </cell>
          <cell r="I193">
            <v>35</v>
          </cell>
        </row>
        <row r="194">
          <cell r="E194">
            <v>49</v>
          </cell>
          <cell r="F194">
            <v>45</v>
          </cell>
          <cell r="G194">
            <v>52</v>
          </cell>
          <cell r="H194">
            <v>49</v>
          </cell>
          <cell r="I194">
            <v>47</v>
          </cell>
        </row>
        <row r="195">
          <cell r="E195">
            <v>49</v>
          </cell>
          <cell r="F195">
            <v>41</v>
          </cell>
          <cell r="G195">
            <v>52</v>
          </cell>
          <cell r="H195">
            <v>50</v>
          </cell>
          <cell r="I195">
            <v>49</v>
          </cell>
        </row>
        <row r="196">
          <cell r="E196">
            <v>52</v>
          </cell>
          <cell r="F196">
            <v>44</v>
          </cell>
          <cell r="G196">
            <v>55</v>
          </cell>
          <cell r="H196">
            <v>50</v>
          </cell>
          <cell r="I196">
            <v>53</v>
          </cell>
        </row>
        <row r="197">
          <cell r="E197">
            <v>50</v>
          </cell>
          <cell r="F197">
            <v>47</v>
          </cell>
          <cell r="G197">
            <v>54</v>
          </cell>
          <cell r="H197">
            <v>51</v>
          </cell>
          <cell r="I197">
            <v>51</v>
          </cell>
        </row>
        <row r="198">
          <cell r="E198">
            <v>62</v>
          </cell>
          <cell r="F198">
            <v>52</v>
          </cell>
          <cell r="G198">
            <v>65</v>
          </cell>
          <cell r="H198">
            <v>61</v>
          </cell>
          <cell r="I198">
            <v>61</v>
          </cell>
        </row>
        <row r="199">
          <cell r="E199">
            <v>52</v>
          </cell>
          <cell r="F199">
            <v>44</v>
          </cell>
          <cell r="G199">
            <v>61</v>
          </cell>
          <cell r="H199">
            <v>55</v>
          </cell>
          <cell r="I199">
            <v>44</v>
          </cell>
        </row>
        <row r="200">
          <cell r="E200">
            <v>33</v>
          </cell>
          <cell r="F200">
            <v>26</v>
          </cell>
          <cell r="G200">
            <v>34</v>
          </cell>
          <cell r="H200">
            <v>34</v>
          </cell>
          <cell r="I200">
            <v>32</v>
          </cell>
        </row>
        <row r="201">
          <cell r="E201">
            <v>39</v>
          </cell>
          <cell r="F201">
            <v>28</v>
          </cell>
          <cell r="G201">
            <v>32</v>
          </cell>
          <cell r="H201">
            <v>36</v>
          </cell>
          <cell r="I201">
            <v>37</v>
          </cell>
        </row>
        <row r="202">
          <cell r="E202">
            <v>49</v>
          </cell>
          <cell r="F202">
            <v>39</v>
          </cell>
          <cell r="G202">
            <v>48</v>
          </cell>
          <cell r="H202">
            <v>46</v>
          </cell>
          <cell r="I202">
            <v>47</v>
          </cell>
        </row>
        <row r="203">
          <cell r="E203">
            <v>43</v>
          </cell>
          <cell r="F203">
            <v>36</v>
          </cell>
          <cell r="G203">
            <v>48</v>
          </cell>
          <cell r="H203">
            <v>44</v>
          </cell>
          <cell r="I203">
            <v>42</v>
          </cell>
        </row>
        <row r="204">
          <cell r="E204">
            <v>37</v>
          </cell>
          <cell r="F204">
            <v>36</v>
          </cell>
          <cell r="G204">
            <v>36</v>
          </cell>
          <cell r="H204">
            <v>34</v>
          </cell>
          <cell r="I204">
            <v>38</v>
          </cell>
        </row>
        <row r="205">
          <cell r="E205">
            <v>41</v>
          </cell>
          <cell r="F205">
            <v>29</v>
          </cell>
          <cell r="G205">
            <v>41</v>
          </cell>
          <cell r="H205">
            <v>39</v>
          </cell>
          <cell r="I205">
            <v>40</v>
          </cell>
        </row>
        <row r="206">
          <cell r="E206">
            <v>46</v>
          </cell>
          <cell r="F206">
            <v>39</v>
          </cell>
          <cell r="G206">
            <v>50</v>
          </cell>
          <cell r="H206">
            <v>45</v>
          </cell>
          <cell r="I206">
            <v>46</v>
          </cell>
        </row>
        <row r="207">
          <cell r="E207">
            <v>38</v>
          </cell>
          <cell r="F207">
            <v>27</v>
          </cell>
          <cell r="G207">
            <v>40</v>
          </cell>
          <cell r="H207">
            <v>38</v>
          </cell>
          <cell r="I207">
            <v>38</v>
          </cell>
        </row>
        <row r="208">
          <cell r="E208">
            <v>31</v>
          </cell>
          <cell r="F208">
            <v>20</v>
          </cell>
          <cell r="G208">
            <v>29</v>
          </cell>
          <cell r="H208">
            <v>29</v>
          </cell>
          <cell r="I208">
            <v>29</v>
          </cell>
        </row>
        <row r="209">
          <cell r="E209">
            <v>33</v>
          </cell>
          <cell r="F209">
            <v>24</v>
          </cell>
          <cell r="G209">
            <v>34</v>
          </cell>
          <cell r="H209">
            <v>32</v>
          </cell>
          <cell r="I209">
            <v>32</v>
          </cell>
        </row>
        <row r="210">
          <cell r="E210">
            <v>22</v>
          </cell>
          <cell r="F210">
            <v>11</v>
          </cell>
          <cell r="G210">
            <v>21</v>
          </cell>
          <cell r="H210">
            <v>18</v>
          </cell>
          <cell r="I210">
            <v>20</v>
          </cell>
        </row>
        <row r="211">
          <cell r="E211">
            <v>33</v>
          </cell>
          <cell r="F211">
            <v>19</v>
          </cell>
          <cell r="G211">
            <v>27</v>
          </cell>
          <cell r="H211">
            <v>30</v>
          </cell>
          <cell r="I211">
            <v>32</v>
          </cell>
        </row>
        <row r="212">
          <cell r="E212">
            <v>49</v>
          </cell>
          <cell r="F212">
            <v>44</v>
          </cell>
          <cell r="G212">
            <v>48</v>
          </cell>
          <cell r="H212">
            <v>43</v>
          </cell>
          <cell r="I212">
            <v>49</v>
          </cell>
        </row>
        <row r="213">
          <cell r="E213">
            <v>49</v>
          </cell>
          <cell r="F213">
            <v>42</v>
          </cell>
          <cell r="G213">
            <v>53</v>
          </cell>
          <cell r="H213">
            <v>45</v>
          </cell>
          <cell r="I213">
            <v>53</v>
          </cell>
        </row>
        <row r="214">
          <cell r="E214">
            <v>28</v>
          </cell>
          <cell r="F214">
            <v>23</v>
          </cell>
          <cell r="G214">
            <v>32</v>
          </cell>
          <cell r="H214">
            <v>28</v>
          </cell>
          <cell r="I214">
            <v>31</v>
          </cell>
        </row>
        <row r="215">
          <cell r="E215">
            <v>25</v>
          </cell>
          <cell r="F215">
            <v>17</v>
          </cell>
          <cell r="G215">
            <v>24</v>
          </cell>
          <cell r="H215">
            <v>21</v>
          </cell>
          <cell r="I215">
            <v>27</v>
          </cell>
        </row>
        <row r="216">
          <cell r="E216">
            <v>22</v>
          </cell>
          <cell r="F216">
            <v>13</v>
          </cell>
          <cell r="G216">
            <v>18</v>
          </cell>
          <cell r="H216">
            <v>17</v>
          </cell>
          <cell r="I216">
            <v>19</v>
          </cell>
        </row>
        <row r="217">
          <cell r="E217">
            <v>15</v>
          </cell>
          <cell r="F217">
            <v>5</v>
          </cell>
          <cell r="G217">
            <v>12</v>
          </cell>
          <cell r="H217">
            <v>14</v>
          </cell>
          <cell r="I217">
            <v>13</v>
          </cell>
        </row>
        <row r="218">
          <cell r="E218">
            <v>12</v>
          </cell>
          <cell r="F218">
            <v>13</v>
          </cell>
          <cell r="G218">
            <v>10</v>
          </cell>
          <cell r="H218">
            <v>7</v>
          </cell>
          <cell r="I218">
            <v>11</v>
          </cell>
        </row>
        <row r="219">
          <cell r="E219">
            <v>11</v>
          </cell>
          <cell r="F219">
            <v>9</v>
          </cell>
          <cell r="G219">
            <v>13</v>
          </cell>
          <cell r="H219">
            <v>11</v>
          </cell>
          <cell r="I219">
            <v>12</v>
          </cell>
        </row>
        <row r="220">
          <cell r="E220">
            <v>11</v>
          </cell>
          <cell r="F220">
            <v>8</v>
          </cell>
          <cell r="G220">
            <v>12</v>
          </cell>
          <cell r="H220">
            <v>9</v>
          </cell>
          <cell r="I220">
            <v>8</v>
          </cell>
        </row>
        <row r="221">
          <cell r="E221">
            <v>10</v>
          </cell>
          <cell r="F221">
            <v>8</v>
          </cell>
          <cell r="G221">
            <v>11</v>
          </cell>
          <cell r="H221">
            <v>7</v>
          </cell>
          <cell r="I221">
            <v>11</v>
          </cell>
        </row>
        <row r="222">
          <cell r="E222">
            <v>14</v>
          </cell>
          <cell r="F222">
            <v>7</v>
          </cell>
          <cell r="G222">
            <v>12</v>
          </cell>
          <cell r="H222">
            <v>10</v>
          </cell>
          <cell r="I222">
            <v>11</v>
          </cell>
        </row>
        <row r="223">
          <cell r="E223">
            <v>5</v>
          </cell>
          <cell r="F223">
            <v>6</v>
          </cell>
          <cell r="G223">
            <v>5</v>
          </cell>
          <cell r="H223">
            <v>0</v>
          </cell>
          <cell r="I223">
            <v>9</v>
          </cell>
        </row>
        <row r="224">
          <cell r="E224">
            <v>15</v>
          </cell>
          <cell r="F224">
            <v>4</v>
          </cell>
          <cell r="G224">
            <v>15</v>
          </cell>
          <cell r="H224">
            <v>13</v>
          </cell>
          <cell r="I224">
            <v>12</v>
          </cell>
        </row>
        <row r="225">
          <cell r="E225">
            <v>22</v>
          </cell>
          <cell r="F225">
            <v>17</v>
          </cell>
          <cell r="G225">
            <v>28</v>
          </cell>
          <cell r="H225">
            <v>24</v>
          </cell>
          <cell r="I225">
            <v>20</v>
          </cell>
        </row>
        <row r="226">
          <cell r="E226">
            <v>20</v>
          </cell>
          <cell r="F226">
            <v>17</v>
          </cell>
          <cell r="G226">
            <v>22</v>
          </cell>
          <cell r="H226">
            <v>19</v>
          </cell>
          <cell r="I226">
            <v>20</v>
          </cell>
        </row>
        <row r="227">
          <cell r="E227">
            <v>18</v>
          </cell>
          <cell r="F227">
            <v>12</v>
          </cell>
          <cell r="G227">
            <v>19</v>
          </cell>
          <cell r="H227">
            <v>17</v>
          </cell>
          <cell r="I227">
            <v>20</v>
          </cell>
        </row>
        <row r="228">
          <cell r="E228">
            <v>10</v>
          </cell>
          <cell r="F228">
            <v>11</v>
          </cell>
          <cell r="G228">
            <v>13</v>
          </cell>
          <cell r="H228">
            <v>9</v>
          </cell>
          <cell r="I228">
            <v>13</v>
          </cell>
        </row>
        <row r="229">
          <cell r="E229">
            <v>11</v>
          </cell>
          <cell r="F229">
            <v>9</v>
          </cell>
          <cell r="G229">
            <v>16</v>
          </cell>
          <cell r="H229">
            <v>12</v>
          </cell>
          <cell r="I229">
            <v>11</v>
          </cell>
        </row>
        <row r="230">
          <cell r="E230">
            <v>13</v>
          </cell>
          <cell r="F230">
            <v>6</v>
          </cell>
          <cell r="G230">
            <v>20</v>
          </cell>
          <cell r="H230">
            <v>15</v>
          </cell>
          <cell r="I230">
            <v>11</v>
          </cell>
        </row>
        <row r="231">
          <cell r="E231">
            <v>20</v>
          </cell>
          <cell r="F231">
            <v>3</v>
          </cell>
          <cell r="G231">
            <v>25</v>
          </cell>
          <cell r="H231">
            <v>22</v>
          </cell>
          <cell r="I231">
            <v>11</v>
          </cell>
        </row>
        <row r="232">
          <cell r="E232">
            <v>6</v>
          </cell>
          <cell r="F232">
            <v>0</v>
          </cell>
          <cell r="G232">
            <v>4</v>
          </cell>
          <cell r="H232">
            <v>3</v>
          </cell>
          <cell r="I232">
            <v>0</v>
          </cell>
        </row>
        <row r="233">
          <cell r="E233">
            <v>21</v>
          </cell>
          <cell r="F233">
            <v>11</v>
          </cell>
          <cell r="G233">
            <v>15</v>
          </cell>
          <cell r="H233">
            <v>15</v>
          </cell>
          <cell r="I233">
            <v>22</v>
          </cell>
        </row>
        <row r="234">
          <cell r="E234">
            <v>28</v>
          </cell>
          <cell r="F234">
            <v>23</v>
          </cell>
          <cell r="G234">
            <v>31</v>
          </cell>
          <cell r="H234">
            <v>29</v>
          </cell>
          <cell r="I234">
            <v>29</v>
          </cell>
        </row>
        <row r="235">
          <cell r="E235">
            <v>30</v>
          </cell>
          <cell r="F235">
            <v>27</v>
          </cell>
          <cell r="G235">
            <v>35</v>
          </cell>
          <cell r="H235">
            <v>32</v>
          </cell>
          <cell r="I235">
            <v>29</v>
          </cell>
        </row>
        <row r="236">
          <cell r="E236">
            <v>20</v>
          </cell>
          <cell r="F236">
            <v>21</v>
          </cell>
          <cell r="G236">
            <v>25</v>
          </cell>
          <cell r="H236">
            <v>22</v>
          </cell>
          <cell r="I236">
            <v>19</v>
          </cell>
        </row>
        <row r="237">
          <cell r="E237">
            <v>10</v>
          </cell>
          <cell r="F237">
            <v>7</v>
          </cell>
          <cell r="G237">
            <v>13</v>
          </cell>
          <cell r="H237">
            <v>10</v>
          </cell>
          <cell r="I237">
            <v>11</v>
          </cell>
        </row>
        <row r="238">
          <cell r="E238">
            <v>5</v>
          </cell>
          <cell r="F238">
            <v>4</v>
          </cell>
          <cell r="G238">
            <v>7</v>
          </cell>
          <cell r="H238">
            <v>3</v>
          </cell>
          <cell r="I238">
            <v>0</v>
          </cell>
        </row>
        <row r="239">
          <cell r="E239">
            <v>8</v>
          </cell>
          <cell r="F239">
            <v>2</v>
          </cell>
          <cell r="G239">
            <v>15</v>
          </cell>
          <cell r="H239">
            <v>8</v>
          </cell>
          <cell r="I239">
            <v>5</v>
          </cell>
        </row>
        <row r="240">
          <cell r="E240">
            <v>0</v>
          </cell>
          <cell r="F240">
            <v>0</v>
          </cell>
          <cell r="G240">
            <v>3</v>
          </cell>
          <cell r="H240">
            <v>0</v>
          </cell>
          <cell r="I240">
            <v>0</v>
          </cell>
        </row>
        <row r="241">
          <cell r="E241">
            <v>8</v>
          </cell>
          <cell r="F241">
            <v>0</v>
          </cell>
          <cell r="G241">
            <v>8</v>
          </cell>
          <cell r="H241">
            <v>6</v>
          </cell>
          <cell r="I241">
            <v>6</v>
          </cell>
        </row>
        <row r="242">
          <cell r="E242">
            <v>17</v>
          </cell>
          <cell r="F242">
            <v>14</v>
          </cell>
          <cell r="G242">
            <v>20</v>
          </cell>
          <cell r="H242">
            <v>17</v>
          </cell>
          <cell r="I242">
            <v>16</v>
          </cell>
        </row>
        <row r="243">
          <cell r="E243">
            <v>15</v>
          </cell>
          <cell r="F243">
            <v>13</v>
          </cell>
          <cell r="G243">
            <v>16</v>
          </cell>
          <cell r="H243">
            <v>14</v>
          </cell>
          <cell r="I243">
            <v>15</v>
          </cell>
        </row>
        <row r="244">
          <cell r="E244">
            <v>6</v>
          </cell>
          <cell r="F244">
            <v>3</v>
          </cell>
          <cell r="G244">
            <v>6</v>
          </cell>
          <cell r="H244">
            <v>2</v>
          </cell>
          <cell r="I244">
            <v>6</v>
          </cell>
        </row>
        <row r="245">
          <cell r="E245">
            <v>0</v>
          </cell>
          <cell r="F245">
            <v>0</v>
          </cell>
          <cell r="G245">
            <v>1</v>
          </cell>
          <cell r="H245">
            <v>0</v>
          </cell>
          <cell r="I245">
            <v>0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E248">
            <v>7</v>
          </cell>
          <cell r="F248">
            <v>3</v>
          </cell>
          <cell r="G248">
            <v>5</v>
          </cell>
          <cell r="H248">
            <v>0</v>
          </cell>
          <cell r="I248">
            <v>7</v>
          </cell>
        </row>
        <row r="249">
          <cell r="E249">
            <v>10</v>
          </cell>
          <cell r="F249">
            <v>7</v>
          </cell>
          <cell r="G249">
            <v>13</v>
          </cell>
          <cell r="H249">
            <v>9</v>
          </cell>
          <cell r="I249">
            <v>6</v>
          </cell>
        </row>
        <row r="250">
          <cell r="E250">
            <v>4</v>
          </cell>
          <cell r="F250">
            <v>0</v>
          </cell>
          <cell r="G250">
            <v>6</v>
          </cell>
          <cell r="H250">
            <v>1</v>
          </cell>
          <cell r="I250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E252">
            <v>4</v>
          </cell>
          <cell r="F252">
            <v>1</v>
          </cell>
          <cell r="G252">
            <v>7</v>
          </cell>
          <cell r="H252">
            <v>6</v>
          </cell>
          <cell r="I252">
            <v>6</v>
          </cell>
        </row>
        <row r="253">
          <cell r="E253">
            <v>3</v>
          </cell>
          <cell r="F253">
            <v>0</v>
          </cell>
          <cell r="G253">
            <v>9</v>
          </cell>
          <cell r="H253">
            <v>5</v>
          </cell>
          <cell r="I253">
            <v>0</v>
          </cell>
        </row>
        <row r="254">
          <cell r="E254">
            <v>0</v>
          </cell>
          <cell r="F254">
            <v>1</v>
          </cell>
          <cell r="G254">
            <v>1</v>
          </cell>
          <cell r="H254">
            <v>0</v>
          </cell>
          <cell r="I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E257">
            <v>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E258">
            <v>11</v>
          </cell>
          <cell r="F258">
            <v>8</v>
          </cell>
          <cell r="G258">
            <v>9</v>
          </cell>
          <cell r="H258">
            <v>8</v>
          </cell>
          <cell r="I258">
            <v>11</v>
          </cell>
        </row>
        <row r="259">
          <cell r="E259">
            <v>10</v>
          </cell>
          <cell r="F259">
            <v>9</v>
          </cell>
          <cell r="G259">
            <v>12</v>
          </cell>
          <cell r="H259">
            <v>8</v>
          </cell>
          <cell r="I259">
            <v>8</v>
          </cell>
        </row>
        <row r="260">
          <cell r="E260">
            <v>16</v>
          </cell>
          <cell r="F260">
            <v>5</v>
          </cell>
          <cell r="G260">
            <v>14</v>
          </cell>
          <cell r="H260">
            <v>12</v>
          </cell>
          <cell r="I260">
            <v>11</v>
          </cell>
        </row>
        <row r="261">
          <cell r="E261">
            <v>15</v>
          </cell>
          <cell r="F261">
            <v>9</v>
          </cell>
          <cell r="G261">
            <v>19</v>
          </cell>
          <cell r="H261">
            <v>14</v>
          </cell>
          <cell r="I261">
            <v>12</v>
          </cell>
        </row>
        <row r="262">
          <cell r="E262">
            <v>15</v>
          </cell>
          <cell r="F262">
            <v>11</v>
          </cell>
          <cell r="G262">
            <v>19</v>
          </cell>
          <cell r="H262">
            <v>13</v>
          </cell>
          <cell r="I262">
            <v>12</v>
          </cell>
        </row>
        <row r="263">
          <cell r="E263">
            <v>3</v>
          </cell>
          <cell r="F263">
            <v>0</v>
          </cell>
          <cell r="G263">
            <v>12</v>
          </cell>
          <cell r="H263">
            <v>10</v>
          </cell>
          <cell r="I263">
            <v>0</v>
          </cell>
        </row>
        <row r="264">
          <cell r="E264">
            <v>9</v>
          </cell>
          <cell r="F264">
            <v>10</v>
          </cell>
          <cell r="G264">
            <v>13</v>
          </cell>
          <cell r="H264">
            <v>9</v>
          </cell>
          <cell r="I264">
            <v>7</v>
          </cell>
        </row>
        <row r="265">
          <cell r="E265">
            <v>10</v>
          </cell>
          <cell r="F265">
            <v>9</v>
          </cell>
          <cell r="G265">
            <v>16</v>
          </cell>
          <cell r="H265">
            <v>10</v>
          </cell>
          <cell r="I265">
            <v>10</v>
          </cell>
        </row>
        <row r="266">
          <cell r="E266">
            <v>10</v>
          </cell>
          <cell r="F266">
            <v>9</v>
          </cell>
          <cell r="G266">
            <v>15</v>
          </cell>
          <cell r="H266">
            <v>10</v>
          </cell>
          <cell r="I266">
            <v>10</v>
          </cell>
        </row>
        <row r="267">
          <cell r="E267">
            <v>7</v>
          </cell>
          <cell r="F267">
            <v>5</v>
          </cell>
          <cell r="G267">
            <v>11</v>
          </cell>
          <cell r="H267">
            <v>7</v>
          </cell>
          <cell r="I267">
            <v>7</v>
          </cell>
        </row>
        <row r="268">
          <cell r="E268">
            <v>7</v>
          </cell>
          <cell r="F268">
            <v>4</v>
          </cell>
          <cell r="G268">
            <v>10</v>
          </cell>
          <cell r="H268">
            <v>8</v>
          </cell>
          <cell r="I268">
            <v>6</v>
          </cell>
        </row>
        <row r="269">
          <cell r="E269">
            <v>8</v>
          </cell>
          <cell r="F269">
            <v>7</v>
          </cell>
          <cell r="G269">
            <v>9</v>
          </cell>
          <cell r="H269">
            <v>6</v>
          </cell>
          <cell r="I269">
            <v>10</v>
          </cell>
        </row>
        <row r="270">
          <cell r="E270">
            <v>4</v>
          </cell>
          <cell r="F270">
            <v>2</v>
          </cell>
          <cell r="G270">
            <v>6</v>
          </cell>
          <cell r="H270">
            <v>0</v>
          </cell>
          <cell r="I270">
            <v>5</v>
          </cell>
        </row>
        <row r="271">
          <cell r="E271">
            <v>0</v>
          </cell>
          <cell r="F271">
            <v>0</v>
          </cell>
          <cell r="G271">
            <v>3</v>
          </cell>
          <cell r="H271">
            <v>0</v>
          </cell>
          <cell r="I271">
            <v>0</v>
          </cell>
        </row>
        <row r="272"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E280">
            <v>4</v>
          </cell>
          <cell r="F280">
            <v>0</v>
          </cell>
          <cell r="G280">
            <v>2</v>
          </cell>
          <cell r="H280">
            <v>0</v>
          </cell>
          <cell r="I280">
            <v>5</v>
          </cell>
        </row>
        <row r="281">
          <cell r="E281">
            <v>5</v>
          </cell>
          <cell r="F281">
            <v>0</v>
          </cell>
          <cell r="G281">
            <v>7</v>
          </cell>
          <cell r="H281">
            <v>3</v>
          </cell>
          <cell r="I281">
            <v>3</v>
          </cell>
        </row>
        <row r="282">
          <cell r="E282">
            <v>1</v>
          </cell>
          <cell r="F282">
            <v>0</v>
          </cell>
          <cell r="G282">
            <v>3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E287">
            <v>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E288">
            <v>10</v>
          </cell>
          <cell r="F288">
            <v>0</v>
          </cell>
          <cell r="G288">
            <v>7</v>
          </cell>
          <cell r="H288">
            <v>5</v>
          </cell>
          <cell r="I288">
            <v>10</v>
          </cell>
        </row>
        <row r="289">
          <cell r="E289">
            <v>12</v>
          </cell>
          <cell r="F289">
            <v>10</v>
          </cell>
          <cell r="G289">
            <v>14</v>
          </cell>
          <cell r="H289">
            <v>8</v>
          </cell>
          <cell r="I289">
            <v>11</v>
          </cell>
        </row>
        <row r="290">
          <cell r="E290">
            <v>5</v>
          </cell>
          <cell r="F290">
            <v>5</v>
          </cell>
          <cell r="G290">
            <v>7</v>
          </cell>
          <cell r="H290">
            <v>2</v>
          </cell>
          <cell r="I290">
            <v>6</v>
          </cell>
        </row>
        <row r="291">
          <cell r="E291">
            <v>0</v>
          </cell>
          <cell r="F291">
            <v>0</v>
          </cell>
          <cell r="G291">
            <v>1</v>
          </cell>
          <cell r="H291">
            <v>0</v>
          </cell>
          <cell r="I291">
            <v>0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E299">
            <v>3</v>
          </cell>
          <cell r="F299">
            <v>0</v>
          </cell>
          <cell r="G299">
            <v>0</v>
          </cell>
          <cell r="H299">
            <v>0</v>
          </cell>
          <cell r="I299">
            <v>1</v>
          </cell>
        </row>
        <row r="300">
          <cell r="E300">
            <v>3</v>
          </cell>
          <cell r="F300">
            <v>0</v>
          </cell>
          <cell r="G300">
            <v>7</v>
          </cell>
          <cell r="H300">
            <v>4</v>
          </cell>
          <cell r="I300">
            <v>1</v>
          </cell>
        </row>
        <row r="301">
          <cell r="E301">
            <v>3</v>
          </cell>
          <cell r="F301">
            <v>0</v>
          </cell>
          <cell r="G301">
            <v>8</v>
          </cell>
          <cell r="H301">
            <v>2</v>
          </cell>
          <cell r="I301">
            <v>1</v>
          </cell>
        </row>
        <row r="302">
          <cell r="E302">
            <v>1</v>
          </cell>
          <cell r="F302">
            <v>0</v>
          </cell>
          <cell r="G302">
            <v>3</v>
          </cell>
          <cell r="H302">
            <v>0</v>
          </cell>
          <cell r="I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1"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</sheetData>
      <sheetData sheetId="2" refreshError="1"/>
      <sheetData sheetId="3" refreshError="1"/>
      <sheetData sheetId="4">
        <row r="363">
          <cell r="J363">
            <v>4430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C6">
            <v>116000</v>
          </cell>
          <cell r="D6">
            <v>4.1660000000000004</v>
          </cell>
        </row>
        <row r="7">
          <cell r="C7">
            <v>163200</v>
          </cell>
          <cell r="D7">
            <v>4.3099999999999996</v>
          </cell>
        </row>
        <row r="8">
          <cell r="C8">
            <v>196480</v>
          </cell>
          <cell r="D8">
            <v>4.4050000000000002</v>
          </cell>
        </row>
        <row r="9">
          <cell r="C9">
            <v>87880</v>
          </cell>
          <cell r="D9">
            <v>4.3630000000000004</v>
          </cell>
        </row>
        <row r="10">
          <cell r="C10">
            <v>86540</v>
          </cell>
          <cell r="D10">
            <v>4.3150000000000004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G4">
            <v>2.262</v>
          </cell>
          <cell r="H4">
            <v>2.4449999999999998</v>
          </cell>
          <cell r="I4">
            <v>2.4689999999999999</v>
          </cell>
          <cell r="J4">
            <v>2.46</v>
          </cell>
          <cell r="K4">
            <v>2.4249999999999998</v>
          </cell>
          <cell r="L4">
            <v>2.4580000000000002</v>
          </cell>
          <cell r="M4">
            <v>2.5070000000000001</v>
          </cell>
          <cell r="N4">
            <v>2.5579999999999998</v>
          </cell>
          <cell r="O4">
            <v>2.5739999999999998</v>
          </cell>
          <cell r="P4">
            <v>2.5760000000000001</v>
          </cell>
          <cell r="Q4">
            <v>2.6019999999999999</v>
          </cell>
          <cell r="R4">
            <v>2.6909999999999998</v>
          </cell>
          <cell r="S4">
            <v>2.85</v>
          </cell>
          <cell r="T4">
            <v>2.9580000000000002</v>
          </cell>
          <cell r="U4">
            <v>2.9510000000000001</v>
          </cell>
          <cell r="V4">
            <v>2.9009999999999998</v>
          </cell>
          <cell r="W4">
            <v>2.7120000000000002</v>
          </cell>
          <cell r="X4">
            <v>2.7120000000000002</v>
          </cell>
          <cell r="Y4">
            <v>2.754</v>
          </cell>
          <cell r="Z4">
            <v>2.8</v>
          </cell>
          <cell r="AA4">
            <v>2.8149999999999999</v>
          </cell>
          <cell r="AB4">
            <v>2.81</v>
          </cell>
          <cell r="AC4">
            <v>2.835</v>
          </cell>
          <cell r="AD4">
            <v>2.919</v>
          </cell>
          <cell r="AE4">
            <v>3.069</v>
          </cell>
          <cell r="AF4">
            <v>3.1640000000000001</v>
          </cell>
          <cell r="AG4">
            <v>3.1509999999999998</v>
          </cell>
          <cell r="AH4">
            <v>3.0920000000000001</v>
          </cell>
          <cell r="AI4">
            <v>2.8069999999999999</v>
          </cell>
          <cell r="AJ4">
            <v>2.8039999999999998</v>
          </cell>
          <cell r="AK4">
            <v>2.8359999999999999</v>
          </cell>
          <cell r="AL4">
            <v>2.871</v>
          </cell>
          <cell r="AM4">
            <v>2.8839999999999999</v>
          </cell>
          <cell r="AN4">
            <v>2.879</v>
          </cell>
          <cell r="AO4">
            <v>2.9049999999999998</v>
          </cell>
          <cell r="AP4">
            <v>2.9849999999999999</v>
          </cell>
          <cell r="AQ4">
            <v>3.14</v>
          </cell>
          <cell r="AR4">
            <v>3.2519999999999998</v>
          </cell>
          <cell r="AS4">
            <v>3.2389999999999999</v>
          </cell>
          <cell r="AT4">
            <v>3.18</v>
          </cell>
          <cell r="AU4">
            <v>2.895</v>
          </cell>
          <cell r="AV4">
            <v>2.891</v>
          </cell>
          <cell r="AW4">
            <v>2.923</v>
          </cell>
          <cell r="AX4">
            <v>2.9580000000000002</v>
          </cell>
          <cell r="AY4">
            <v>2.9729999999999999</v>
          </cell>
          <cell r="AZ4">
            <v>2.968</v>
          </cell>
          <cell r="BA4">
            <v>2.996</v>
          </cell>
          <cell r="BB4">
            <v>3.0760000000000001</v>
          </cell>
          <cell r="BC4">
            <v>3.246</v>
          </cell>
          <cell r="BD4">
            <v>3.371</v>
          </cell>
          <cell r="BE4">
            <v>3.3559999999999999</v>
          </cell>
          <cell r="BF4">
            <v>3.2959999999999998</v>
          </cell>
          <cell r="BG4">
            <v>3.016</v>
          </cell>
          <cell r="BH4">
            <v>3.012</v>
          </cell>
          <cell r="BI4">
            <v>3.0419999999999998</v>
          </cell>
          <cell r="BJ4">
            <v>3.0739999999999998</v>
          </cell>
          <cell r="BK4">
            <v>3.0979999999999999</v>
          </cell>
          <cell r="BL4">
            <v>3.0939999999999999</v>
          </cell>
          <cell r="BM4">
            <v>3.1259999999999999</v>
          </cell>
          <cell r="BN4">
            <v>3.206</v>
          </cell>
          <cell r="BO4">
            <v>3.3809999999999998</v>
          </cell>
          <cell r="BP4">
            <v>3.5089999999999999</v>
          </cell>
          <cell r="BQ4">
            <v>3.4940000000000002</v>
          </cell>
          <cell r="BR4">
            <v>3.4340000000000002</v>
          </cell>
          <cell r="BS4">
            <v>3.1589999999999998</v>
          </cell>
          <cell r="BT4">
            <v>3.1539999999999999</v>
          </cell>
          <cell r="BU4">
            <v>3.1840000000000002</v>
          </cell>
          <cell r="BV4">
            <v>3.2210000000000001</v>
          </cell>
          <cell r="BW4">
            <v>3.2509999999999999</v>
          </cell>
          <cell r="BX4">
            <v>3.2480000000000002</v>
          </cell>
          <cell r="BY4">
            <v>3.2839999999999998</v>
          </cell>
          <cell r="BZ4">
            <v>3.3639999999999999</v>
          </cell>
        </row>
      </sheetData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 bal current"/>
      <sheetName val="$ Bal History"/>
      <sheetName val="Mcf Bal current"/>
    </sheetNames>
    <sheetDataSet>
      <sheetData sheetId="0">
        <row r="124">
          <cell r="H124">
            <v>5722192.6600000001</v>
          </cell>
          <cell r="I124">
            <v>8950357.0199999996</v>
          </cell>
          <cell r="J124">
            <v>9567064.2699999996</v>
          </cell>
          <cell r="K124">
            <v>11756285.48</v>
          </cell>
          <cell r="L124">
            <v>13932393.59</v>
          </cell>
          <cell r="M124">
            <v>16273165.32</v>
          </cell>
          <cell r="N124">
            <v>18329817.68</v>
          </cell>
        </row>
        <row r="136">
          <cell r="I136">
            <v>-7237769.2699999996</v>
          </cell>
          <cell r="J136">
            <v>-8410629.2300000004</v>
          </cell>
          <cell r="K136">
            <v>-5414557.9000000004</v>
          </cell>
          <cell r="L136">
            <v>-4758072.25</v>
          </cell>
          <cell r="M136">
            <v>-3390117.4399999995</v>
          </cell>
          <cell r="N136">
            <v>-1755700.7100000009</v>
          </cell>
        </row>
        <row r="148">
          <cell r="I148">
            <v>1712587.7499999995</v>
          </cell>
          <cell r="J148">
            <v>1156435.0399999993</v>
          </cell>
          <cell r="K148">
            <v>6341727.5800000001</v>
          </cell>
          <cell r="L148">
            <v>9174321.3399999999</v>
          </cell>
          <cell r="M148">
            <v>12883047.880000001</v>
          </cell>
          <cell r="N148">
            <v>16574116.969999999</v>
          </cell>
        </row>
      </sheetData>
      <sheetData sheetId="1" refreshError="1"/>
      <sheetData sheetId="2">
        <row r="108">
          <cell r="I108">
            <v>2203209</v>
          </cell>
          <cell r="J108">
            <v>3060109</v>
          </cell>
          <cell r="K108">
            <v>3885461</v>
          </cell>
          <cell r="L108">
            <v>4717635</v>
          </cell>
          <cell r="M108">
            <v>5575224</v>
          </cell>
          <cell r="N108">
            <v>6408271</v>
          </cell>
        </row>
        <row r="110">
          <cell r="I110">
            <v>2919274</v>
          </cell>
          <cell r="J110">
            <v>2611982</v>
          </cell>
          <cell r="K110">
            <v>2035809</v>
          </cell>
          <cell r="L110">
            <v>1766350</v>
          </cell>
          <cell r="M110">
            <v>1300083</v>
          </cell>
          <cell r="N110">
            <v>590188</v>
          </cell>
        </row>
        <row r="111">
          <cell r="I111">
            <v>-89747</v>
          </cell>
          <cell r="J111">
            <v>-53101</v>
          </cell>
          <cell r="K111">
            <v>-86486</v>
          </cell>
          <cell r="L111">
            <v>-81183</v>
          </cell>
          <cell r="M111">
            <v>-48831</v>
          </cell>
          <cell r="N111">
            <v>-88789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P Area"/>
      <sheetName val="Tennessee Gas, KY"/>
    </sheetNames>
    <sheetDataSet>
      <sheetData sheetId="0">
        <row r="18">
          <cell r="B18">
            <v>172196.41763157895</v>
          </cell>
          <cell r="D18">
            <v>255969.45855263152</v>
          </cell>
          <cell r="F18">
            <v>328278.17855263164</v>
          </cell>
          <cell r="H18">
            <v>251117.99671052629</v>
          </cell>
          <cell r="J18">
            <v>174622.14855263158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"/>
      <sheetName val="NNS Ratchets"/>
      <sheetName val="Co-owned storage ratchets"/>
      <sheetName val="Tx Gas Zn 2 14-15 Design Day"/>
      <sheetName val="Livermore, KY 14-15 Design Day"/>
      <sheetName val="Tx Gas Zn 3 S 14-15 Design Day "/>
      <sheetName val="Tx Gas Zn 3 N 14-15 Design Day"/>
      <sheetName val="Tx Gas Zn 4 14-15 Design Day"/>
      <sheetName val="Sheet1"/>
    </sheetNames>
    <sheetDataSet>
      <sheetData sheetId="0">
        <row r="16">
          <cell r="B16">
            <v>133500</v>
          </cell>
          <cell r="D16">
            <v>267000</v>
          </cell>
          <cell r="F16">
            <v>320400</v>
          </cell>
          <cell r="H16">
            <v>280350</v>
          </cell>
          <cell r="J16">
            <v>200250</v>
          </cell>
        </row>
        <row r="23">
          <cell r="B23">
            <v>213000</v>
          </cell>
          <cell r="D23">
            <v>426000</v>
          </cell>
          <cell r="F23">
            <v>511200</v>
          </cell>
          <cell r="H23">
            <v>447300</v>
          </cell>
          <cell r="J23">
            <v>319500</v>
          </cell>
        </row>
        <row r="24">
          <cell r="B24">
            <v>110179.30000000005</v>
          </cell>
          <cell r="D24">
            <v>267578.3</v>
          </cell>
          <cell r="F24">
            <v>330537.89999999997</v>
          </cell>
          <cell r="H24">
            <v>323397.75</v>
          </cell>
          <cell r="J24">
            <v>251092.2</v>
          </cell>
        </row>
        <row r="25">
          <cell r="B25">
            <v>208584.11</v>
          </cell>
          <cell r="D25">
            <v>506561.41000000003</v>
          </cell>
          <cell r="F25">
            <v>570705.82999999996</v>
          </cell>
          <cell r="H25">
            <v>364396.2</v>
          </cell>
          <cell r="J25">
            <v>387370.49</v>
          </cell>
        </row>
        <row r="26">
          <cell r="B26">
            <v>0</v>
          </cell>
          <cell r="D26">
            <v>200000</v>
          </cell>
          <cell r="F26">
            <v>300000</v>
          </cell>
          <cell r="H26">
            <v>510000</v>
          </cell>
          <cell r="J26">
            <v>352500</v>
          </cell>
        </row>
        <row r="34">
          <cell r="B34">
            <v>37615</v>
          </cell>
          <cell r="D34">
            <v>75230</v>
          </cell>
          <cell r="F34">
            <v>90276</v>
          </cell>
          <cell r="H34">
            <v>78991.5</v>
          </cell>
          <cell r="J34">
            <v>56422.5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TStorCost"/>
      <sheetName val="Hist"/>
      <sheetName val="TGP Plan"/>
      <sheetName val="TGT Data tab"/>
      <sheetName val="TGT Data tab (2)"/>
      <sheetName val="Normalized Sales 2014-15"/>
      <sheetName val="Fred short term"/>
      <sheetName val="forecast"/>
      <sheetName val="Tennessee Gas, KY"/>
    </sheetNames>
    <sheetDataSet>
      <sheetData sheetId="0" refreshError="1"/>
      <sheetData sheetId="1" refreshError="1"/>
      <sheetData sheetId="2">
        <row r="27">
          <cell r="C27">
            <v>168900</v>
          </cell>
          <cell r="E27">
            <v>168857</v>
          </cell>
          <cell r="G27">
            <v>159000</v>
          </cell>
          <cell r="I27">
            <v>170841</v>
          </cell>
          <cell r="K27">
            <v>183799</v>
          </cell>
          <cell r="M27">
            <v>168900</v>
          </cell>
          <cell r="O27">
            <v>168857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T Plan"/>
      <sheetName val="Co-owned storage"/>
      <sheetName val="Texas Gas Zone 2, KY"/>
      <sheetName val="Livermore, KY"/>
      <sheetName val="Texas Gas Zone 3 South, KY"/>
      <sheetName val="Texas Gas Zone 3 North, KY"/>
      <sheetName val="Texas Gas Zone 4, KY"/>
      <sheetName val="forecast"/>
      <sheetName val="Texas Gas Zone 2, KY 15-16"/>
      <sheetName val="Texas Gas Zn 3 North, KY 15-16"/>
      <sheetName val="Texas Gas Zn 3 South, KY 15-16"/>
      <sheetName val="Texas Gas Zone 4, KY 15-16"/>
    </sheetNames>
    <sheetDataSet>
      <sheetData sheetId="0">
        <row r="27">
          <cell r="B27">
            <v>497907.85714285716</v>
          </cell>
          <cell r="D27">
            <v>268894</v>
          </cell>
          <cell r="F27">
            <v>497910</v>
          </cell>
          <cell r="H27">
            <v>345712</v>
          </cell>
          <cell r="J27">
            <v>537761</v>
          </cell>
          <cell r="L27">
            <v>614583.5</v>
          </cell>
          <cell r="N27">
            <v>497907.85714285716</v>
          </cell>
        </row>
        <row r="28">
          <cell r="B28">
            <v>93986.35</v>
          </cell>
          <cell r="D28">
            <v>93992</v>
          </cell>
          <cell r="F28">
            <v>93990</v>
          </cell>
          <cell r="H28">
            <v>93992</v>
          </cell>
          <cell r="J28">
            <v>93986.35</v>
          </cell>
          <cell r="L28">
            <v>93986.35</v>
          </cell>
          <cell r="N28">
            <v>93986.35</v>
          </cell>
        </row>
        <row r="29">
          <cell r="B29">
            <v>98047.985714285722</v>
          </cell>
          <cell r="D29">
            <v>98053</v>
          </cell>
          <cell r="F29">
            <v>98040</v>
          </cell>
          <cell r="H29">
            <v>98053</v>
          </cell>
          <cell r="J29">
            <v>98047.985714285722</v>
          </cell>
          <cell r="L29">
            <v>98047.985714285722</v>
          </cell>
          <cell r="N29">
            <v>98047.985714285722</v>
          </cell>
        </row>
        <row r="30">
          <cell r="B30">
            <v>295312.32571428566</v>
          </cell>
          <cell r="D30">
            <v>295306</v>
          </cell>
          <cell r="F30">
            <v>295320</v>
          </cell>
          <cell r="H30">
            <v>295306</v>
          </cell>
          <cell r="J30">
            <v>295312.32571428566</v>
          </cell>
          <cell r="L30">
            <v>295312.32571428566</v>
          </cell>
          <cell r="N30">
            <v>295312.32571428566</v>
          </cell>
        </row>
        <row r="31">
          <cell r="B31">
            <v>81952.014285714278</v>
          </cell>
          <cell r="D31">
            <v>87947</v>
          </cell>
          <cell r="F31">
            <v>81960</v>
          </cell>
          <cell r="H31">
            <v>87947</v>
          </cell>
          <cell r="J31">
            <v>87952.014285714278</v>
          </cell>
          <cell r="L31">
            <v>81952.014285714278</v>
          </cell>
          <cell r="N31">
            <v>87952.014285714278</v>
          </cell>
        </row>
        <row r="32">
          <cell r="B32">
            <v>0</v>
          </cell>
          <cell r="D32">
            <v>0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>
            <v>105110.48571428572</v>
          </cell>
          <cell r="D33">
            <v>99107</v>
          </cell>
          <cell r="F33">
            <v>105090</v>
          </cell>
          <cell r="H33">
            <v>99107</v>
          </cell>
          <cell r="J33">
            <v>99110.485714285722</v>
          </cell>
          <cell r="L33">
            <v>105110.48571428572</v>
          </cell>
          <cell r="N33">
            <v>99110.485714285722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e Filing"/>
    </sheetNames>
    <sheetDataSet>
      <sheetData sheetId="0">
        <row r="79">
          <cell r="U79">
            <v>989645.95750000002</v>
          </cell>
        </row>
        <row r="90">
          <cell r="C90">
            <v>74535.535000000003</v>
          </cell>
          <cell r="D90">
            <v>85464.042500000025</v>
          </cell>
          <cell r="E90">
            <v>83565.55250000002</v>
          </cell>
          <cell r="F90">
            <v>92263.022499999977</v>
          </cell>
          <cell r="G90">
            <v>97898.557499999995</v>
          </cell>
          <cell r="H90">
            <v>93400.612499999959</v>
          </cell>
          <cell r="I90">
            <v>81937.334999999977</v>
          </cell>
          <cell r="J90">
            <v>80322.760000000038</v>
          </cell>
          <cell r="K90">
            <v>75605.802499999962</v>
          </cell>
          <cell r="L90">
            <v>73570.547500000044</v>
          </cell>
          <cell r="M90">
            <v>74115.887500000026</v>
          </cell>
          <cell r="N90">
            <v>76966.302500000005</v>
          </cell>
        </row>
        <row r="105">
          <cell r="C105">
            <v>-2587.8700000000008</v>
          </cell>
          <cell r="D105">
            <v>-4459.4400000000005</v>
          </cell>
          <cell r="E105">
            <v>-4067.0299999999988</v>
          </cell>
          <cell r="F105">
            <v>-4649.9999999999982</v>
          </cell>
          <cell r="G105">
            <v>-550</v>
          </cell>
          <cell r="H105">
            <v>446.90000000000146</v>
          </cell>
          <cell r="I105">
            <v>-2171.0799999999981</v>
          </cell>
          <cell r="J105">
            <v>-4515.3199999999979</v>
          </cell>
          <cell r="K105">
            <v>-7367.2199999999975</v>
          </cell>
          <cell r="L105">
            <v>-3129.0700000000015</v>
          </cell>
          <cell r="M105">
            <v>-5631.8199999999979</v>
          </cell>
          <cell r="N105">
            <v>-7880.5500000000011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Decline"/>
      <sheetName val="Com Decline"/>
      <sheetName val="PA Decline"/>
    </sheetNames>
    <sheetDataSet>
      <sheetData sheetId="0">
        <row r="24">
          <cell r="M24">
            <v>0</v>
          </cell>
          <cell r="P24">
            <v>0</v>
          </cell>
        </row>
        <row r="44">
          <cell r="C44">
            <v>400</v>
          </cell>
        </row>
      </sheetData>
      <sheetData sheetId="1">
        <row r="24">
          <cell r="M24">
            <v>0</v>
          </cell>
          <cell r="P24">
            <v>0</v>
          </cell>
        </row>
        <row r="44">
          <cell r="C44">
            <v>0</v>
          </cell>
        </row>
      </sheetData>
      <sheetData sheetId="2">
        <row r="24">
          <cell r="M24">
            <v>0</v>
          </cell>
          <cell r="P24">
            <v>0</v>
          </cell>
        </row>
        <row r="44">
          <cell r="C4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tucky"/>
    </sheetNames>
    <sheetDataSet>
      <sheetData sheetId="0">
        <row r="13">
          <cell r="F13">
            <v>16</v>
          </cell>
          <cell r="M13">
            <v>0.1318</v>
          </cell>
        </row>
        <row r="14">
          <cell r="M14">
            <v>8.7999999999999995E-2</v>
          </cell>
        </row>
        <row r="15">
          <cell r="M15">
            <v>6.2E-2</v>
          </cell>
        </row>
        <row r="16">
          <cell r="F16">
            <v>40</v>
          </cell>
        </row>
        <row r="19">
          <cell r="F19">
            <v>350</v>
          </cell>
          <cell r="K19">
            <v>7.9000000000000001E-2</v>
          </cell>
        </row>
        <row r="20">
          <cell r="K20">
            <v>5.2999999999999999E-2</v>
          </cell>
        </row>
        <row r="23">
          <cell r="F23">
            <v>350</v>
          </cell>
          <cell r="G23">
            <v>50</v>
          </cell>
          <cell r="K23">
            <v>7.9000000000000001E-2</v>
          </cell>
        </row>
        <row r="24">
          <cell r="K24">
            <v>5.2999999999999999E-2</v>
          </cell>
        </row>
        <row r="25">
          <cell r="F25">
            <v>350</v>
          </cell>
          <cell r="K25">
            <v>0.1318</v>
          </cell>
        </row>
        <row r="26">
          <cell r="K26">
            <v>8.7999999999999995E-2</v>
          </cell>
        </row>
        <row r="27">
          <cell r="K27">
            <v>6.2E-2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"/>
    </sheetNames>
    <sheetDataSet>
      <sheetData sheetId="0">
        <row r="9">
          <cell r="D9">
            <v>2.65</v>
          </cell>
        </row>
        <row r="10">
          <cell r="D10">
            <v>8.44</v>
          </cell>
        </row>
        <row r="11">
          <cell r="D11">
            <v>45.56</v>
          </cell>
        </row>
        <row r="12">
          <cell r="E12">
            <v>1.77E-2</v>
          </cell>
        </row>
        <row r="13">
          <cell r="E13">
            <v>1.1900000000000001E-2</v>
          </cell>
        </row>
        <row r="14">
          <cell r="D14">
            <v>38.79</v>
          </cell>
        </row>
        <row r="15">
          <cell r="E15">
            <v>8.6999999999999994E-2</v>
          </cell>
        </row>
        <row r="16">
          <cell r="E16">
            <v>5.8400000000000001E-2</v>
          </cell>
        </row>
        <row r="17">
          <cell r="D17">
            <v>40.119999999999997</v>
          </cell>
        </row>
        <row r="18">
          <cell r="E18">
            <v>0.1221</v>
          </cell>
        </row>
        <row r="19">
          <cell r="E19">
            <v>8.1500000000000003E-2</v>
          </cell>
        </row>
        <row r="20">
          <cell r="E20">
            <v>5.74E-2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tucky"/>
    </sheetNames>
    <sheetDataSet>
      <sheetData sheetId="0">
        <row r="11">
          <cell r="G11">
            <v>4.2233000000000001</v>
          </cell>
          <cell r="H11">
            <v>2.9024000000000001</v>
          </cell>
        </row>
        <row r="12">
          <cell r="G12">
            <v>4.2233000000000001</v>
          </cell>
          <cell r="H12">
            <v>2.9024000000000001</v>
          </cell>
        </row>
        <row r="13">
          <cell r="G13">
            <v>5.1452</v>
          </cell>
          <cell r="H13">
            <v>3.8165</v>
          </cell>
        </row>
        <row r="14">
          <cell r="G14">
            <v>5.1452</v>
          </cell>
          <cell r="H14">
            <v>3.8165</v>
          </cell>
        </row>
        <row r="15">
          <cell r="G15">
            <v>5.1452</v>
          </cell>
          <cell r="H15">
            <v>3.8165</v>
          </cell>
        </row>
        <row r="16">
          <cell r="G16">
            <v>5.6984999999999992</v>
          </cell>
          <cell r="H16">
            <v>4.41</v>
          </cell>
        </row>
        <row r="17">
          <cell r="G17">
            <v>5.8914999999999997</v>
          </cell>
          <cell r="H17">
            <v>4.6029999999999998</v>
          </cell>
        </row>
        <row r="18">
          <cell r="G18">
            <v>5.8914999999999997</v>
          </cell>
          <cell r="H18">
            <v>4.6029999999999998</v>
          </cell>
        </row>
        <row r="19">
          <cell r="G19">
            <v>5.8611000000000004</v>
          </cell>
          <cell r="H19">
            <v>4.6536999999999997</v>
          </cell>
        </row>
        <row r="20">
          <cell r="G20">
            <v>5.7476000000000003</v>
          </cell>
          <cell r="H20">
            <v>4.5401999999999996</v>
          </cell>
        </row>
        <row r="21">
          <cell r="G21">
            <v>5.7476000000000003</v>
          </cell>
          <cell r="H21">
            <v>4.5401999999999996</v>
          </cell>
        </row>
        <row r="22">
          <cell r="G22">
            <v>6.6699000000000002</v>
          </cell>
          <cell r="H22">
            <v>5.3835999999999995</v>
          </cell>
        </row>
        <row r="23">
          <cell r="G23">
            <v>6.6699000000000002</v>
          </cell>
          <cell r="H23">
            <v>5.3835999999999995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bmission"/>
      <sheetName val="T.4"/>
      <sheetName val="T.5"/>
      <sheetName val="T.6"/>
      <sheetName val="A.1"/>
      <sheetName val="A.2"/>
      <sheetName val="B.1"/>
      <sheetName val="B.2"/>
      <sheetName val="B.3"/>
      <sheetName val="B.4"/>
      <sheetName val="B.5"/>
      <sheetName val="B.6"/>
      <sheetName val="B.7"/>
      <sheetName val="B.8"/>
      <sheetName val="C.1"/>
      <sheetName val="C.2"/>
      <sheetName val="D.1"/>
      <sheetName val="D.2"/>
      <sheetName val="D.3"/>
      <sheetName val="D.4"/>
      <sheetName val="D.5"/>
      <sheetName val="D.6"/>
      <sheetName val="E.1"/>
      <sheetName val="E.2"/>
      <sheetName val="PBR"/>
      <sheetName val="PBR.1"/>
      <sheetName val="WorkPaper"/>
      <sheetName val="Control"/>
      <sheetName val="Checklist"/>
      <sheetName val="WP-D.1"/>
      <sheetName val="WP-E.1"/>
      <sheetName val="WP-T.1"/>
      <sheetName val="Data Mart Inputs"/>
      <sheetName val="AES Hedge Positions"/>
      <sheetName val="Storage"/>
      <sheetName val="Holidays"/>
      <sheetName val="Rate Validation"/>
      <sheetName val="SAP Request Form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G18">
            <v>3.2381000000000002</v>
          </cell>
          <cell r="I18">
            <v>3.2747999999999999</v>
          </cell>
        </row>
        <row r="19">
          <cell r="G19">
            <v>1.5599000000000001</v>
          </cell>
          <cell r="I19">
            <v>1.5599000000000001</v>
          </cell>
        </row>
        <row r="21">
          <cell r="G21">
            <v>-0.72740000000000005</v>
          </cell>
          <cell r="I21">
            <v>-0.6492</v>
          </cell>
        </row>
        <row r="23">
          <cell r="G23">
            <v>0.1527</v>
          </cell>
          <cell r="I23">
            <v>0.15266676071712265</v>
          </cell>
        </row>
        <row r="24">
          <cell r="I24">
            <v>4.3381667607171224</v>
          </cell>
        </row>
        <row r="41">
          <cell r="G41">
            <v>0.23899999999999999</v>
          </cell>
          <cell r="I41">
            <v>0.23899999999999999</v>
          </cell>
        </row>
        <row r="43">
          <cell r="G43">
            <v>-0.72740000000000005</v>
          </cell>
          <cell r="I43">
            <v>-0.6492</v>
          </cell>
        </row>
        <row r="46">
          <cell r="I46">
            <v>3.0172667607171224</v>
          </cell>
        </row>
      </sheetData>
      <sheetData sheetId="6" refreshError="1"/>
      <sheetData sheetId="7" refreshError="1"/>
      <sheetData sheetId="8" refreshError="1"/>
      <sheetData sheetId="9">
        <row r="13">
          <cell r="H13">
            <v>4.9000000000000002E-2</v>
          </cell>
        </row>
        <row r="19">
          <cell r="H19">
            <v>4.4500000000000005E-2</v>
          </cell>
        </row>
        <row r="20">
          <cell r="H20">
            <v>1.4E-3</v>
          </cell>
        </row>
      </sheetData>
      <sheetData sheetId="10">
        <row r="13">
          <cell r="I13">
            <v>1.5953599999999998E-2</v>
          </cell>
        </row>
        <row r="14">
          <cell r="I14">
            <v>1.4E-3</v>
          </cell>
        </row>
        <row r="20">
          <cell r="I20">
            <v>0.89759999999999995</v>
          </cell>
        </row>
      </sheetData>
      <sheetData sheetId="11" refreshError="1"/>
      <sheetData sheetId="12">
        <row r="13">
          <cell r="E13">
            <v>25975686</v>
          </cell>
        </row>
        <row r="17">
          <cell r="E17">
            <v>0.155</v>
          </cell>
        </row>
      </sheetData>
      <sheetData sheetId="13">
        <row r="20">
          <cell r="M20">
            <v>2.3199999999999998E-2</v>
          </cell>
        </row>
        <row r="33">
          <cell r="F33">
            <v>7186</v>
          </cell>
        </row>
        <row r="39">
          <cell r="D39">
            <v>1.1599999999999999E-2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SAP"/>
      <sheetName val="FINREP"/>
      <sheetName val="Sheet3"/>
    </sheetNames>
    <sheetDataSet>
      <sheetData sheetId="0" refreshError="1"/>
      <sheetData sheetId="1">
        <row r="37">
          <cell r="AJ37">
            <v>221</v>
          </cell>
          <cell r="AK37">
            <v>529</v>
          </cell>
          <cell r="AL37">
            <v>645</v>
          </cell>
          <cell r="AM37">
            <v>235</v>
          </cell>
          <cell r="AN37">
            <v>201</v>
          </cell>
          <cell r="AO37">
            <v>149</v>
          </cell>
          <cell r="AP37">
            <v>76</v>
          </cell>
          <cell r="AQ37">
            <v>61</v>
          </cell>
          <cell r="AR37">
            <v>62</v>
          </cell>
          <cell r="AS37">
            <v>82</v>
          </cell>
          <cell r="AT37">
            <v>82</v>
          </cell>
          <cell r="AU37">
            <v>109</v>
          </cell>
        </row>
        <row r="38"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40">
          <cell r="AJ40">
            <v>1038</v>
          </cell>
          <cell r="AK40">
            <v>2500</v>
          </cell>
          <cell r="AL40">
            <v>2934</v>
          </cell>
          <cell r="AM40">
            <v>844</v>
          </cell>
          <cell r="AN40">
            <v>780</v>
          </cell>
          <cell r="AO40">
            <v>650</v>
          </cell>
          <cell r="AP40">
            <v>433</v>
          </cell>
          <cell r="AQ40">
            <v>427</v>
          </cell>
          <cell r="AR40">
            <v>543</v>
          </cell>
          <cell r="AS40">
            <v>632</v>
          </cell>
          <cell r="AT40">
            <v>713</v>
          </cell>
          <cell r="AU40">
            <v>832</v>
          </cell>
        </row>
        <row r="41"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</row>
        <row r="43">
          <cell r="AJ43">
            <v>1268</v>
          </cell>
          <cell r="AK43">
            <v>1715</v>
          </cell>
          <cell r="AL43">
            <v>1604</v>
          </cell>
          <cell r="AM43">
            <v>1704</v>
          </cell>
          <cell r="AN43">
            <v>1679</v>
          </cell>
          <cell r="AO43">
            <v>1772</v>
          </cell>
          <cell r="AP43">
            <v>1688</v>
          </cell>
          <cell r="AQ43">
            <v>1241</v>
          </cell>
          <cell r="AR43">
            <v>1277</v>
          </cell>
          <cell r="AS43">
            <v>1346</v>
          </cell>
          <cell r="AT43">
            <v>1556</v>
          </cell>
          <cell r="AU43">
            <v>1395</v>
          </cell>
        </row>
        <row r="44"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6">
          <cell r="AJ46">
            <v>269</v>
          </cell>
          <cell r="AK46">
            <v>322</v>
          </cell>
          <cell r="AL46">
            <v>155</v>
          </cell>
          <cell r="AM46">
            <v>77</v>
          </cell>
          <cell r="AN46">
            <v>66</v>
          </cell>
          <cell r="AO46">
            <v>21</v>
          </cell>
          <cell r="AP46">
            <v>550</v>
          </cell>
          <cell r="AQ46">
            <v>577</v>
          </cell>
          <cell r="AR46">
            <v>546</v>
          </cell>
          <cell r="AS46">
            <v>364</v>
          </cell>
          <cell r="AT46">
            <v>262</v>
          </cell>
          <cell r="AU46">
            <v>162</v>
          </cell>
        </row>
        <row r="47"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9">
          <cell r="AJ49">
            <v>15</v>
          </cell>
          <cell r="AK49">
            <v>115</v>
          </cell>
          <cell r="AL49">
            <v>101</v>
          </cell>
          <cell r="AM49">
            <v>-2</v>
          </cell>
          <cell r="AN49">
            <v>-4</v>
          </cell>
          <cell r="AO49">
            <v>1</v>
          </cell>
          <cell r="AP49">
            <v>0</v>
          </cell>
          <cell r="AQ49">
            <v>0</v>
          </cell>
          <cell r="AR49">
            <v>-1</v>
          </cell>
          <cell r="AS49">
            <v>0</v>
          </cell>
          <cell r="AT49">
            <v>0</v>
          </cell>
          <cell r="AU49">
            <v>0</v>
          </cell>
        </row>
        <row r="50"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5"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</row>
        <row r="56"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8">
          <cell r="AJ58">
            <v>135</v>
          </cell>
          <cell r="AK58">
            <v>186</v>
          </cell>
          <cell r="AL58">
            <v>177</v>
          </cell>
          <cell r="AM58">
            <v>243</v>
          </cell>
          <cell r="AN58">
            <v>265</v>
          </cell>
          <cell r="AO58">
            <v>264</v>
          </cell>
          <cell r="AP58">
            <v>281</v>
          </cell>
          <cell r="AQ58">
            <v>233</v>
          </cell>
          <cell r="AR58">
            <v>224</v>
          </cell>
          <cell r="AS58">
            <v>219</v>
          </cell>
          <cell r="AT58">
            <v>171</v>
          </cell>
          <cell r="AU58">
            <v>159</v>
          </cell>
        </row>
        <row r="59"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"/>
      <sheetName val="FinRep"/>
    </sheetNames>
    <sheetDataSet>
      <sheetData sheetId="0">
        <row r="38">
          <cell r="N38">
            <v>46777.11</v>
          </cell>
        </row>
        <row r="67">
          <cell r="O67">
            <v>8.0000000000000002E-3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44"/>
  <sheetViews>
    <sheetView tabSelected="1" view="pageBreakPreview" zoomScale="60" zoomScaleNormal="100" workbookViewId="0">
      <selection activeCell="E10" sqref="E10"/>
    </sheetView>
  </sheetViews>
  <sheetFormatPr defaultRowHeight="12.75" x14ac:dyDescent="0.2"/>
  <sheetData>
    <row r="1" spans="1:30" x14ac:dyDescent="0.2">
      <c r="A1" s="723"/>
      <c r="B1" s="723"/>
      <c r="C1" s="723"/>
      <c r="D1" s="723"/>
      <c r="E1" s="723"/>
      <c r="F1" s="723"/>
      <c r="G1" s="723"/>
      <c r="H1" s="723"/>
      <c r="I1" s="723"/>
      <c r="J1" s="723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</row>
    <row r="2" spans="1:30" x14ac:dyDescent="0.2">
      <c r="A2" s="723"/>
      <c r="B2" s="723" t="s">
        <v>634</v>
      </c>
      <c r="C2" s="723"/>
      <c r="D2" s="723"/>
      <c r="E2" s="723"/>
      <c r="F2" s="723"/>
      <c r="G2" s="723"/>
      <c r="H2" s="723"/>
      <c r="I2" s="723"/>
      <c r="J2" s="723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</row>
    <row r="3" spans="1:30" x14ac:dyDescent="0.2">
      <c r="A3" s="723"/>
      <c r="B3" s="723"/>
      <c r="C3" s="723"/>
      <c r="D3" s="723"/>
      <c r="E3" s="723"/>
      <c r="F3" s="723"/>
      <c r="G3" s="723"/>
      <c r="H3" s="723"/>
      <c r="I3" s="723"/>
      <c r="J3" s="723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7"/>
    </row>
    <row r="4" spans="1:30" x14ac:dyDescent="0.2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</row>
    <row r="5" spans="1:30" x14ac:dyDescent="0.2">
      <c r="A5" s="723"/>
      <c r="B5" s="723"/>
      <c r="C5" s="723"/>
      <c r="D5" s="723"/>
      <c r="E5" s="723"/>
      <c r="F5" s="723"/>
      <c r="G5" s="723"/>
      <c r="H5" s="723"/>
      <c r="I5" s="723"/>
      <c r="J5" s="723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</row>
    <row r="6" spans="1:30" x14ac:dyDescent="0.2">
      <c r="A6" s="723"/>
      <c r="B6" s="723"/>
      <c r="C6" s="723"/>
      <c r="D6" s="723"/>
      <c r="E6" s="723"/>
      <c r="F6" s="723"/>
      <c r="G6" s="723"/>
      <c r="H6" s="723"/>
      <c r="I6" s="723"/>
      <c r="J6" s="723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</row>
    <row r="7" spans="1:30" x14ac:dyDescent="0.2">
      <c r="A7" s="723"/>
      <c r="B7" s="723"/>
      <c r="C7" s="723"/>
      <c r="D7" s="723"/>
      <c r="E7" s="723"/>
      <c r="F7" s="723"/>
      <c r="G7" s="723"/>
      <c r="H7" s="723"/>
      <c r="I7" s="723"/>
      <c r="J7" s="723"/>
      <c r="K7" s="477"/>
      <c r="L7" s="477"/>
      <c r="M7" s="477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</row>
    <row r="8" spans="1:30" x14ac:dyDescent="0.2">
      <c r="A8" s="723"/>
      <c r="B8" s="723"/>
      <c r="C8" s="723"/>
      <c r="D8" s="723"/>
      <c r="E8" s="723"/>
      <c r="F8" s="723"/>
      <c r="G8" s="723"/>
      <c r="H8" s="723"/>
      <c r="I8" s="723"/>
      <c r="J8" s="723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</row>
    <row r="9" spans="1:30" x14ac:dyDescent="0.2">
      <c r="A9" s="723"/>
      <c r="B9" s="723"/>
      <c r="C9" s="723"/>
      <c r="D9" s="723"/>
      <c r="E9" s="723"/>
      <c r="F9" s="723"/>
      <c r="G9" s="723"/>
      <c r="H9" s="723"/>
      <c r="I9" s="723"/>
      <c r="J9" s="723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</row>
    <row r="10" spans="1:30" x14ac:dyDescent="0.2">
      <c r="A10" s="723"/>
      <c r="B10" s="723"/>
      <c r="C10" s="723"/>
      <c r="D10" s="723"/>
      <c r="E10" s="723"/>
      <c r="F10" s="723"/>
      <c r="G10" s="723"/>
      <c r="H10" s="723"/>
      <c r="I10" s="723"/>
      <c r="J10" s="723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</row>
    <row r="11" spans="1:30" x14ac:dyDescent="0.2">
      <c r="A11" s="723"/>
      <c r="B11" s="723"/>
      <c r="C11" s="723"/>
      <c r="D11" s="723"/>
      <c r="E11" s="723"/>
      <c r="F11" s="723"/>
      <c r="G11" s="723"/>
      <c r="H11" s="723"/>
      <c r="I11" s="723"/>
      <c r="J11" s="723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</row>
    <row r="12" spans="1:30" x14ac:dyDescent="0.2">
      <c r="A12" s="723"/>
      <c r="B12" s="723"/>
      <c r="C12" s="723"/>
      <c r="D12" s="723"/>
      <c r="E12" s="723"/>
      <c r="F12" s="723"/>
      <c r="G12" s="723"/>
      <c r="H12" s="723"/>
      <c r="I12" s="723"/>
      <c r="J12" s="723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</row>
    <row r="13" spans="1:30" x14ac:dyDescent="0.2">
      <c r="A13" s="723"/>
      <c r="B13" s="723"/>
      <c r="C13" s="723"/>
      <c r="D13" s="723"/>
      <c r="E13" s="723"/>
      <c r="F13" s="723"/>
      <c r="G13" s="723"/>
      <c r="H13" s="723"/>
      <c r="I13" s="723"/>
      <c r="J13" s="723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</row>
    <row r="14" spans="1:30" x14ac:dyDescent="0.2">
      <c r="A14" s="723"/>
      <c r="B14" s="723"/>
      <c r="C14" s="723"/>
      <c r="D14" s="723"/>
      <c r="E14" s="723"/>
      <c r="F14" s="723"/>
      <c r="G14" s="723"/>
      <c r="H14" s="723"/>
      <c r="I14" s="723"/>
      <c r="J14" s="723"/>
      <c r="K14" s="477"/>
      <c r="L14" s="477"/>
      <c r="M14" s="477"/>
      <c r="N14" s="477"/>
      <c r="O14" s="477"/>
      <c r="P14" s="477"/>
      <c r="Q14" s="477"/>
      <c r="R14" s="477"/>
      <c r="S14" s="477"/>
      <c r="T14" s="477"/>
      <c r="U14" s="477"/>
      <c r="V14" s="477"/>
      <c r="W14" s="477"/>
      <c r="X14" s="477"/>
      <c r="Y14" s="477"/>
      <c r="Z14" s="477"/>
      <c r="AA14" s="477"/>
      <c r="AB14" s="477"/>
      <c r="AC14" s="477"/>
      <c r="AD14" s="477"/>
    </row>
    <row r="15" spans="1:30" x14ac:dyDescent="0.2">
      <c r="A15" s="723"/>
      <c r="B15" s="723"/>
      <c r="C15" s="723"/>
      <c r="D15" s="723"/>
      <c r="E15" s="723"/>
      <c r="F15" s="723"/>
      <c r="G15" s="723"/>
      <c r="H15" s="723"/>
      <c r="I15" s="723"/>
      <c r="J15" s="723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</row>
    <row r="16" spans="1:30" x14ac:dyDescent="0.2">
      <c r="A16" s="723"/>
      <c r="B16" s="723"/>
      <c r="C16" s="723"/>
      <c r="D16" s="723"/>
      <c r="E16" s="723"/>
      <c r="F16" s="723"/>
      <c r="G16" s="723"/>
      <c r="H16" s="723"/>
      <c r="I16" s="723"/>
      <c r="J16" s="723"/>
      <c r="K16" s="477"/>
      <c r="L16" s="477"/>
      <c r="M16" s="477"/>
      <c r="N16" s="477"/>
      <c r="O16" s="477"/>
      <c r="P16" s="477"/>
      <c r="Q16" s="477"/>
      <c r="R16" s="477"/>
      <c r="S16" s="477"/>
      <c r="T16" s="477"/>
      <c r="U16" s="477"/>
      <c r="V16" s="477"/>
      <c r="W16" s="477"/>
      <c r="X16" s="477"/>
      <c r="Y16" s="477"/>
      <c r="Z16" s="477"/>
      <c r="AA16" s="477"/>
      <c r="AB16" s="477"/>
      <c r="AC16" s="477"/>
      <c r="AD16" s="477"/>
    </row>
    <row r="17" spans="1:30" x14ac:dyDescent="0.2">
      <c r="A17" s="723"/>
      <c r="B17" s="723"/>
      <c r="C17" s="723"/>
      <c r="D17" s="723"/>
      <c r="E17" s="723"/>
      <c r="F17" s="723"/>
      <c r="G17" s="723"/>
      <c r="H17" s="723"/>
      <c r="I17" s="723"/>
      <c r="J17" s="723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</row>
    <row r="18" spans="1:30" x14ac:dyDescent="0.2">
      <c r="A18" s="723"/>
      <c r="B18" s="723"/>
      <c r="C18" s="723"/>
      <c r="D18" s="723"/>
      <c r="E18" s="723"/>
      <c r="F18" s="723"/>
      <c r="G18" s="723"/>
      <c r="H18" s="723"/>
      <c r="I18" s="723"/>
      <c r="J18" s="723"/>
      <c r="K18" s="477"/>
      <c r="L18" s="477"/>
      <c r="M18" s="477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477"/>
      <c r="AD18" s="477"/>
    </row>
    <row r="19" spans="1:30" x14ac:dyDescent="0.2">
      <c r="A19" s="723"/>
      <c r="B19" s="723"/>
      <c r="C19" s="723"/>
      <c r="D19" s="723"/>
      <c r="E19" s="723"/>
      <c r="F19" s="723"/>
      <c r="G19" s="723"/>
      <c r="H19" s="723"/>
      <c r="I19" s="723"/>
      <c r="J19" s="723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477"/>
      <c r="V19" s="477"/>
      <c r="W19" s="477"/>
      <c r="X19" s="477"/>
      <c r="Y19" s="477"/>
      <c r="Z19" s="477"/>
      <c r="AA19" s="477"/>
      <c r="AB19" s="477"/>
      <c r="AC19" s="477"/>
      <c r="AD19" s="477"/>
    </row>
    <row r="20" spans="1:30" x14ac:dyDescent="0.2">
      <c r="A20" s="723"/>
      <c r="B20" s="723"/>
      <c r="C20" s="723"/>
      <c r="D20" s="723"/>
      <c r="E20" s="723"/>
      <c r="F20" s="723"/>
      <c r="G20" s="723"/>
      <c r="H20" s="723"/>
      <c r="I20" s="723"/>
      <c r="J20" s="723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</row>
    <row r="21" spans="1:30" x14ac:dyDescent="0.2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</row>
    <row r="22" spans="1:30" x14ac:dyDescent="0.2">
      <c r="A22" s="723"/>
      <c r="B22" s="723"/>
      <c r="C22" s="723"/>
      <c r="D22" s="723"/>
      <c r="E22" s="723"/>
      <c r="F22" s="723"/>
      <c r="G22" s="723"/>
      <c r="H22" s="723"/>
      <c r="I22" s="723"/>
      <c r="J22" s="723"/>
      <c r="K22" s="477"/>
      <c r="L22" s="477"/>
      <c r="M22" s="477"/>
      <c r="N22" s="47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</row>
    <row r="23" spans="1:30" x14ac:dyDescent="0.2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477"/>
      <c r="L23" s="477"/>
      <c r="M23" s="477"/>
      <c r="N23" s="477"/>
      <c r="O23" s="477"/>
      <c r="P23" s="477"/>
      <c r="Q23" s="477"/>
      <c r="R23" s="477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</row>
    <row r="24" spans="1:30" x14ac:dyDescent="0.2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K24" s="477"/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</row>
    <row r="25" spans="1:30" x14ac:dyDescent="0.2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K25" s="477"/>
      <c r="L25" s="477"/>
      <c r="M25" s="477"/>
      <c r="N25" s="477"/>
      <c r="O25" s="477"/>
      <c r="P25" s="477"/>
      <c r="Q25" s="477"/>
      <c r="R25" s="477"/>
      <c r="S25" s="477"/>
      <c r="T25" s="477"/>
      <c r="U25" s="477"/>
      <c r="V25" s="477"/>
      <c r="W25" s="477"/>
      <c r="X25" s="477"/>
      <c r="Y25" s="477"/>
      <c r="Z25" s="477"/>
      <c r="AA25" s="477"/>
      <c r="AB25" s="477"/>
      <c r="AC25" s="477"/>
      <c r="AD25" s="477"/>
    </row>
    <row r="26" spans="1:30" x14ac:dyDescent="0.2">
      <c r="A26" s="723"/>
      <c r="B26" s="723"/>
      <c r="C26" s="723"/>
      <c r="D26" s="723"/>
      <c r="E26" s="723"/>
      <c r="F26" s="723"/>
      <c r="G26" s="723"/>
      <c r="H26" s="723"/>
      <c r="I26" s="723"/>
      <c r="J26" s="723"/>
      <c r="K26" s="477"/>
      <c r="L26" s="477"/>
      <c r="M26" s="477"/>
      <c r="N26" s="477"/>
      <c r="O26" s="477"/>
      <c r="P26" s="477"/>
      <c r="Q26" s="477"/>
      <c r="R26" s="477"/>
      <c r="S26" s="477"/>
      <c r="T26" s="477"/>
      <c r="U26" s="477"/>
      <c r="V26" s="477"/>
      <c r="W26" s="477"/>
      <c r="X26" s="477"/>
      <c r="Y26" s="477"/>
      <c r="Z26" s="477"/>
      <c r="AA26" s="477"/>
      <c r="AB26" s="477"/>
      <c r="AC26" s="477"/>
      <c r="AD26" s="477"/>
    </row>
    <row r="27" spans="1:30" x14ac:dyDescent="0.2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  <c r="AC27" s="477"/>
      <c r="AD27" s="477"/>
    </row>
    <row r="28" spans="1:30" x14ac:dyDescent="0.2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477"/>
      <c r="L28" s="477"/>
      <c r="M28" s="477"/>
      <c r="N28" s="477"/>
      <c r="O28" s="477"/>
      <c r="P28" s="477"/>
      <c r="Q28" s="477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77"/>
      <c r="AD28" s="477"/>
    </row>
    <row r="29" spans="1:30" x14ac:dyDescent="0.2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  <c r="AC29" s="477"/>
      <c r="AD29" s="477"/>
    </row>
    <row r="30" spans="1:30" x14ac:dyDescent="0.2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/>
      <c r="AD30" s="477"/>
    </row>
    <row r="31" spans="1:30" x14ac:dyDescent="0.2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477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</row>
    <row r="32" spans="1:30" x14ac:dyDescent="0.2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477"/>
      <c r="L32" s="477"/>
      <c r="M32" s="477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</row>
    <row r="33" spans="1:30" x14ac:dyDescent="0.2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477"/>
      <c r="L33" s="477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</row>
    <row r="34" spans="1:30" x14ac:dyDescent="0.2">
      <c r="A34" s="723"/>
      <c r="B34" s="723"/>
      <c r="C34" s="723"/>
      <c r="D34" s="723"/>
      <c r="E34" s="723"/>
      <c r="F34" s="723"/>
      <c r="G34" s="723"/>
      <c r="H34" s="723"/>
      <c r="I34" s="723"/>
      <c r="J34" s="723"/>
      <c r="K34" s="477"/>
      <c r="L34" s="477"/>
      <c r="M34" s="477"/>
      <c r="N34" s="477"/>
      <c r="O34" s="477"/>
      <c r="P34" s="477"/>
      <c r="Q34" s="477"/>
      <c r="R34" s="477"/>
      <c r="S34" s="477"/>
      <c r="T34" s="477"/>
      <c r="U34" s="477"/>
      <c r="V34" s="477"/>
      <c r="W34" s="477"/>
      <c r="X34" s="477"/>
      <c r="Y34" s="477"/>
      <c r="Z34" s="477"/>
      <c r="AA34" s="477"/>
      <c r="AB34" s="477"/>
      <c r="AC34" s="477"/>
      <c r="AD34" s="477"/>
    </row>
    <row r="35" spans="1:30" x14ac:dyDescent="0.2">
      <c r="A35" s="723"/>
      <c r="B35" s="723"/>
      <c r="C35" s="723"/>
      <c r="D35" s="723"/>
      <c r="E35" s="723"/>
      <c r="F35" s="723"/>
      <c r="G35" s="723"/>
      <c r="H35" s="723"/>
      <c r="I35" s="723"/>
      <c r="J35" s="723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</row>
    <row r="36" spans="1:30" x14ac:dyDescent="0.2">
      <c r="A36" s="723"/>
      <c r="B36" s="723"/>
      <c r="C36" s="723"/>
      <c r="D36" s="723"/>
      <c r="E36" s="723"/>
      <c r="F36" s="723"/>
      <c r="G36" s="723"/>
      <c r="H36" s="723"/>
      <c r="I36" s="723"/>
      <c r="J36" s="723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  <c r="AD36" s="477"/>
    </row>
    <row r="37" spans="1:30" x14ac:dyDescent="0.2">
      <c r="A37" s="723"/>
      <c r="B37" s="723"/>
      <c r="C37" s="723"/>
      <c r="D37" s="723"/>
      <c r="E37" s="723"/>
      <c r="F37" s="723"/>
      <c r="G37" s="723"/>
      <c r="H37" s="723"/>
      <c r="I37" s="723"/>
      <c r="J37" s="723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  <c r="AD37" s="477"/>
    </row>
    <row r="38" spans="1:30" x14ac:dyDescent="0.2">
      <c r="A38" s="723"/>
      <c r="B38" s="723"/>
      <c r="C38" s="723"/>
      <c r="D38" s="723"/>
      <c r="E38" s="723"/>
      <c r="F38" s="723"/>
      <c r="G38" s="723"/>
      <c r="H38" s="723"/>
      <c r="I38" s="723"/>
      <c r="J38" s="723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7"/>
      <c r="Y38" s="477"/>
      <c r="Z38" s="477"/>
      <c r="AA38" s="477"/>
      <c r="AB38" s="477"/>
      <c r="AC38" s="477"/>
      <c r="AD38" s="477"/>
    </row>
    <row r="39" spans="1:30" x14ac:dyDescent="0.2">
      <c r="A39" s="723"/>
      <c r="B39" s="723"/>
      <c r="C39" s="723"/>
      <c r="D39" s="723"/>
      <c r="E39" s="723"/>
      <c r="F39" s="723"/>
      <c r="G39" s="723"/>
      <c r="H39" s="723"/>
      <c r="I39" s="723"/>
      <c r="J39" s="723"/>
      <c r="K39" s="477"/>
      <c r="L39" s="477"/>
      <c r="M39" s="477"/>
      <c r="N39" s="477"/>
      <c r="O39" s="477"/>
      <c r="P39" s="477"/>
      <c r="Q39" s="477"/>
      <c r="R39" s="477"/>
      <c r="S39" s="477"/>
      <c r="T39" s="477"/>
      <c r="U39" s="477"/>
      <c r="V39" s="477"/>
      <c r="W39" s="477"/>
      <c r="X39" s="477"/>
      <c r="Y39" s="477"/>
      <c r="Z39" s="477"/>
      <c r="AA39" s="477"/>
      <c r="AB39" s="477"/>
      <c r="AC39" s="477"/>
      <c r="AD39" s="477"/>
    </row>
    <row r="40" spans="1:30" x14ac:dyDescent="0.2">
      <c r="A40" s="723"/>
      <c r="B40" s="723"/>
      <c r="C40" s="723"/>
      <c r="D40" s="723"/>
      <c r="E40" s="723"/>
      <c r="F40" s="723"/>
      <c r="G40" s="723"/>
      <c r="H40" s="723"/>
      <c r="I40" s="723"/>
      <c r="J40" s="723"/>
      <c r="K40" s="477"/>
      <c r="L40" s="477"/>
      <c r="M40" s="477"/>
      <c r="N40" s="477"/>
      <c r="O40" s="477"/>
      <c r="P40" s="477"/>
      <c r="Q40" s="477"/>
      <c r="R40" s="477"/>
      <c r="S40" s="477"/>
      <c r="T40" s="477"/>
      <c r="U40" s="477"/>
      <c r="V40" s="477"/>
      <c r="W40" s="477"/>
      <c r="X40" s="477"/>
      <c r="Y40" s="477"/>
      <c r="Z40" s="477"/>
      <c r="AA40" s="477"/>
      <c r="AB40" s="477"/>
      <c r="AC40" s="477"/>
      <c r="AD40" s="477"/>
    </row>
    <row r="41" spans="1:30" x14ac:dyDescent="0.2">
      <c r="A41" s="723"/>
      <c r="B41" s="723"/>
      <c r="C41" s="723"/>
      <c r="D41" s="723"/>
      <c r="E41" s="723"/>
      <c r="F41" s="723"/>
      <c r="G41" s="723"/>
      <c r="H41" s="723"/>
      <c r="I41" s="723"/>
      <c r="J41" s="723"/>
      <c r="K41" s="477"/>
      <c r="L41" s="477"/>
      <c r="M41" s="477"/>
      <c r="N41" s="477"/>
      <c r="O41" s="477"/>
      <c r="P41" s="477"/>
      <c r="Q41" s="477"/>
      <c r="R41" s="477"/>
      <c r="S41" s="477"/>
      <c r="T41" s="477"/>
      <c r="U41" s="477"/>
      <c r="V41" s="477"/>
      <c r="W41" s="477"/>
      <c r="X41" s="477"/>
      <c r="Y41" s="477"/>
      <c r="Z41" s="477"/>
      <c r="AA41" s="477"/>
      <c r="AB41" s="477"/>
      <c r="AC41" s="477"/>
      <c r="AD41" s="477"/>
    </row>
    <row r="42" spans="1:30" x14ac:dyDescent="0.2">
      <c r="A42" s="723"/>
      <c r="B42" s="723"/>
      <c r="C42" s="723"/>
      <c r="D42" s="723"/>
      <c r="E42" s="723"/>
      <c r="F42" s="723"/>
      <c r="G42" s="723"/>
      <c r="H42" s="723"/>
      <c r="I42" s="723"/>
      <c r="J42" s="723"/>
      <c r="K42" s="477"/>
      <c r="L42" s="477"/>
      <c r="M42" s="477"/>
      <c r="N42" s="477"/>
      <c r="O42" s="477"/>
      <c r="P42" s="477"/>
      <c r="Q42" s="477"/>
      <c r="R42" s="477"/>
      <c r="S42" s="477"/>
      <c r="T42" s="477"/>
      <c r="U42" s="477"/>
      <c r="V42" s="477"/>
      <c r="W42" s="477"/>
      <c r="X42" s="477"/>
      <c r="Y42" s="477"/>
      <c r="Z42" s="477"/>
      <c r="AA42" s="477"/>
      <c r="AB42" s="477"/>
      <c r="AC42" s="477"/>
      <c r="AD42" s="477"/>
    </row>
    <row r="43" spans="1:30" x14ac:dyDescent="0.2">
      <c r="A43" s="723"/>
      <c r="B43" s="723"/>
      <c r="C43" s="723"/>
      <c r="D43" s="723"/>
      <c r="E43" s="723"/>
      <c r="F43" s="723"/>
      <c r="G43" s="723"/>
      <c r="H43" s="723"/>
      <c r="I43" s="723"/>
      <c r="J43" s="723"/>
      <c r="K43" s="477"/>
      <c r="L43" s="477"/>
      <c r="M43" s="477"/>
      <c r="N43" s="477"/>
      <c r="O43" s="477"/>
      <c r="P43" s="477"/>
      <c r="Q43" s="477"/>
      <c r="R43" s="477"/>
      <c r="S43" s="477"/>
      <c r="T43" s="477"/>
      <c r="U43" s="477"/>
      <c r="V43" s="477"/>
      <c r="W43" s="477"/>
      <c r="X43" s="477"/>
      <c r="Y43" s="477"/>
      <c r="Z43" s="477"/>
      <c r="AA43" s="477"/>
      <c r="AB43" s="477"/>
      <c r="AC43" s="477"/>
      <c r="AD43" s="477"/>
    </row>
    <row r="44" spans="1:30" x14ac:dyDescent="0.2">
      <c r="A44" s="723"/>
      <c r="B44" s="723"/>
      <c r="C44" s="723"/>
      <c r="D44" s="723"/>
      <c r="E44" s="723"/>
      <c r="F44" s="723"/>
      <c r="G44" s="723"/>
      <c r="H44" s="723"/>
      <c r="I44" s="723"/>
      <c r="J44" s="723"/>
      <c r="K44" s="477"/>
      <c r="L44" s="477"/>
      <c r="M44" s="477"/>
      <c r="N44" s="477"/>
      <c r="O44" s="477"/>
      <c r="P44" s="477"/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  <c r="AB44" s="477"/>
      <c r="AC44" s="477"/>
      <c r="AD44" s="477"/>
    </row>
  </sheetData>
  <pageMargins left="0.7" right="0.7" top="0.75" bottom="0.75" header="0.3" footer="0.3"/>
  <pageSetup orientation="portrait" r:id="rId1"/>
  <headerFooter>
    <oddHeader xml:space="preserve">&amp;RCASE NO. 2015-00343
ATTACHMENT 41
TO STAFF DR NO. 1-59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view="pageBreakPreview" zoomScale="85" zoomScaleNormal="115" zoomScaleSheetLayoutView="85" workbookViewId="0">
      <pane xSplit="2" ySplit="11" topLeftCell="C12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2.75" x14ac:dyDescent="0.2"/>
  <cols>
    <col min="1" max="1" width="9.140625" style="210"/>
    <col min="2" max="2" width="34.42578125" style="210" bestFit="1" customWidth="1"/>
    <col min="3" max="86" width="11.5703125" style="210" customWidth="1"/>
    <col min="87" max="16384" width="9.140625" style="210"/>
  </cols>
  <sheetData>
    <row r="3" spans="1:91" x14ac:dyDescent="0.2">
      <c r="N3" s="605" t="s">
        <v>615</v>
      </c>
    </row>
    <row r="4" spans="1:91" ht="15.75" x14ac:dyDescent="0.25">
      <c r="A4" s="222" t="s">
        <v>100</v>
      </c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7"/>
      <c r="P4" s="607"/>
      <c r="Q4" s="607"/>
      <c r="R4" s="607"/>
      <c r="S4" s="607"/>
      <c r="T4" s="607"/>
      <c r="U4" s="607"/>
      <c r="V4" s="607"/>
      <c r="W4" s="607"/>
      <c r="X4" s="607"/>
    </row>
    <row r="5" spans="1:91" ht="15.75" x14ac:dyDescent="0.25">
      <c r="A5" s="222" t="s">
        <v>101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7"/>
      <c r="P5" s="607"/>
      <c r="Q5" s="607"/>
      <c r="R5" s="607"/>
      <c r="S5" s="607"/>
      <c r="T5" s="607"/>
      <c r="U5" s="607"/>
      <c r="V5" s="607"/>
      <c r="W5" s="607"/>
      <c r="X5" s="607"/>
    </row>
    <row r="6" spans="1:91" ht="15.75" x14ac:dyDescent="0.25">
      <c r="A6" s="222" t="str">
        <f>'WNA Summary'!I6</f>
        <v>Reference Period - Twelve Months Ending 08/31/2015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7"/>
      <c r="P6" s="607"/>
      <c r="Q6" s="607"/>
      <c r="R6" s="607"/>
      <c r="S6" s="607"/>
      <c r="T6" s="607"/>
      <c r="U6" s="607"/>
      <c r="V6" s="607"/>
      <c r="W6" s="607"/>
      <c r="X6" s="607"/>
    </row>
    <row r="7" spans="1:91" ht="15.75" x14ac:dyDescent="0.25">
      <c r="A7" s="222" t="s">
        <v>604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8"/>
      <c r="P7" s="608"/>
      <c r="Q7" s="607"/>
      <c r="R7" s="607"/>
      <c r="S7" s="607"/>
      <c r="T7" s="607"/>
      <c r="U7" s="607"/>
      <c r="V7" s="607"/>
      <c r="W7" s="607"/>
      <c r="X7" s="607"/>
    </row>
    <row r="8" spans="1:91" ht="15.75" x14ac:dyDescent="0.25">
      <c r="A8" s="607"/>
      <c r="B8" s="607"/>
      <c r="C8" s="607"/>
      <c r="D8" s="607"/>
      <c r="E8" s="607"/>
      <c r="F8" s="607"/>
      <c r="G8" s="607"/>
      <c r="H8" s="607"/>
      <c r="I8" s="607"/>
      <c r="J8" s="607"/>
      <c r="K8" s="609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</row>
    <row r="10" spans="1:91" s="41" customFormat="1" x14ac:dyDescent="0.2">
      <c r="A10" s="610" t="s">
        <v>12</v>
      </c>
      <c r="B10" s="610" t="s">
        <v>5</v>
      </c>
      <c r="C10" s="213">
        <v>41912</v>
      </c>
      <c r="D10" s="611">
        <f>EOMONTH(C10,1)</f>
        <v>41943</v>
      </c>
      <c r="E10" s="611">
        <f t="shared" ref="E10:BP10" si="0">EOMONTH(D10,1)</f>
        <v>41973</v>
      </c>
      <c r="F10" s="611">
        <f t="shared" si="0"/>
        <v>42004</v>
      </c>
      <c r="G10" s="611">
        <f t="shared" si="0"/>
        <v>42035</v>
      </c>
      <c r="H10" s="611">
        <f t="shared" si="0"/>
        <v>42063</v>
      </c>
      <c r="I10" s="611">
        <f t="shared" si="0"/>
        <v>42094</v>
      </c>
      <c r="J10" s="611">
        <f t="shared" si="0"/>
        <v>42124</v>
      </c>
      <c r="K10" s="611">
        <f t="shared" si="0"/>
        <v>42155</v>
      </c>
      <c r="L10" s="611">
        <f t="shared" si="0"/>
        <v>42185</v>
      </c>
      <c r="M10" s="611">
        <f t="shared" si="0"/>
        <v>42216</v>
      </c>
      <c r="N10" s="611">
        <f t="shared" si="0"/>
        <v>42247</v>
      </c>
      <c r="O10" s="611">
        <f t="shared" si="0"/>
        <v>42277</v>
      </c>
      <c r="P10" s="611">
        <f t="shared" si="0"/>
        <v>42308</v>
      </c>
      <c r="Q10" s="611">
        <f t="shared" si="0"/>
        <v>42338</v>
      </c>
      <c r="R10" s="611">
        <f t="shared" si="0"/>
        <v>42369</v>
      </c>
      <c r="S10" s="611">
        <f t="shared" si="0"/>
        <v>42400</v>
      </c>
      <c r="T10" s="611">
        <f t="shared" si="0"/>
        <v>42429</v>
      </c>
      <c r="U10" s="611">
        <f t="shared" si="0"/>
        <v>42460</v>
      </c>
      <c r="V10" s="611">
        <f t="shared" si="0"/>
        <v>42490</v>
      </c>
      <c r="W10" s="611">
        <f t="shared" si="0"/>
        <v>42521</v>
      </c>
      <c r="X10" s="611">
        <f t="shared" si="0"/>
        <v>42551</v>
      </c>
      <c r="Y10" s="611">
        <f t="shared" si="0"/>
        <v>42582</v>
      </c>
      <c r="Z10" s="611">
        <f t="shared" si="0"/>
        <v>42613</v>
      </c>
      <c r="AA10" s="611">
        <f t="shared" si="0"/>
        <v>42643</v>
      </c>
      <c r="AB10" s="611">
        <f t="shared" si="0"/>
        <v>42674</v>
      </c>
      <c r="AC10" s="611">
        <f t="shared" si="0"/>
        <v>42704</v>
      </c>
      <c r="AD10" s="611">
        <f t="shared" si="0"/>
        <v>42735</v>
      </c>
      <c r="AE10" s="611">
        <f t="shared" si="0"/>
        <v>42766</v>
      </c>
      <c r="AF10" s="611">
        <f t="shared" si="0"/>
        <v>42794</v>
      </c>
      <c r="AG10" s="611">
        <f t="shared" si="0"/>
        <v>42825</v>
      </c>
      <c r="AH10" s="611">
        <f t="shared" si="0"/>
        <v>42855</v>
      </c>
      <c r="AI10" s="611">
        <f t="shared" si="0"/>
        <v>42886</v>
      </c>
      <c r="AJ10" s="611">
        <f t="shared" si="0"/>
        <v>42916</v>
      </c>
      <c r="AK10" s="611">
        <f t="shared" si="0"/>
        <v>42947</v>
      </c>
      <c r="AL10" s="611">
        <f t="shared" si="0"/>
        <v>42978</v>
      </c>
      <c r="AM10" s="611">
        <f t="shared" si="0"/>
        <v>43008</v>
      </c>
      <c r="AN10" s="611">
        <f t="shared" si="0"/>
        <v>43039</v>
      </c>
      <c r="AO10" s="611">
        <f t="shared" si="0"/>
        <v>43069</v>
      </c>
      <c r="AP10" s="611">
        <f t="shared" si="0"/>
        <v>43100</v>
      </c>
      <c r="AQ10" s="611">
        <f t="shared" si="0"/>
        <v>43131</v>
      </c>
      <c r="AR10" s="611">
        <f t="shared" si="0"/>
        <v>43159</v>
      </c>
      <c r="AS10" s="611">
        <f t="shared" si="0"/>
        <v>43190</v>
      </c>
      <c r="AT10" s="611">
        <f t="shared" si="0"/>
        <v>43220</v>
      </c>
      <c r="AU10" s="611">
        <f t="shared" si="0"/>
        <v>43251</v>
      </c>
      <c r="AV10" s="611">
        <f t="shared" si="0"/>
        <v>43281</v>
      </c>
      <c r="AW10" s="611">
        <f t="shared" si="0"/>
        <v>43312</v>
      </c>
      <c r="AX10" s="611">
        <f t="shared" si="0"/>
        <v>43343</v>
      </c>
      <c r="AY10" s="611">
        <f t="shared" si="0"/>
        <v>43373</v>
      </c>
      <c r="AZ10" s="611">
        <f t="shared" si="0"/>
        <v>43404</v>
      </c>
      <c r="BA10" s="611">
        <f t="shared" si="0"/>
        <v>43434</v>
      </c>
      <c r="BB10" s="611">
        <f t="shared" si="0"/>
        <v>43465</v>
      </c>
      <c r="BC10" s="611">
        <f t="shared" si="0"/>
        <v>43496</v>
      </c>
      <c r="BD10" s="611">
        <f t="shared" si="0"/>
        <v>43524</v>
      </c>
      <c r="BE10" s="611">
        <f t="shared" si="0"/>
        <v>43555</v>
      </c>
      <c r="BF10" s="611">
        <f t="shared" si="0"/>
        <v>43585</v>
      </c>
      <c r="BG10" s="611">
        <f t="shared" si="0"/>
        <v>43616</v>
      </c>
      <c r="BH10" s="611">
        <f t="shared" si="0"/>
        <v>43646</v>
      </c>
      <c r="BI10" s="611">
        <f t="shared" si="0"/>
        <v>43677</v>
      </c>
      <c r="BJ10" s="611">
        <f t="shared" si="0"/>
        <v>43708</v>
      </c>
      <c r="BK10" s="611">
        <f t="shared" si="0"/>
        <v>43738</v>
      </c>
      <c r="BL10" s="611">
        <f t="shared" si="0"/>
        <v>43769</v>
      </c>
      <c r="BM10" s="611">
        <f t="shared" si="0"/>
        <v>43799</v>
      </c>
      <c r="BN10" s="611">
        <f t="shared" si="0"/>
        <v>43830</v>
      </c>
      <c r="BO10" s="611">
        <f t="shared" si="0"/>
        <v>43861</v>
      </c>
      <c r="BP10" s="611">
        <f t="shared" si="0"/>
        <v>43890</v>
      </c>
      <c r="BQ10" s="611">
        <f t="shared" ref="BQ10:CH10" si="1">EOMONTH(BP10,1)</f>
        <v>43921</v>
      </c>
      <c r="BR10" s="611">
        <f t="shared" si="1"/>
        <v>43951</v>
      </c>
      <c r="BS10" s="611">
        <f t="shared" si="1"/>
        <v>43982</v>
      </c>
      <c r="BT10" s="611">
        <f t="shared" si="1"/>
        <v>44012</v>
      </c>
      <c r="BU10" s="611">
        <f t="shared" si="1"/>
        <v>44043</v>
      </c>
      <c r="BV10" s="611">
        <f t="shared" si="1"/>
        <v>44074</v>
      </c>
      <c r="BW10" s="611">
        <f t="shared" si="1"/>
        <v>44104</v>
      </c>
      <c r="BX10" s="611">
        <f t="shared" si="1"/>
        <v>44135</v>
      </c>
      <c r="BY10" s="611">
        <f t="shared" si="1"/>
        <v>44165</v>
      </c>
      <c r="BZ10" s="611">
        <f t="shared" si="1"/>
        <v>44196</v>
      </c>
      <c r="CA10" s="611">
        <f t="shared" si="1"/>
        <v>44227</v>
      </c>
      <c r="CB10" s="611">
        <f t="shared" si="1"/>
        <v>44255</v>
      </c>
      <c r="CC10" s="611">
        <f t="shared" si="1"/>
        <v>44286</v>
      </c>
      <c r="CD10" s="611">
        <f t="shared" si="1"/>
        <v>44316</v>
      </c>
      <c r="CE10" s="611">
        <f t="shared" si="1"/>
        <v>44347</v>
      </c>
      <c r="CF10" s="611">
        <f t="shared" si="1"/>
        <v>44377</v>
      </c>
      <c r="CG10" s="611">
        <f t="shared" si="1"/>
        <v>44408</v>
      </c>
      <c r="CH10" s="611">
        <f t="shared" si="1"/>
        <v>44439</v>
      </c>
      <c r="CI10" s="612"/>
      <c r="CJ10" s="612"/>
      <c r="CK10" s="612"/>
      <c r="CL10" s="612"/>
      <c r="CM10" s="612"/>
    </row>
    <row r="11" spans="1:91" s="41" customFormat="1" x14ac:dyDescent="0.2">
      <c r="A11" s="210"/>
      <c r="B11" s="613"/>
      <c r="C11" s="613" t="s">
        <v>13</v>
      </c>
      <c r="D11" s="212" t="s">
        <v>14</v>
      </c>
      <c r="E11" s="614" t="s">
        <v>15</v>
      </c>
      <c r="F11" s="614" t="s">
        <v>16</v>
      </c>
      <c r="G11" s="614" t="s">
        <v>108</v>
      </c>
      <c r="H11" s="614" t="s">
        <v>109</v>
      </c>
      <c r="I11" s="614" t="s">
        <v>110</v>
      </c>
      <c r="J11" s="614" t="s">
        <v>111</v>
      </c>
      <c r="K11" s="614" t="s">
        <v>112</v>
      </c>
      <c r="L11" s="614" t="s">
        <v>113</v>
      </c>
      <c r="M11" s="614" t="s">
        <v>114</v>
      </c>
      <c r="N11" s="614" t="s">
        <v>115</v>
      </c>
      <c r="O11" s="614" t="s">
        <v>116</v>
      </c>
      <c r="P11" s="614" t="s">
        <v>245</v>
      </c>
      <c r="Q11" s="614" t="s">
        <v>246</v>
      </c>
      <c r="R11" s="614" t="s">
        <v>247</v>
      </c>
      <c r="S11" s="614" t="s">
        <v>248</v>
      </c>
      <c r="T11" s="614" t="s">
        <v>249</v>
      </c>
      <c r="U11" s="614" t="s">
        <v>250</v>
      </c>
      <c r="V11" s="614" t="s">
        <v>251</v>
      </c>
      <c r="W11" s="614" t="s">
        <v>252</v>
      </c>
      <c r="X11" s="614" t="s">
        <v>253</v>
      </c>
      <c r="Y11" s="614" t="s">
        <v>254</v>
      </c>
      <c r="Z11" s="614" t="s">
        <v>255</v>
      </c>
      <c r="AA11" s="614" t="s">
        <v>256</v>
      </c>
      <c r="AB11" s="614" t="s">
        <v>257</v>
      </c>
      <c r="AC11" s="614" t="s">
        <v>258</v>
      </c>
      <c r="AD11" s="614" t="s">
        <v>259</v>
      </c>
      <c r="AE11" s="614" t="s">
        <v>260</v>
      </c>
      <c r="AF11" s="614" t="s">
        <v>261</v>
      </c>
      <c r="AG11" s="614" t="s">
        <v>262</v>
      </c>
      <c r="AH11" s="614" t="s">
        <v>263</v>
      </c>
      <c r="AI11" s="614" t="s">
        <v>264</v>
      </c>
      <c r="AJ11" s="614" t="s">
        <v>265</v>
      </c>
      <c r="AK11" s="614" t="s">
        <v>266</v>
      </c>
      <c r="AL11" s="614" t="s">
        <v>267</v>
      </c>
      <c r="AM11" s="614" t="s">
        <v>268</v>
      </c>
      <c r="AN11" s="614" t="s">
        <v>269</v>
      </c>
      <c r="AO11" s="614" t="s">
        <v>270</v>
      </c>
      <c r="AP11" s="614" t="s">
        <v>271</v>
      </c>
      <c r="AQ11" s="614" t="s">
        <v>272</v>
      </c>
      <c r="AR11" s="614" t="s">
        <v>273</v>
      </c>
      <c r="AS11" s="614" t="s">
        <v>274</v>
      </c>
      <c r="AT11" s="614" t="s">
        <v>275</v>
      </c>
      <c r="AU11" s="614" t="s">
        <v>276</v>
      </c>
      <c r="AV11" s="614" t="s">
        <v>277</v>
      </c>
      <c r="AW11" s="614" t="s">
        <v>278</v>
      </c>
      <c r="AX11" s="614" t="s">
        <v>279</v>
      </c>
      <c r="AY11" s="614" t="s">
        <v>280</v>
      </c>
      <c r="AZ11" s="614" t="s">
        <v>281</v>
      </c>
      <c r="BA11" s="614" t="s">
        <v>282</v>
      </c>
      <c r="BB11" s="614" t="s">
        <v>283</v>
      </c>
      <c r="BC11" s="614" t="s">
        <v>284</v>
      </c>
      <c r="BD11" s="614" t="s">
        <v>285</v>
      </c>
      <c r="BE11" s="614" t="s">
        <v>286</v>
      </c>
      <c r="BF11" s="614" t="s">
        <v>287</v>
      </c>
      <c r="BG11" s="614" t="s">
        <v>288</v>
      </c>
      <c r="BH11" s="614" t="s">
        <v>289</v>
      </c>
      <c r="BI11" s="614" t="s">
        <v>290</v>
      </c>
      <c r="BJ11" s="614" t="s">
        <v>291</v>
      </c>
      <c r="BK11" s="614" t="s">
        <v>292</v>
      </c>
      <c r="BL11" s="614" t="s">
        <v>293</v>
      </c>
      <c r="BM11" s="614" t="s">
        <v>309</v>
      </c>
      <c r="BN11" s="614" t="s">
        <v>310</v>
      </c>
      <c r="BO11" s="614" t="s">
        <v>311</v>
      </c>
      <c r="BP11" s="614" t="s">
        <v>312</v>
      </c>
      <c r="BQ11" s="614" t="s">
        <v>313</v>
      </c>
      <c r="BR11" s="614" t="s">
        <v>314</v>
      </c>
      <c r="BS11" s="614" t="s">
        <v>315</v>
      </c>
      <c r="BT11" s="614" t="s">
        <v>316</v>
      </c>
      <c r="BU11" s="614" t="s">
        <v>317</v>
      </c>
      <c r="BV11" s="614" t="s">
        <v>318</v>
      </c>
      <c r="BW11" s="614" t="s">
        <v>319</v>
      </c>
      <c r="BX11" s="614" t="s">
        <v>320</v>
      </c>
      <c r="BY11" s="614" t="s">
        <v>340</v>
      </c>
      <c r="BZ11" s="614" t="s">
        <v>341</v>
      </c>
      <c r="CA11" s="614" t="s">
        <v>342</v>
      </c>
      <c r="CB11" s="614" t="s">
        <v>343</v>
      </c>
      <c r="CC11" s="614" t="s">
        <v>344</v>
      </c>
      <c r="CD11" s="614" t="s">
        <v>345</v>
      </c>
      <c r="CE11" s="614" t="s">
        <v>346</v>
      </c>
      <c r="CF11" s="614" t="s">
        <v>347</v>
      </c>
      <c r="CG11" s="614" t="s">
        <v>348</v>
      </c>
      <c r="CH11" s="614" t="s">
        <v>349</v>
      </c>
      <c r="CI11" s="615"/>
      <c r="CJ11" s="612"/>
      <c r="CK11" s="612"/>
      <c r="CL11" s="612"/>
      <c r="CM11" s="612"/>
    </row>
    <row r="12" spans="1:91" s="41" customFormat="1" x14ac:dyDescent="0.2">
      <c r="A12" s="210"/>
      <c r="B12" s="210"/>
      <c r="C12" s="211"/>
      <c r="D12" s="616"/>
      <c r="E12" s="616"/>
      <c r="F12" s="616"/>
      <c r="G12" s="616"/>
      <c r="H12" s="616"/>
      <c r="I12" s="616"/>
      <c r="J12" s="616"/>
      <c r="K12" s="616"/>
      <c r="L12" s="616"/>
      <c r="M12" s="616"/>
      <c r="N12" s="616"/>
      <c r="O12" s="210"/>
      <c r="P12" s="616"/>
      <c r="Q12" s="616"/>
      <c r="R12" s="616"/>
      <c r="S12" s="616"/>
      <c r="T12" s="616"/>
      <c r="U12" s="616"/>
      <c r="V12" s="616"/>
      <c r="W12" s="616"/>
      <c r="X12" s="616"/>
      <c r="Y12" s="616"/>
      <c r="Z12" s="616"/>
      <c r="AA12" s="616"/>
      <c r="AB12" s="616"/>
      <c r="AC12" s="616"/>
      <c r="AD12" s="616"/>
      <c r="AE12" s="616"/>
      <c r="AF12" s="616"/>
      <c r="AG12" s="616"/>
      <c r="AH12" s="616"/>
      <c r="AI12" s="616"/>
      <c r="AJ12" s="616"/>
      <c r="AK12" s="616"/>
      <c r="AL12" s="616"/>
      <c r="AM12" s="616"/>
      <c r="AN12" s="616"/>
      <c r="AO12" s="616"/>
      <c r="AP12" s="616"/>
      <c r="AQ12" s="616"/>
      <c r="AR12" s="616"/>
      <c r="AS12" s="616"/>
      <c r="AT12" s="616"/>
      <c r="AU12" s="616"/>
      <c r="AV12" s="616"/>
      <c r="AW12" s="616"/>
      <c r="AX12" s="616"/>
      <c r="AY12" s="616"/>
      <c r="AZ12" s="616"/>
      <c r="BA12" s="616"/>
      <c r="BB12" s="616"/>
      <c r="BC12" s="616"/>
      <c r="BD12" s="616"/>
      <c r="BE12" s="616"/>
      <c r="BF12" s="616"/>
      <c r="BG12" s="616"/>
      <c r="BH12" s="616"/>
      <c r="BI12" s="616"/>
      <c r="BJ12" s="616"/>
      <c r="BK12" s="616"/>
      <c r="BL12" s="616"/>
      <c r="BM12" s="616"/>
      <c r="BN12" s="616"/>
      <c r="BO12" s="616"/>
      <c r="BP12" s="616"/>
      <c r="BQ12" s="616"/>
      <c r="BR12" s="616"/>
      <c r="BS12" s="616"/>
      <c r="BT12" s="616"/>
      <c r="BU12" s="616"/>
      <c r="BV12" s="616"/>
      <c r="BW12" s="616"/>
      <c r="BX12" s="616"/>
      <c r="BY12" s="616"/>
      <c r="BZ12" s="616"/>
      <c r="CA12" s="616"/>
      <c r="CB12" s="616"/>
      <c r="CC12" s="616"/>
      <c r="CD12" s="616"/>
      <c r="CE12" s="616"/>
      <c r="CF12" s="616"/>
      <c r="CG12" s="616"/>
      <c r="CH12" s="616"/>
      <c r="CI12" s="612"/>
      <c r="CJ12" s="612"/>
      <c r="CK12" s="612"/>
      <c r="CL12" s="612"/>
      <c r="CM12" s="612"/>
    </row>
    <row r="13" spans="1:91" x14ac:dyDescent="0.2">
      <c r="A13" s="613">
        <v>1</v>
      </c>
      <c r="B13" s="210" t="s">
        <v>582</v>
      </c>
      <c r="C13" s="209">
        <f>HDDs!$E$12</f>
        <v>8</v>
      </c>
      <c r="D13" s="209">
        <f>HDDs!$E$13</f>
        <v>75</v>
      </c>
      <c r="E13" s="209">
        <f>HDDs!$E$14</f>
        <v>456</v>
      </c>
      <c r="F13" s="209">
        <f>HDDs!$E$15</f>
        <v>723</v>
      </c>
      <c r="G13" s="209">
        <f>HDDs!$E$16</f>
        <v>936</v>
      </c>
      <c r="H13" s="209">
        <f>HDDs!$E$17</f>
        <v>877</v>
      </c>
      <c r="I13" s="209">
        <f>HDDs!$E$18</f>
        <v>902</v>
      </c>
      <c r="J13" s="209">
        <f>HDDs!$E$19</f>
        <v>307</v>
      </c>
      <c r="K13" s="209">
        <f>HDDs!$E$20</f>
        <v>123</v>
      </c>
      <c r="L13" s="209">
        <f>HDDs!$E$21</f>
        <v>31</v>
      </c>
      <c r="M13" s="209">
        <f>HDDs!$E$22</f>
        <v>0</v>
      </c>
      <c r="N13" s="209">
        <f>HDDs!$E$23</f>
        <v>0</v>
      </c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</row>
    <row r="14" spans="1:91" x14ac:dyDescent="0.2">
      <c r="A14" s="613">
        <v>2</v>
      </c>
      <c r="B14" s="210" t="s">
        <v>583</v>
      </c>
      <c r="C14" s="209">
        <f>HDDs!$F$12</f>
        <v>3</v>
      </c>
      <c r="D14" s="209">
        <f>HDDs!$F$13</f>
        <v>87</v>
      </c>
      <c r="E14" s="209">
        <f>HDDs!$F$14</f>
        <v>389</v>
      </c>
      <c r="F14" s="209">
        <f>HDDs!$F$15</f>
        <v>708</v>
      </c>
      <c r="G14" s="209">
        <f>HDDs!$F$16</f>
        <v>847</v>
      </c>
      <c r="H14" s="209">
        <f>HDDs!$F$17</f>
        <v>933</v>
      </c>
      <c r="I14" s="209">
        <f>HDDs!$F$18</f>
        <v>633</v>
      </c>
      <c r="J14" s="209">
        <f>HDDs!$F$19</f>
        <v>358</v>
      </c>
      <c r="K14" s="209">
        <f>HDDs!$F$20</f>
        <v>121</v>
      </c>
      <c r="L14" s="209">
        <f>HDDs!$F$21</f>
        <v>23</v>
      </c>
      <c r="M14" s="209">
        <f>HDDs!$F$22</f>
        <v>0</v>
      </c>
      <c r="N14" s="209">
        <f>HDDs!$F$23</f>
        <v>0</v>
      </c>
      <c r="O14" s="209">
        <f>C14</f>
        <v>3</v>
      </c>
      <c r="P14" s="209">
        <f t="shared" ref="P14:CA15" si="2">D14</f>
        <v>87</v>
      </c>
      <c r="Q14" s="209">
        <f t="shared" si="2"/>
        <v>389</v>
      </c>
      <c r="R14" s="209">
        <f t="shared" si="2"/>
        <v>708</v>
      </c>
      <c r="S14" s="209">
        <f t="shared" si="2"/>
        <v>847</v>
      </c>
      <c r="T14" s="209">
        <f t="shared" si="2"/>
        <v>933</v>
      </c>
      <c r="U14" s="209">
        <f t="shared" si="2"/>
        <v>633</v>
      </c>
      <c r="V14" s="209">
        <f t="shared" si="2"/>
        <v>358</v>
      </c>
      <c r="W14" s="209">
        <f t="shared" si="2"/>
        <v>121</v>
      </c>
      <c r="X14" s="209">
        <f t="shared" si="2"/>
        <v>23</v>
      </c>
      <c r="Y14" s="209">
        <f t="shared" si="2"/>
        <v>0</v>
      </c>
      <c r="Z14" s="209">
        <f t="shared" si="2"/>
        <v>0</v>
      </c>
      <c r="AA14" s="209">
        <f t="shared" si="2"/>
        <v>3</v>
      </c>
      <c r="AB14" s="209">
        <f t="shared" si="2"/>
        <v>87</v>
      </c>
      <c r="AC14" s="209">
        <f t="shared" si="2"/>
        <v>389</v>
      </c>
      <c r="AD14" s="209">
        <f t="shared" si="2"/>
        <v>708</v>
      </c>
      <c r="AE14" s="209">
        <f t="shared" si="2"/>
        <v>847</v>
      </c>
      <c r="AF14" s="209">
        <f t="shared" si="2"/>
        <v>933</v>
      </c>
      <c r="AG14" s="209">
        <f t="shared" si="2"/>
        <v>633</v>
      </c>
      <c r="AH14" s="209">
        <f t="shared" si="2"/>
        <v>358</v>
      </c>
      <c r="AI14" s="209">
        <f t="shared" si="2"/>
        <v>121</v>
      </c>
      <c r="AJ14" s="209">
        <f t="shared" si="2"/>
        <v>23</v>
      </c>
      <c r="AK14" s="209">
        <f t="shared" si="2"/>
        <v>0</v>
      </c>
      <c r="AL14" s="209">
        <f t="shared" si="2"/>
        <v>0</v>
      </c>
      <c r="AM14" s="209">
        <f t="shared" si="2"/>
        <v>3</v>
      </c>
      <c r="AN14" s="209">
        <f t="shared" si="2"/>
        <v>87</v>
      </c>
      <c r="AO14" s="209">
        <f t="shared" si="2"/>
        <v>389</v>
      </c>
      <c r="AP14" s="209">
        <f t="shared" si="2"/>
        <v>708</v>
      </c>
      <c r="AQ14" s="209">
        <f t="shared" si="2"/>
        <v>847</v>
      </c>
      <c r="AR14" s="209">
        <f t="shared" si="2"/>
        <v>933</v>
      </c>
      <c r="AS14" s="209">
        <f t="shared" si="2"/>
        <v>633</v>
      </c>
      <c r="AT14" s="209">
        <f t="shared" si="2"/>
        <v>358</v>
      </c>
      <c r="AU14" s="209">
        <f t="shared" si="2"/>
        <v>121</v>
      </c>
      <c r="AV14" s="209">
        <f t="shared" si="2"/>
        <v>23</v>
      </c>
      <c r="AW14" s="209">
        <f t="shared" si="2"/>
        <v>0</v>
      </c>
      <c r="AX14" s="209">
        <f t="shared" si="2"/>
        <v>0</v>
      </c>
      <c r="AY14" s="209">
        <f t="shared" si="2"/>
        <v>3</v>
      </c>
      <c r="AZ14" s="209">
        <f t="shared" si="2"/>
        <v>87</v>
      </c>
      <c r="BA14" s="209">
        <f t="shared" si="2"/>
        <v>389</v>
      </c>
      <c r="BB14" s="209">
        <f t="shared" si="2"/>
        <v>708</v>
      </c>
      <c r="BC14" s="209">
        <f t="shared" si="2"/>
        <v>847</v>
      </c>
      <c r="BD14" s="209">
        <f t="shared" si="2"/>
        <v>933</v>
      </c>
      <c r="BE14" s="209">
        <f t="shared" si="2"/>
        <v>633</v>
      </c>
      <c r="BF14" s="209">
        <f t="shared" si="2"/>
        <v>358</v>
      </c>
      <c r="BG14" s="209">
        <f t="shared" si="2"/>
        <v>121</v>
      </c>
      <c r="BH14" s="209">
        <f t="shared" si="2"/>
        <v>23</v>
      </c>
      <c r="BI14" s="209">
        <f t="shared" si="2"/>
        <v>0</v>
      </c>
      <c r="BJ14" s="209">
        <f t="shared" si="2"/>
        <v>0</v>
      </c>
      <c r="BK14" s="209">
        <f t="shared" si="2"/>
        <v>3</v>
      </c>
      <c r="BL14" s="209">
        <f t="shared" si="2"/>
        <v>87</v>
      </c>
      <c r="BM14" s="209">
        <f t="shared" si="2"/>
        <v>389</v>
      </c>
      <c r="BN14" s="209">
        <f t="shared" si="2"/>
        <v>708</v>
      </c>
      <c r="BO14" s="209">
        <f t="shared" si="2"/>
        <v>847</v>
      </c>
      <c r="BP14" s="209">
        <f t="shared" si="2"/>
        <v>933</v>
      </c>
      <c r="BQ14" s="209">
        <f t="shared" si="2"/>
        <v>633</v>
      </c>
      <c r="BR14" s="209">
        <f t="shared" si="2"/>
        <v>358</v>
      </c>
      <c r="BS14" s="209">
        <f t="shared" si="2"/>
        <v>121</v>
      </c>
      <c r="BT14" s="209">
        <f t="shared" si="2"/>
        <v>23</v>
      </c>
      <c r="BU14" s="209">
        <f t="shared" si="2"/>
        <v>0</v>
      </c>
      <c r="BV14" s="209">
        <f t="shared" si="2"/>
        <v>0</v>
      </c>
      <c r="BW14" s="209">
        <f t="shared" si="2"/>
        <v>3</v>
      </c>
      <c r="BX14" s="209">
        <f t="shared" si="2"/>
        <v>87</v>
      </c>
      <c r="BY14" s="209">
        <f t="shared" si="2"/>
        <v>389</v>
      </c>
      <c r="BZ14" s="209">
        <f t="shared" si="2"/>
        <v>708</v>
      </c>
      <c r="CA14" s="209">
        <f t="shared" si="2"/>
        <v>847</v>
      </c>
      <c r="CB14" s="209">
        <f t="shared" ref="CB14:CH15" si="3">BP14</f>
        <v>933</v>
      </c>
      <c r="CC14" s="209">
        <f t="shared" si="3"/>
        <v>633</v>
      </c>
      <c r="CD14" s="209">
        <f t="shared" si="3"/>
        <v>358</v>
      </c>
      <c r="CE14" s="209">
        <f t="shared" si="3"/>
        <v>121</v>
      </c>
      <c r="CF14" s="209">
        <f t="shared" si="3"/>
        <v>23</v>
      </c>
      <c r="CG14" s="209">
        <f t="shared" si="3"/>
        <v>0</v>
      </c>
      <c r="CH14" s="209">
        <f t="shared" si="3"/>
        <v>0</v>
      </c>
    </row>
    <row r="15" spans="1:91" x14ac:dyDescent="0.2">
      <c r="A15" s="613">
        <v>3</v>
      </c>
      <c r="B15" s="210" t="s">
        <v>600</v>
      </c>
      <c r="C15" s="209">
        <f>HDDs!$D$12</f>
        <v>23</v>
      </c>
      <c r="D15" s="209">
        <f>HDDs!$D$13</f>
        <v>235</v>
      </c>
      <c r="E15" s="209">
        <f>HDDs!$D$14</f>
        <v>534</v>
      </c>
      <c r="F15" s="209">
        <f>HDDs!$D$15</f>
        <v>801</v>
      </c>
      <c r="G15" s="209">
        <f>HDDs!$D$16</f>
        <v>923</v>
      </c>
      <c r="H15" s="209">
        <f>HDDs!$D$17</f>
        <v>801</v>
      </c>
      <c r="I15" s="209">
        <f>HDDs!$D$18</f>
        <v>505</v>
      </c>
      <c r="J15" s="209">
        <f>HDDs!$D$19</f>
        <v>216</v>
      </c>
      <c r="K15" s="209">
        <f>HDDs!$D$20</f>
        <v>63</v>
      </c>
      <c r="L15" s="209">
        <f>HDDs!$D$21</f>
        <v>1</v>
      </c>
      <c r="M15" s="209">
        <f>HDDs!$D$22</f>
        <v>0</v>
      </c>
      <c r="N15" s="209">
        <f>HDDs!$D$23</f>
        <v>0</v>
      </c>
      <c r="O15" s="209">
        <f>C15</f>
        <v>23</v>
      </c>
      <c r="P15" s="209">
        <f t="shared" si="2"/>
        <v>235</v>
      </c>
      <c r="Q15" s="209">
        <f t="shared" si="2"/>
        <v>534</v>
      </c>
      <c r="R15" s="209">
        <f t="shared" si="2"/>
        <v>801</v>
      </c>
      <c r="S15" s="209">
        <f t="shared" si="2"/>
        <v>923</v>
      </c>
      <c r="T15" s="209">
        <f t="shared" si="2"/>
        <v>801</v>
      </c>
      <c r="U15" s="209">
        <f t="shared" si="2"/>
        <v>505</v>
      </c>
      <c r="V15" s="209">
        <f t="shared" si="2"/>
        <v>216</v>
      </c>
      <c r="W15" s="209">
        <f t="shared" si="2"/>
        <v>63</v>
      </c>
      <c r="X15" s="209">
        <f t="shared" si="2"/>
        <v>1</v>
      </c>
      <c r="Y15" s="209">
        <f t="shared" si="2"/>
        <v>0</v>
      </c>
      <c r="Z15" s="209">
        <f t="shared" si="2"/>
        <v>0</v>
      </c>
      <c r="AA15" s="209">
        <f t="shared" si="2"/>
        <v>23</v>
      </c>
      <c r="AB15" s="209">
        <f t="shared" si="2"/>
        <v>235</v>
      </c>
      <c r="AC15" s="209">
        <f t="shared" si="2"/>
        <v>534</v>
      </c>
      <c r="AD15" s="209">
        <f t="shared" si="2"/>
        <v>801</v>
      </c>
      <c r="AE15" s="209">
        <f t="shared" si="2"/>
        <v>923</v>
      </c>
      <c r="AF15" s="209">
        <f t="shared" si="2"/>
        <v>801</v>
      </c>
      <c r="AG15" s="209">
        <f t="shared" si="2"/>
        <v>505</v>
      </c>
      <c r="AH15" s="209">
        <f t="shared" si="2"/>
        <v>216</v>
      </c>
      <c r="AI15" s="209">
        <f t="shared" si="2"/>
        <v>63</v>
      </c>
      <c r="AJ15" s="209">
        <f t="shared" si="2"/>
        <v>1</v>
      </c>
      <c r="AK15" s="209">
        <f t="shared" si="2"/>
        <v>0</v>
      </c>
      <c r="AL15" s="209">
        <f t="shared" si="2"/>
        <v>0</v>
      </c>
      <c r="AM15" s="209">
        <f t="shared" si="2"/>
        <v>23</v>
      </c>
      <c r="AN15" s="209">
        <f t="shared" si="2"/>
        <v>235</v>
      </c>
      <c r="AO15" s="209">
        <f t="shared" si="2"/>
        <v>534</v>
      </c>
      <c r="AP15" s="209">
        <f t="shared" si="2"/>
        <v>801</v>
      </c>
      <c r="AQ15" s="209">
        <f t="shared" si="2"/>
        <v>923</v>
      </c>
      <c r="AR15" s="209">
        <f t="shared" si="2"/>
        <v>801</v>
      </c>
      <c r="AS15" s="209">
        <f t="shared" si="2"/>
        <v>505</v>
      </c>
      <c r="AT15" s="209">
        <f t="shared" si="2"/>
        <v>216</v>
      </c>
      <c r="AU15" s="209">
        <f t="shared" si="2"/>
        <v>63</v>
      </c>
      <c r="AV15" s="209">
        <f t="shared" si="2"/>
        <v>1</v>
      </c>
      <c r="AW15" s="209">
        <f t="shared" si="2"/>
        <v>0</v>
      </c>
      <c r="AX15" s="209">
        <f t="shared" si="2"/>
        <v>0</v>
      </c>
      <c r="AY15" s="209">
        <f t="shared" si="2"/>
        <v>23</v>
      </c>
      <c r="AZ15" s="209">
        <f t="shared" si="2"/>
        <v>235</v>
      </c>
      <c r="BA15" s="209">
        <f t="shared" si="2"/>
        <v>534</v>
      </c>
      <c r="BB15" s="209">
        <f t="shared" si="2"/>
        <v>801</v>
      </c>
      <c r="BC15" s="209">
        <f t="shared" si="2"/>
        <v>923</v>
      </c>
      <c r="BD15" s="209">
        <f t="shared" si="2"/>
        <v>801</v>
      </c>
      <c r="BE15" s="209">
        <f t="shared" si="2"/>
        <v>505</v>
      </c>
      <c r="BF15" s="209">
        <f t="shared" si="2"/>
        <v>216</v>
      </c>
      <c r="BG15" s="209">
        <f t="shared" si="2"/>
        <v>63</v>
      </c>
      <c r="BH15" s="209">
        <f t="shared" si="2"/>
        <v>1</v>
      </c>
      <c r="BI15" s="209">
        <f t="shared" si="2"/>
        <v>0</v>
      </c>
      <c r="BJ15" s="209">
        <f t="shared" si="2"/>
        <v>0</v>
      </c>
      <c r="BK15" s="209">
        <f t="shared" si="2"/>
        <v>23</v>
      </c>
      <c r="BL15" s="209">
        <f t="shared" si="2"/>
        <v>235</v>
      </c>
      <c r="BM15" s="209">
        <f t="shared" si="2"/>
        <v>534</v>
      </c>
      <c r="BN15" s="209">
        <f t="shared" si="2"/>
        <v>801</v>
      </c>
      <c r="BO15" s="209">
        <f t="shared" si="2"/>
        <v>923</v>
      </c>
      <c r="BP15" s="209">
        <f t="shared" si="2"/>
        <v>801</v>
      </c>
      <c r="BQ15" s="209">
        <f t="shared" si="2"/>
        <v>505</v>
      </c>
      <c r="BR15" s="209">
        <f t="shared" si="2"/>
        <v>216</v>
      </c>
      <c r="BS15" s="209">
        <f t="shared" si="2"/>
        <v>63</v>
      </c>
      <c r="BT15" s="209">
        <f t="shared" si="2"/>
        <v>1</v>
      </c>
      <c r="BU15" s="209">
        <f t="shared" si="2"/>
        <v>0</v>
      </c>
      <c r="BV15" s="209">
        <f t="shared" si="2"/>
        <v>0</v>
      </c>
      <c r="BW15" s="209">
        <f t="shared" si="2"/>
        <v>23</v>
      </c>
      <c r="BX15" s="209">
        <f t="shared" si="2"/>
        <v>235</v>
      </c>
      <c r="BY15" s="209">
        <f t="shared" si="2"/>
        <v>534</v>
      </c>
      <c r="BZ15" s="209">
        <f t="shared" si="2"/>
        <v>801</v>
      </c>
      <c r="CA15" s="209">
        <f t="shared" si="2"/>
        <v>923</v>
      </c>
      <c r="CB15" s="209">
        <f t="shared" si="3"/>
        <v>801</v>
      </c>
      <c r="CC15" s="209">
        <f t="shared" si="3"/>
        <v>505</v>
      </c>
      <c r="CD15" s="209">
        <f t="shared" si="3"/>
        <v>216</v>
      </c>
      <c r="CE15" s="209">
        <f t="shared" si="3"/>
        <v>63</v>
      </c>
      <c r="CF15" s="209">
        <f t="shared" si="3"/>
        <v>1</v>
      </c>
      <c r="CG15" s="209">
        <f t="shared" si="3"/>
        <v>0</v>
      </c>
      <c r="CH15" s="209">
        <f t="shared" si="3"/>
        <v>0</v>
      </c>
    </row>
    <row r="16" spans="1:91" x14ac:dyDescent="0.2">
      <c r="A16" s="613">
        <v>4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</row>
    <row r="17" spans="1:86" x14ac:dyDescent="0.2">
      <c r="A17" s="613">
        <v>5</v>
      </c>
      <c r="B17" s="35" t="s">
        <v>30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</row>
    <row r="18" spans="1:86" x14ac:dyDescent="0.2">
      <c r="A18" s="613">
        <v>6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</row>
    <row r="19" spans="1:86" x14ac:dyDescent="0.2">
      <c r="A19" s="613">
        <v>7</v>
      </c>
      <c r="B19" s="210" t="s">
        <v>597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17">
        <f>'[3]Res Decline'!$C$44</f>
        <v>400</v>
      </c>
      <c r="P19" s="618">
        <f>O19</f>
        <v>400</v>
      </c>
      <c r="Q19" s="618">
        <f t="shared" ref="Q19:Z19" si="4">P19</f>
        <v>400</v>
      </c>
      <c r="R19" s="618">
        <f t="shared" si="4"/>
        <v>400</v>
      </c>
      <c r="S19" s="618">
        <f t="shared" si="4"/>
        <v>400</v>
      </c>
      <c r="T19" s="618">
        <f t="shared" si="4"/>
        <v>400</v>
      </c>
      <c r="U19" s="618">
        <f t="shared" si="4"/>
        <v>400</v>
      </c>
      <c r="V19" s="618">
        <f t="shared" si="4"/>
        <v>400</v>
      </c>
      <c r="W19" s="618">
        <f t="shared" si="4"/>
        <v>400</v>
      </c>
      <c r="X19" s="618">
        <f t="shared" si="4"/>
        <v>400</v>
      </c>
      <c r="Y19" s="618">
        <f t="shared" si="4"/>
        <v>400</v>
      </c>
      <c r="Z19" s="618">
        <f t="shared" si="4"/>
        <v>400</v>
      </c>
      <c r="AA19" s="618">
        <f t="shared" ref="AA19:AA21" si="5">Z19</f>
        <v>400</v>
      </c>
      <c r="AB19" s="618">
        <f t="shared" ref="AB19:AB21" si="6">AA19</f>
        <v>400</v>
      </c>
      <c r="AC19" s="618">
        <f t="shared" ref="AC19:AC21" si="7">AB19</f>
        <v>400</v>
      </c>
      <c r="AD19" s="618">
        <f t="shared" ref="AD19:AD21" si="8">AC19</f>
        <v>400</v>
      </c>
      <c r="AE19" s="618">
        <f t="shared" ref="AE19:AE21" si="9">AD19</f>
        <v>400</v>
      </c>
      <c r="AF19" s="618">
        <f t="shared" ref="AF19:AF21" si="10">AE19</f>
        <v>400</v>
      </c>
      <c r="AG19" s="618">
        <f t="shared" ref="AG19:AG21" si="11">AF19</f>
        <v>400</v>
      </c>
      <c r="AH19" s="618">
        <f t="shared" ref="AH19:AH21" si="12">AG19</f>
        <v>400</v>
      </c>
      <c r="AI19" s="618">
        <f t="shared" ref="AI19:AI21" si="13">AH19</f>
        <v>400</v>
      </c>
      <c r="AJ19" s="618">
        <f t="shared" ref="AJ19:AJ21" si="14">AI19</f>
        <v>400</v>
      </c>
      <c r="AK19" s="618">
        <f t="shared" ref="AK19:AK21" si="15">AJ19</f>
        <v>400</v>
      </c>
      <c r="AL19" s="618">
        <f t="shared" ref="AL19:AL21" si="16">AK19</f>
        <v>400</v>
      </c>
      <c r="AM19" s="618">
        <f t="shared" ref="AM19:AM21" si="17">AL19</f>
        <v>400</v>
      </c>
      <c r="AN19" s="618">
        <f t="shared" ref="AN19:AN21" si="18">AM19</f>
        <v>400</v>
      </c>
      <c r="AO19" s="618">
        <f t="shared" ref="AO19:AO21" si="19">AN19</f>
        <v>400</v>
      </c>
      <c r="AP19" s="618">
        <f t="shared" ref="AP19:AP21" si="20">AO19</f>
        <v>400</v>
      </c>
      <c r="AQ19" s="618">
        <f t="shared" ref="AQ19:AQ21" si="21">AP19</f>
        <v>400</v>
      </c>
      <c r="AR19" s="618">
        <f t="shared" ref="AR19:AR21" si="22">AQ19</f>
        <v>400</v>
      </c>
      <c r="AS19" s="618">
        <f t="shared" ref="AS19:AS21" si="23">AR19</f>
        <v>400</v>
      </c>
      <c r="AT19" s="618">
        <f t="shared" ref="AT19:AT21" si="24">AS19</f>
        <v>400</v>
      </c>
      <c r="AU19" s="618">
        <f t="shared" ref="AU19:AU21" si="25">AT19</f>
        <v>400</v>
      </c>
      <c r="AV19" s="618">
        <f t="shared" ref="AV19:AV21" si="26">AU19</f>
        <v>400</v>
      </c>
      <c r="AW19" s="618">
        <f t="shared" ref="AW19:AW21" si="27">AV19</f>
        <v>400</v>
      </c>
      <c r="AX19" s="618">
        <f t="shared" ref="AX19:AX21" si="28">AW19</f>
        <v>400</v>
      </c>
      <c r="AY19" s="618">
        <f t="shared" ref="AY19:AY21" si="29">AX19</f>
        <v>400</v>
      </c>
      <c r="AZ19" s="618">
        <f t="shared" ref="AZ19:AZ21" si="30">AY19</f>
        <v>400</v>
      </c>
      <c r="BA19" s="618">
        <f t="shared" ref="BA19:BA21" si="31">AZ19</f>
        <v>400</v>
      </c>
      <c r="BB19" s="618">
        <f t="shared" ref="BB19:BB21" si="32">BA19</f>
        <v>400</v>
      </c>
      <c r="BC19" s="618">
        <f t="shared" ref="BC19:BC21" si="33">BB19</f>
        <v>400</v>
      </c>
      <c r="BD19" s="618">
        <f t="shared" ref="BD19:BD21" si="34">BC19</f>
        <v>400</v>
      </c>
      <c r="BE19" s="618">
        <f t="shared" ref="BE19:BE21" si="35">BD19</f>
        <v>400</v>
      </c>
      <c r="BF19" s="618">
        <f t="shared" ref="BF19:BF21" si="36">BE19</f>
        <v>400</v>
      </c>
      <c r="BG19" s="618">
        <f t="shared" ref="BG19:BG21" si="37">BF19</f>
        <v>400</v>
      </c>
      <c r="BH19" s="618">
        <f t="shared" ref="BH19:BH21" si="38">BG19</f>
        <v>400</v>
      </c>
      <c r="BI19" s="618">
        <f t="shared" ref="BI19:BI21" si="39">BH19</f>
        <v>400</v>
      </c>
      <c r="BJ19" s="618">
        <f t="shared" ref="BJ19:BJ21" si="40">BI19</f>
        <v>400</v>
      </c>
      <c r="BK19" s="618">
        <f t="shared" ref="BK19:BK21" si="41">BJ19</f>
        <v>400</v>
      </c>
      <c r="BL19" s="618">
        <f t="shared" ref="BL19:BL21" si="42">BK19</f>
        <v>400</v>
      </c>
      <c r="BM19" s="618">
        <f t="shared" ref="BM19:BM21" si="43">BL19</f>
        <v>400</v>
      </c>
      <c r="BN19" s="618">
        <f t="shared" ref="BN19:BN21" si="44">BM19</f>
        <v>400</v>
      </c>
      <c r="BO19" s="618">
        <f t="shared" ref="BO19:BO21" si="45">BN19</f>
        <v>400</v>
      </c>
      <c r="BP19" s="618">
        <f t="shared" ref="BP19:BP21" si="46">BO19</f>
        <v>400</v>
      </c>
      <c r="BQ19" s="618">
        <f t="shared" ref="BQ19:BQ21" si="47">BP19</f>
        <v>400</v>
      </c>
      <c r="BR19" s="618">
        <f t="shared" ref="BR19:BR21" si="48">BQ19</f>
        <v>400</v>
      </c>
      <c r="BS19" s="618">
        <f t="shared" ref="BS19:BS21" si="49">BR19</f>
        <v>400</v>
      </c>
      <c r="BT19" s="618">
        <f t="shared" ref="BT19:BT21" si="50">BS19</f>
        <v>400</v>
      </c>
      <c r="BU19" s="618">
        <f t="shared" ref="BU19:BU21" si="51">BT19</f>
        <v>400</v>
      </c>
      <c r="BV19" s="618">
        <f t="shared" ref="BV19:BV21" si="52">BU19</f>
        <v>400</v>
      </c>
      <c r="BW19" s="618">
        <f t="shared" ref="BW19:BW21" si="53">BV19</f>
        <v>400</v>
      </c>
      <c r="BX19" s="618">
        <f t="shared" ref="BX19:BX21" si="54">BW19</f>
        <v>400</v>
      </c>
      <c r="BY19" s="618">
        <f t="shared" ref="BY19:BY21" si="55">BX19</f>
        <v>400</v>
      </c>
      <c r="BZ19" s="618">
        <f t="shared" ref="BZ19:BZ21" si="56">BY19</f>
        <v>400</v>
      </c>
      <c r="CA19" s="618">
        <f t="shared" ref="CA19:CA21" si="57">BZ19</f>
        <v>400</v>
      </c>
      <c r="CB19" s="618">
        <f t="shared" ref="CB19:CB21" si="58">CA19</f>
        <v>400</v>
      </c>
      <c r="CC19" s="618">
        <f t="shared" ref="CC19:CC21" si="59">CB19</f>
        <v>400</v>
      </c>
      <c r="CD19" s="618">
        <f t="shared" ref="CD19:CD21" si="60">CC19</f>
        <v>400</v>
      </c>
      <c r="CE19" s="618">
        <f t="shared" ref="CE19:CE21" si="61">CD19</f>
        <v>400</v>
      </c>
      <c r="CF19" s="618">
        <f t="shared" ref="CF19:CF21" si="62">CE19</f>
        <v>400</v>
      </c>
      <c r="CG19" s="618">
        <f t="shared" ref="CG19:CG21" si="63">CF19</f>
        <v>400</v>
      </c>
      <c r="CH19" s="618">
        <f t="shared" ref="CH19:CH21" si="64">CG19</f>
        <v>400</v>
      </c>
    </row>
    <row r="20" spans="1:86" x14ac:dyDescent="0.2">
      <c r="A20" s="613">
        <v>8</v>
      </c>
      <c r="B20" s="210" t="s">
        <v>598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17">
        <f>'[3]Res Decline'!$P$24</f>
        <v>0</v>
      </c>
      <c r="P20" s="618">
        <f t="shared" ref="P20:Z21" si="65">O20</f>
        <v>0</v>
      </c>
      <c r="Q20" s="618">
        <f t="shared" si="65"/>
        <v>0</v>
      </c>
      <c r="R20" s="618">
        <f t="shared" si="65"/>
        <v>0</v>
      </c>
      <c r="S20" s="618">
        <f t="shared" si="65"/>
        <v>0</v>
      </c>
      <c r="T20" s="618">
        <f t="shared" si="65"/>
        <v>0</v>
      </c>
      <c r="U20" s="618">
        <f t="shared" si="65"/>
        <v>0</v>
      </c>
      <c r="V20" s="618">
        <f t="shared" si="65"/>
        <v>0</v>
      </c>
      <c r="W20" s="618">
        <f t="shared" si="65"/>
        <v>0</v>
      </c>
      <c r="X20" s="618">
        <f t="shared" si="65"/>
        <v>0</v>
      </c>
      <c r="Y20" s="618">
        <f t="shared" si="65"/>
        <v>0</v>
      </c>
      <c r="Z20" s="618">
        <f t="shared" si="65"/>
        <v>0</v>
      </c>
      <c r="AA20" s="618">
        <f t="shared" si="5"/>
        <v>0</v>
      </c>
      <c r="AB20" s="618">
        <f t="shared" si="6"/>
        <v>0</v>
      </c>
      <c r="AC20" s="618">
        <f t="shared" si="7"/>
        <v>0</v>
      </c>
      <c r="AD20" s="618">
        <f t="shared" si="8"/>
        <v>0</v>
      </c>
      <c r="AE20" s="618">
        <f t="shared" si="9"/>
        <v>0</v>
      </c>
      <c r="AF20" s="618">
        <f t="shared" si="10"/>
        <v>0</v>
      </c>
      <c r="AG20" s="618">
        <f t="shared" si="11"/>
        <v>0</v>
      </c>
      <c r="AH20" s="618">
        <f t="shared" si="12"/>
        <v>0</v>
      </c>
      <c r="AI20" s="618">
        <f t="shared" si="13"/>
        <v>0</v>
      </c>
      <c r="AJ20" s="618">
        <f t="shared" si="14"/>
        <v>0</v>
      </c>
      <c r="AK20" s="618">
        <f t="shared" si="15"/>
        <v>0</v>
      </c>
      <c r="AL20" s="618">
        <f t="shared" si="16"/>
        <v>0</v>
      </c>
      <c r="AM20" s="618">
        <f t="shared" si="17"/>
        <v>0</v>
      </c>
      <c r="AN20" s="618">
        <f t="shared" si="18"/>
        <v>0</v>
      </c>
      <c r="AO20" s="618">
        <f t="shared" si="19"/>
        <v>0</v>
      </c>
      <c r="AP20" s="618">
        <f t="shared" si="20"/>
        <v>0</v>
      </c>
      <c r="AQ20" s="618">
        <f t="shared" si="21"/>
        <v>0</v>
      </c>
      <c r="AR20" s="618">
        <f t="shared" si="22"/>
        <v>0</v>
      </c>
      <c r="AS20" s="618">
        <f t="shared" si="23"/>
        <v>0</v>
      </c>
      <c r="AT20" s="618">
        <f t="shared" si="24"/>
        <v>0</v>
      </c>
      <c r="AU20" s="618">
        <f t="shared" si="25"/>
        <v>0</v>
      </c>
      <c r="AV20" s="618">
        <f t="shared" si="26"/>
        <v>0</v>
      </c>
      <c r="AW20" s="618">
        <f t="shared" si="27"/>
        <v>0</v>
      </c>
      <c r="AX20" s="618">
        <f t="shared" si="28"/>
        <v>0</v>
      </c>
      <c r="AY20" s="618">
        <f t="shared" si="29"/>
        <v>0</v>
      </c>
      <c r="AZ20" s="618">
        <f t="shared" si="30"/>
        <v>0</v>
      </c>
      <c r="BA20" s="618">
        <f t="shared" si="31"/>
        <v>0</v>
      </c>
      <c r="BB20" s="618">
        <f t="shared" si="32"/>
        <v>0</v>
      </c>
      <c r="BC20" s="618">
        <f t="shared" si="33"/>
        <v>0</v>
      </c>
      <c r="BD20" s="618">
        <f t="shared" si="34"/>
        <v>0</v>
      </c>
      <c r="BE20" s="618">
        <f t="shared" si="35"/>
        <v>0</v>
      </c>
      <c r="BF20" s="618">
        <f t="shared" si="36"/>
        <v>0</v>
      </c>
      <c r="BG20" s="618">
        <f t="shared" si="37"/>
        <v>0</v>
      </c>
      <c r="BH20" s="618">
        <f t="shared" si="38"/>
        <v>0</v>
      </c>
      <c r="BI20" s="618">
        <f t="shared" si="39"/>
        <v>0</v>
      </c>
      <c r="BJ20" s="618">
        <f t="shared" si="40"/>
        <v>0</v>
      </c>
      <c r="BK20" s="618">
        <f t="shared" si="41"/>
        <v>0</v>
      </c>
      <c r="BL20" s="618">
        <f t="shared" si="42"/>
        <v>0</v>
      </c>
      <c r="BM20" s="618">
        <f t="shared" si="43"/>
        <v>0</v>
      </c>
      <c r="BN20" s="618">
        <f t="shared" si="44"/>
        <v>0</v>
      </c>
      <c r="BO20" s="618">
        <f t="shared" si="45"/>
        <v>0</v>
      </c>
      <c r="BP20" s="618">
        <f t="shared" si="46"/>
        <v>0</v>
      </c>
      <c r="BQ20" s="618">
        <f t="shared" si="47"/>
        <v>0</v>
      </c>
      <c r="BR20" s="618">
        <f t="shared" si="48"/>
        <v>0</v>
      </c>
      <c r="BS20" s="618">
        <f t="shared" si="49"/>
        <v>0</v>
      </c>
      <c r="BT20" s="618">
        <f t="shared" si="50"/>
        <v>0</v>
      </c>
      <c r="BU20" s="618">
        <f t="shared" si="51"/>
        <v>0</v>
      </c>
      <c r="BV20" s="618">
        <f t="shared" si="52"/>
        <v>0</v>
      </c>
      <c r="BW20" s="618">
        <f t="shared" si="53"/>
        <v>0</v>
      </c>
      <c r="BX20" s="618">
        <f t="shared" si="54"/>
        <v>0</v>
      </c>
      <c r="BY20" s="618">
        <f t="shared" si="55"/>
        <v>0</v>
      </c>
      <c r="BZ20" s="618">
        <f t="shared" si="56"/>
        <v>0</v>
      </c>
      <c r="CA20" s="618">
        <f t="shared" si="57"/>
        <v>0</v>
      </c>
      <c r="CB20" s="618">
        <f t="shared" si="58"/>
        <v>0</v>
      </c>
      <c r="CC20" s="618">
        <f t="shared" si="59"/>
        <v>0</v>
      </c>
      <c r="CD20" s="618">
        <f t="shared" si="60"/>
        <v>0</v>
      </c>
      <c r="CE20" s="618">
        <f t="shared" si="61"/>
        <v>0</v>
      </c>
      <c r="CF20" s="618">
        <f t="shared" si="62"/>
        <v>0</v>
      </c>
      <c r="CG20" s="618">
        <f t="shared" si="63"/>
        <v>0</v>
      </c>
      <c r="CH20" s="618">
        <f t="shared" si="64"/>
        <v>0</v>
      </c>
    </row>
    <row r="21" spans="1:86" x14ac:dyDescent="0.2">
      <c r="A21" s="613">
        <v>9</v>
      </c>
      <c r="B21" s="210" t="s">
        <v>599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17">
        <f>'[3]Res Decline'!$M$24</f>
        <v>0</v>
      </c>
      <c r="P21" s="618">
        <f t="shared" si="65"/>
        <v>0</v>
      </c>
      <c r="Q21" s="618">
        <f t="shared" ref="Q21:Z21" si="66">P21</f>
        <v>0</v>
      </c>
      <c r="R21" s="618">
        <f t="shared" si="66"/>
        <v>0</v>
      </c>
      <c r="S21" s="618">
        <f t="shared" si="66"/>
        <v>0</v>
      </c>
      <c r="T21" s="618">
        <f t="shared" si="66"/>
        <v>0</v>
      </c>
      <c r="U21" s="618">
        <f t="shared" si="66"/>
        <v>0</v>
      </c>
      <c r="V21" s="618">
        <f t="shared" si="66"/>
        <v>0</v>
      </c>
      <c r="W21" s="618">
        <f t="shared" si="66"/>
        <v>0</v>
      </c>
      <c r="X21" s="618">
        <f t="shared" si="66"/>
        <v>0</v>
      </c>
      <c r="Y21" s="618">
        <f t="shared" si="66"/>
        <v>0</v>
      </c>
      <c r="Z21" s="618">
        <f t="shared" si="66"/>
        <v>0</v>
      </c>
      <c r="AA21" s="618">
        <f t="shared" si="5"/>
        <v>0</v>
      </c>
      <c r="AB21" s="618">
        <f t="shared" si="6"/>
        <v>0</v>
      </c>
      <c r="AC21" s="618">
        <f t="shared" si="7"/>
        <v>0</v>
      </c>
      <c r="AD21" s="618">
        <f t="shared" si="8"/>
        <v>0</v>
      </c>
      <c r="AE21" s="618">
        <f t="shared" si="9"/>
        <v>0</v>
      </c>
      <c r="AF21" s="618">
        <f t="shared" si="10"/>
        <v>0</v>
      </c>
      <c r="AG21" s="618">
        <f t="shared" si="11"/>
        <v>0</v>
      </c>
      <c r="AH21" s="618">
        <f t="shared" si="12"/>
        <v>0</v>
      </c>
      <c r="AI21" s="618">
        <f t="shared" si="13"/>
        <v>0</v>
      </c>
      <c r="AJ21" s="618">
        <f t="shared" si="14"/>
        <v>0</v>
      </c>
      <c r="AK21" s="618">
        <f t="shared" si="15"/>
        <v>0</v>
      </c>
      <c r="AL21" s="618">
        <f t="shared" si="16"/>
        <v>0</v>
      </c>
      <c r="AM21" s="618">
        <f t="shared" si="17"/>
        <v>0</v>
      </c>
      <c r="AN21" s="618">
        <f t="shared" si="18"/>
        <v>0</v>
      </c>
      <c r="AO21" s="618">
        <f t="shared" si="19"/>
        <v>0</v>
      </c>
      <c r="AP21" s="618">
        <f t="shared" si="20"/>
        <v>0</v>
      </c>
      <c r="AQ21" s="618">
        <f t="shared" si="21"/>
        <v>0</v>
      </c>
      <c r="AR21" s="618">
        <f t="shared" si="22"/>
        <v>0</v>
      </c>
      <c r="AS21" s="618">
        <f t="shared" si="23"/>
        <v>0</v>
      </c>
      <c r="AT21" s="618">
        <f t="shared" si="24"/>
        <v>0</v>
      </c>
      <c r="AU21" s="618">
        <f t="shared" si="25"/>
        <v>0</v>
      </c>
      <c r="AV21" s="618">
        <f t="shared" si="26"/>
        <v>0</v>
      </c>
      <c r="AW21" s="618">
        <f t="shared" si="27"/>
        <v>0</v>
      </c>
      <c r="AX21" s="618">
        <f t="shared" si="28"/>
        <v>0</v>
      </c>
      <c r="AY21" s="618">
        <f t="shared" si="29"/>
        <v>0</v>
      </c>
      <c r="AZ21" s="618">
        <f t="shared" si="30"/>
        <v>0</v>
      </c>
      <c r="BA21" s="618">
        <f t="shared" si="31"/>
        <v>0</v>
      </c>
      <c r="BB21" s="618">
        <f t="shared" si="32"/>
        <v>0</v>
      </c>
      <c r="BC21" s="618">
        <f t="shared" si="33"/>
        <v>0</v>
      </c>
      <c r="BD21" s="618">
        <f t="shared" si="34"/>
        <v>0</v>
      </c>
      <c r="BE21" s="618">
        <f t="shared" si="35"/>
        <v>0</v>
      </c>
      <c r="BF21" s="618">
        <f t="shared" si="36"/>
        <v>0</v>
      </c>
      <c r="BG21" s="618">
        <f t="shared" si="37"/>
        <v>0</v>
      </c>
      <c r="BH21" s="618">
        <f t="shared" si="38"/>
        <v>0</v>
      </c>
      <c r="BI21" s="618">
        <f t="shared" si="39"/>
        <v>0</v>
      </c>
      <c r="BJ21" s="618">
        <f t="shared" si="40"/>
        <v>0</v>
      </c>
      <c r="BK21" s="618">
        <f t="shared" si="41"/>
        <v>0</v>
      </c>
      <c r="BL21" s="618">
        <f t="shared" si="42"/>
        <v>0</v>
      </c>
      <c r="BM21" s="618">
        <f t="shared" si="43"/>
        <v>0</v>
      </c>
      <c r="BN21" s="618">
        <f t="shared" si="44"/>
        <v>0</v>
      </c>
      <c r="BO21" s="618">
        <f t="shared" si="45"/>
        <v>0</v>
      </c>
      <c r="BP21" s="618">
        <f t="shared" si="46"/>
        <v>0</v>
      </c>
      <c r="BQ21" s="618">
        <f t="shared" si="47"/>
        <v>0</v>
      </c>
      <c r="BR21" s="618">
        <f t="shared" si="48"/>
        <v>0</v>
      </c>
      <c r="BS21" s="618">
        <f t="shared" si="49"/>
        <v>0</v>
      </c>
      <c r="BT21" s="618">
        <f t="shared" si="50"/>
        <v>0</v>
      </c>
      <c r="BU21" s="618">
        <f t="shared" si="51"/>
        <v>0</v>
      </c>
      <c r="BV21" s="618">
        <f t="shared" si="52"/>
        <v>0</v>
      </c>
      <c r="BW21" s="618">
        <f t="shared" si="53"/>
        <v>0</v>
      </c>
      <c r="BX21" s="618">
        <f t="shared" si="54"/>
        <v>0</v>
      </c>
      <c r="BY21" s="618">
        <f t="shared" si="55"/>
        <v>0</v>
      </c>
      <c r="BZ21" s="618">
        <f t="shared" si="56"/>
        <v>0</v>
      </c>
      <c r="CA21" s="618">
        <f t="shared" si="57"/>
        <v>0</v>
      </c>
      <c r="CB21" s="618">
        <f t="shared" si="58"/>
        <v>0</v>
      </c>
      <c r="CC21" s="618">
        <f t="shared" si="59"/>
        <v>0</v>
      </c>
      <c r="CD21" s="618">
        <f t="shared" si="60"/>
        <v>0</v>
      </c>
      <c r="CE21" s="618">
        <f t="shared" si="61"/>
        <v>0</v>
      </c>
      <c r="CF21" s="618">
        <f t="shared" si="62"/>
        <v>0</v>
      </c>
      <c r="CG21" s="618">
        <f t="shared" si="63"/>
        <v>0</v>
      </c>
      <c r="CH21" s="618">
        <f t="shared" si="64"/>
        <v>0</v>
      </c>
    </row>
    <row r="22" spans="1:86" x14ac:dyDescent="0.2">
      <c r="A22" s="613">
        <v>10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</row>
    <row r="23" spans="1:86" x14ac:dyDescent="0.2">
      <c r="A23" s="613">
        <v>11</v>
      </c>
      <c r="B23" s="210" t="s">
        <v>593</v>
      </c>
      <c r="C23" s="44">
        <f t="shared" ref="C23:Z23" si="67">C28*C30</f>
        <v>164347.94767077951</v>
      </c>
      <c r="D23" s="44">
        <f t="shared" si="67"/>
        <v>165988.03161867682</v>
      </c>
      <c r="E23" s="44">
        <f t="shared" si="67"/>
        <v>165851.99280415315</v>
      </c>
      <c r="F23" s="44">
        <f t="shared" si="67"/>
        <v>171865.99671661525</v>
      </c>
      <c r="G23" s="44">
        <f t="shared" si="67"/>
        <v>171814.84612235436</v>
      </c>
      <c r="H23" s="44">
        <f t="shared" si="67"/>
        <v>153648.76698612244</v>
      </c>
      <c r="I23" s="44">
        <f t="shared" si="67"/>
        <v>190855.92691360245</v>
      </c>
      <c r="J23" s="44">
        <f t="shared" si="67"/>
        <v>172213.16777127964</v>
      </c>
      <c r="K23" s="44">
        <f t="shared" si="67"/>
        <v>170548.05268150999</v>
      </c>
      <c r="L23" s="44">
        <f t="shared" si="67"/>
        <v>170095.31550677525</v>
      </c>
      <c r="M23" s="44">
        <f t="shared" si="67"/>
        <v>167918.69447439665</v>
      </c>
      <c r="N23" s="44">
        <f t="shared" si="67"/>
        <v>165243.62722560333</v>
      </c>
      <c r="O23" s="44">
        <f t="shared" si="67"/>
        <v>164783.27187725523</v>
      </c>
      <c r="P23" s="44">
        <f t="shared" si="67"/>
        <v>166423.35582515254</v>
      </c>
      <c r="Q23" s="44">
        <f t="shared" si="67"/>
        <v>166287.31701062887</v>
      </c>
      <c r="R23" s="44">
        <f t="shared" si="67"/>
        <v>172301.32092309097</v>
      </c>
      <c r="S23" s="44">
        <f t="shared" si="67"/>
        <v>172250.17032883008</v>
      </c>
      <c r="T23" s="44">
        <f t="shared" si="67"/>
        <v>154084.09119259816</v>
      </c>
      <c r="U23" s="44">
        <f t="shared" si="67"/>
        <v>191291.25112007817</v>
      </c>
      <c r="V23" s="44">
        <f t="shared" si="67"/>
        <v>172648.49197775536</v>
      </c>
      <c r="W23" s="44">
        <f t="shared" si="67"/>
        <v>170983.37688798571</v>
      </c>
      <c r="X23" s="44">
        <f t="shared" si="67"/>
        <v>170530.63971325097</v>
      </c>
      <c r="Y23" s="44">
        <f t="shared" si="67"/>
        <v>168354.01868087237</v>
      </c>
      <c r="Z23" s="44">
        <f t="shared" si="67"/>
        <v>165678.95143207905</v>
      </c>
      <c r="AA23" s="44">
        <f t="shared" ref="AA23:CH23" si="68">AA28*AA30</f>
        <v>165218.59608373095</v>
      </c>
      <c r="AB23" s="44">
        <f t="shared" si="68"/>
        <v>166858.68003162826</v>
      </c>
      <c r="AC23" s="44">
        <f t="shared" si="68"/>
        <v>166722.6412171046</v>
      </c>
      <c r="AD23" s="44">
        <f t="shared" si="68"/>
        <v>172736.64512956669</v>
      </c>
      <c r="AE23" s="44">
        <f t="shared" si="68"/>
        <v>172685.4945353058</v>
      </c>
      <c r="AF23" s="44">
        <f t="shared" si="68"/>
        <v>154519.41539907389</v>
      </c>
      <c r="AG23" s="44">
        <f t="shared" si="68"/>
        <v>191726.5753265539</v>
      </c>
      <c r="AH23" s="44">
        <f t="shared" si="68"/>
        <v>173083.81618423108</v>
      </c>
      <c r="AI23" s="44">
        <f t="shared" si="68"/>
        <v>171418.70109446146</v>
      </c>
      <c r="AJ23" s="44">
        <f t="shared" si="68"/>
        <v>170965.9639197267</v>
      </c>
      <c r="AK23" s="44">
        <f t="shared" si="68"/>
        <v>168789.34288734809</v>
      </c>
      <c r="AL23" s="44">
        <f t="shared" si="68"/>
        <v>166114.27563855477</v>
      </c>
      <c r="AM23" s="44">
        <f t="shared" si="68"/>
        <v>165653.9202902067</v>
      </c>
      <c r="AN23" s="44">
        <f t="shared" si="68"/>
        <v>167294.00423810398</v>
      </c>
      <c r="AO23" s="44">
        <f t="shared" si="68"/>
        <v>167157.96542358032</v>
      </c>
      <c r="AP23" s="44">
        <f t="shared" si="68"/>
        <v>173171.96933604241</v>
      </c>
      <c r="AQ23" s="44">
        <f t="shared" si="68"/>
        <v>173120.81874178152</v>
      </c>
      <c r="AR23" s="44">
        <f t="shared" si="68"/>
        <v>154954.73960554961</v>
      </c>
      <c r="AS23" s="44">
        <f t="shared" si="68"/>
        <v>192161.89953302962</v>
      </c>
      <c r="AT23" s="44">
        <f t="shared" si="68"/>
        <v>173519.1403907068</v>
      </c>
      <c r="AU23" s="44">
        <f t="shared" si="68"/>
        <v>171854.02530093718</v>
      </c>
      <c r="AV23" s="44">
        <f t="shared" si="68"/>
        <v>171401.28812620242</v>
      </c>
      <c r="AW23" s="44">
        <f t="shared" si="68"/>
        <v>169224.66709382381</v>
      </c>
      <c r="AX23" s="44">
        <f t="shared" si="68"/>
        <v>166549.59984503049</v>
      </c>
      <c r="AY23" s="44">
        <f t="shared" si="68"/>
        <v>166089.24449668243</v>
      </c>
      <c r="AZ23" s="44">
        <f t="shared" si="68"/>
        <v>167729.3284445797</v>
      </c>
      <c r="BA23" s="44">
        <f t="shared" si="68"/>
        <v>167593.28963005604</v>
      </c>
      <c r="BB23" s="44">
        <f t="shared" si="68"/>
        <v>173607.29354251813</v>
      </c>
      <c r="BC23" s="44">
        <f t="shared" si="68"/>
        <v>173556.14294825724</v>
      </c>
      <c r="BD23" s="44">
        <f t="shared" si="68"/>
        <v>155390.06381202536</v>
      </c>
      <c r="BE23" s="44">
        <f t="shared" si="68"/>
        <v>192597.22373950534</v>
      </c>
      <c r="BF23" s="44">
        <f t="shared" si="68"/>
        <v>173954.46459718252</v>
      </c>
      <c r="BG23" s="44">
        <f t="shared" si="68"/>
        <v>172289.3495074129</v>
      </c>
      <c r="BH23" s="44">
        <f t="shared" si="68"/>
        <v>171836.61233267814</v>
      </c>
      <c r="BI23" s="44">
        <f t="shared" si="68"/>
        <v>169659.99130029953</v>
      </c>
      <c r="BJ23" s="44">
        <f t="shared" si="68"/>
        <v>166984.92405150621</v>
      </c>
      <c r="BK23" s="44">
        <f t="shared" si="68"/>
        <v>166524.56870315815</v>
      </c>
      <c r="BL23" s="44">
        <f t="shared" si="68"/>
        <v>168164.65265105542</v>
      </c>
      <c r="BM23" s="44">
        <f t="shared" si="68"/>
        <v>168028.61383653176</v>
      </c>
      <c r="BN23" s="44">
        <f t="shared" si="68"/>
        <v>174042.61774899386</v>
      </c>
      <c r="BO23" s="44">
        <f t="shared" si="68"/>
        <v>173991.46715473296</v>
      </c>
      <c r="BP23" s="44">
        <f t="shared" si="68"/>
        <v>155825.38801850108</v>
      </c>
      <c r="BQ23" s="44">
        <f t="shared" si="68"/>
        <v>193032.54794598106</v>
      </c>
      <c r="BR23" s="44">
        <f t="shared" si="68"/>
        <v>174389.78880365824</v>
      </c>
      <c r="BS23" s="44">
        <f t="shared" si="68"/>
        <v>172724.67371388862</v>
      </c>
      <c r="BT23" s="44">
        <f t="shared" si="68"/>
        <v>172271.93653915386</v>
      </c>
      <c r="BU23" s="44">
        <f t="shared" si="68"/>
        <v>170095.31550677525</v>
      </c>
      <c r="BV23" s="44">
        <f t="shared" si="68"/>
        <v>167420.24825798193</v>
      </c>
      <c r="BW23" s="44">
        <f t="shared" si="68"/>
        <v>166959.89290963387</v>
      </c>
      <c r="BX23" s="44">
        <f t="shared" si="68"/>
        <v>168599.97685753115</v>
      </c>
      <c r="BY23" s="44">
        <f t="shared" si="68"/>
        <v>168463.93804300748</v>
      </c>
      <c r="BZ23" s="44">
        <f t="shared" si="68"/>
        <v>174477.94195546958</v>
      </c>
      <c r="CA23" s="44">
        <f t="shared" si="68"/>
        <v>174426.79136120868</v>
      </c>
      <c r="CB23" s="44">
        <f t="shared" si="68"/>
        <v>156260.7122249768</v>
      </c>
      <c r="CC23" s="44">
        <f t="shared" si="68"/>
        <v>193467.87215245678</v>
      </c>
      <c r="CD23" s="44">
        <f t="shared" si="68"/>
        <v>174825.11301013397</v>
      </c>
      <c r="CE23" s="44">
        <f t="shared" si="68"/>
        <v>173159.99792036435</v>
      </c>
      <c r="CF23" s="44">
        <f t="shared" si="68"/>
        <v>172707.26074562958</v>
      </c>
      <c r="CG23" s="44">
        <f t="shared" si="68"/>
        <v>170530.63971325097</v>
      </c>
      <c r="CH23" s="44">
        <f t="shared" si="68"/>
        <v>167855.57246445765</v>
      </c>
    </row>
    <row r="24" spans="1:86" x14ac:dyDescent="0.2">
      <c r="A24" s="613">
        <v>12</v>
      </c>
      <c r="B24" s="210" t="s">
        <v>594</v>
      </c>
      <c r="C24" s="44">
        <f t="shared" ref="C24:N24" si="69">C32-C23</f>
        <v>8656.1429292204848</v>
      </c>
      <c r="D24" s="44">
        <f t="shared" si="69"/>
        <v>72503.670981323172</v>
      </c>
      <c r="E24" s="44">
        <f t="shared" si="69"/>
        <v>706790.25259584689</v>
      </c>
      <c r="F24" s="44">
        <f t="shared" si="69"/>
        <v>1460602.3713833848</v>
      </c>
      <c r="G24" s="44">
        <f t="shared" si="69"/>
        <v>2041896.8023776459</v>
      </c>
      <c r="H24" s="44">
        <f t="shared" si="69"/>
        <v>1663855.5365138776</v>
      </c>
      <c r="I24" s="44">
        <f t="shared" si="69"/>
        <v>2218911.5874863979</v>
      </c>
      <c r="J24" s="44">
        <f t="shared" si="69"/>
        <v>668690.88292872044</v>
      </c>
      <c r="K24" s="44">
        <f t="shared" si="69"/>
        <v>158527.89091849001</v>
      </c>
      <c r="L24" s="44">
        <f t="shared" si="69"/>
        <v>26421.625093224749</v>
      </c>
      <c r="M24" s="44">
        <f t="shared" si="69"/>
        <v>-9735.405574396631</v>
      </c>
      <c r="N24" s="44">
        <f t="shared" si="69"/>
        <v>9735.4055743966601</v>
      </c>
      <c r="O24" s="45">
        <f>O26*O30*O$14</f>
        <v>5854.4598455809937</v>
      </c>
      <c r="P24" s="45">
        <f t="shared" ref="P24:Z24" si="70">P26*P30*P$14</f>
        <v>171469.14517122554</v>
      </c>
      <c r="Q24" s="45">
        <f t="shared" si="70"/>
        <v>766057.17147953529</v>
      </c>
      <c r="R24" s="45">
        <f t="shared" si="70"/>
        <v>1444688.8458613739</v>
      </c>
      <c r="S24" s="45">
        <f t="shared" si="70"/>
        <v>1727808.1787865241</v>
      </c>
      <c r="T24" s="45">
        <f t="shared" si="70"/>
        <v>1702518.7362463346</v>
      </c>
      <c r="U24" s="45">
        <f t="shared" si="70"/>
        <v>1434007.0047166825</v>
      </c>
      <c r="V24" s="45">
        <f t="shared" si="70"/>
        <v>731978.40912793821</v>
      </c>
      <c r="W24" s="45">
        <f t="shared" si="70"/>
        <v>245014.45979051752</v>
      </c>
      <c r="X24" s="45">
        <f t="shared" si="70"/>
        <v>46449.678496251552</v>
      </c>
      <c r="Y24" s="45">
        <f t="shared" si="70"/>
        <v>0</v>
      </c>
      <c r="Z24" s="45">
        <f t="shared" si="70"/>
        <v>0</v>
      </c>
      <c r="AA24" s="45">
        <f>AA26*AA30*AA$14</f>
        <v>5869.9916652658239</v>
      </c>
      <c r="AB24" s="45">
        <f t="shared" ref="AB24:AL24" si="71">AB26*AB30*AB$14</f>
        <v>171919.58680262321</v>
      </c>
      <c r="AC24" s="45">
        <f t="shared" si="71"/>
        <v>768071.20810089004</v>
      </c>
      <c r="AD24" s="45">
        <f t="shared" si="71"/>
        <v>1448355.0588767291</v>
      </c>
      <c r="AE24" s="45">
        <f t="shared" si="71"/>
        <v>1732194.1651841472</v>
      </c>
      <c r="AF24" s="45">
        <f t="shared" si="71"/>
        <v>1707347.8126941167</v>
      </c>
      <c r="AG24" s="45">
        <f t="shared" si="71"/>
        <v>1437286.4366064826</v>
      </c>
      <c r="AH24" s="45">
        <f t="shared" si="71"/>
        <v>733832.24513189925</v>
      </c>
      <c r="AI24" s="45">
        <f t="shared" si="71"/>
        <v>245641.00901493712</v>
      </c>
      <c r="AJ24" s="45">
        <f t="shared" si="71"/>
        <v>46568.773253425054</v>
      </c>
      <c r="AK24" s="45">
        <f t="shared" si="71"/>
        <v>0</v>
      </c>
      <c r="AL24" s="45">
        <f t="shared" si="71"/>
        <v>0</v>
      </c>
      <c r="AM24" s="45">
        <f>AM26*AM30*AM$14</f>
        <v>5885.5254353153086</v>
      </c>
      <c r="AN24" s="45">
        <f t="shared" ref="AN24:AX24" si="72">AN26*AN30*AN$14</f>
        <v>172370.08545545544</v>
      </c>
      <c r="AO24" s="45">
        <f t="shared" si="72"/>
        <v>770085.49950923224</v>
      </c>
      <c r="AP24" s="45">
        <f t="shared" si="72"/>
        <v>1452021.7493699563</v>
      </c>
      <c r="AQ24" s="45">
        <f t="shared" si="72"/>
        <v>1736580.7226618347</v>
      </c>
      <c r="AR24" s="45">
        <f t="shared" si="72"/>
        <v>1712177.4634637914</v>
      </c>
      <c r="AS24" s="45">
        <f t="shared" si="72"/>
        <v>1440566.3342187726</v>
      </c>
      <c r="AT24" s="45">
        <f t="shared" si="72"/>
        <v>735686.32297384122</v>
      </c>
      <c r="AU24" s="45">
        <f t="shared" si="72"/>
        <v>246267.63932714419</v>
      </c>
      <c r="AV24" s="45">
        <f t="shared" si="72"/>
        <v>46687.883390347277</v>
      </c>
      <c r="AW24" s="45">
        <f t="shared" si="72"/>
        <v>0</v>
      </c>
      <c r="AX24" s="45">
        <f t="shared" si="72"/>
        <v>0</v>
      </c>
      <c r="AY24" s="45">
        <f>AY26*AY30*AY$14</f>
        <v>5901.0590600977739</v>
      </c>
      <c r="AZ24" s="45">
        <f t="shared" ref="AZ24:BJ24" si="73">AZ26*AZ30*AZ$14</f>
        <v>172820.57975266071</v>
      </c>
      <c r="BA24" s="45">
        <f t="shared" si="73"/>
        <v>772099.77149540652</v>
      </c>
      <c r="BB24" s="45">
        <f t="shared" si="73"/>
        <v>1455688.4002500724</v>
      </c>
      <c r="BC24" s="45">
        <f t="shared" si="73"/>
        <v>1740967.232792645</v>
      </c>
      <c r="BD24" s="45">
        <f t="shared" si="73"/>
        <v>1717007.0790514776</v>
      </c>
      <c r="BE24" s="45">
        <f t="shared" si="73"/>
        <v>1443846.1843771096</v>
      </c>
      <c r="BF24" s="45">
        <f t="shared" si="73"/>
        <v>737540.3806609672</v>
      </c>
      <c r="BG24" s="45">
        <f t="shared" si="73"/>
        <v>246894.26302900433</v>
      </c>
      <c r="BH24" s="45">
        <f t="shared" si="73"/>
        <v>46806.992281184546</v>
      </c>
      <c r="BI24" s="45">
        <f t="shared" si="73"/>
        <v>0</v>
      </c>
      <c r="BJ24" s="45">
        <f t="shared" si="73"/>
        <v>0</v>
      </c>
      <c r="BK24" s="45">
        <f>BK26*BK30*BK$14</f>
        <v>5916.5923497800268</v>
      </c>
      <c r="BL24" s="45">
        <f t="shared" ref="BL24:BV24" si="74">BL26*BL30*BL$14</f>
        <v>173271.06413597718</v>
      </c>
      <c r="BM24" s="45">
        <f t="shared" si="74"/>
        <v>774113.99922664824</v>
      </c>
      <c r="BN24" s="45">
        <f t="shared" si="74"/>
        <v>1459354.9647356416</v>
      </c>
      <c r="BO24" s="45">
        <f t="shared" si="74"/>
        <v>1745353.6396267738</v>
      </c>
      <c r="BP24" s="45">
        <f t="shared" si="74"/>
        <v>1721836.60413385</v>
      </c>
      <c r="BQ24" s="45">
        <f t="shared" si="74"/>
        <v>1447125.9407823975</v>
      </c>
      <c r="BR24" s="45">
        <f t="shared" si="74"/>
        <v>739394.39449200477</v>
      </c>
      <c r="BS24" s="45">
        <f t="shared" si="74"/>
        <v>247520.87218473025</v>
      </c>
      <c r="BT24" s="45">
        <f t="shared" si="74"/>
        <v>46926.098421356466</v>
      </c>
      <c r="BU24" s="45">
        <f t="shared" si="74"/>
        <v>0</v>
      </c>
      <c r="BV24" s="45">
        <f t="shared" si="74"/>
        <v>0</v>
      </c>
      <c r="BW24" s="45">
        <f>BW26*BW30*BW$14</f>
        <v>5932.1250274843906</v>
      </c>
      <c r="BX24" s="45">
        <f t="shared" ref="BX24:CH24" si="75">BX26*BX30*BX$14</f>
        <v>173721.53049861014</v>
      </c>
      <c r="BY24" s="45">
        <f t="shared" si="75"/>
        <v>776128.14648401889</v>
      </c>
      <c r="BZ24" s="45">
        <f t="shared" si="75"/>
        <v>1463021.3745983772</v>
      </c>
      <c r="CA24" s="45">
        <f t="shared" si="75"/>
        <v>1749739.8615643168</v>
      </c>
      <c r="CB24" s="45">
        <f t="shared" si="75"/>
        <v>1726665.9580127662</v>
      </c>
      <c r="CC24" s="45">
        <f t="shared" si="75"/>
        <v>1450405.5359182733</v>
      </c>
      <c r="CD24" s="45">
        <f t="shared" si="75"/>
        <v>741248.32989997149</v>
      </c>
      <c r="CE24" s="45">
        <f t="shared" si="75"/>
        <v>248147.4552202776</v>
      </c>
      <c r="CF24" s="45">
        <f t="shared" si="75"/>
        <v>47045.199616482307</v>
      </c>
      <c r="CG24" s="45">
        <f t="shared" si="75"/>
        <v>0</v>
      </c>
      <c r="CH24" s="45">
        <f t="shared" si="75"/>
        <v>0</v>
      </c>
    </row>
    <row r="25" spans="1:86" x14ac:dyDescent="0.2">
      <c r="A25" s="613">
        <v>13</v>
      </c>
      <c r="B25" s="210" t="s">
        <v>595</v>
      </c>
      <c r="C25" s="619">
        <f t="shared" ref="C25:N25" si="76">C24/C30</f>
        <v>5.7320894559508416E-2</v>
      </c>
      <c r="D25" s="619">
        <f t="shared" si="76"/>
        <v>0.47537468106480618</v>
      </c>
      <c r="E25" s="619">
        <f t="shared" si="76"/>
        <v>4.6379139112815917</v>
      </c>
      <c r="F25" s="619">
        <f t="shared" si="76"/>
        <v>9.2490018451328826</v>
      </c>
      <c r="G25" s="619">
        <f t="shared" si="76"/>
        <v>12.933793633982035</v>
      </c>
      <c r="H25" s="619">
        <f t="shared" si="76"/>
        <v>11.785265273045789</v>
      </c>
      <c r="I25" s="619">
        <f t="shared" si="76"/>
        <v>12.6528154205498</v>
      </c>
      <c r="J25" s="619">
        <f t="shared" si="76"/>
        <v>4.2258285437137522</v>
      </c>
      <c r="K25" s="619">
        <f t="shared" si="76"/>
        <v>1.0116068057258358</v>
      </c>
      <c r="L25" s="619">
        <f t="shared" si="76"/>
        <v>0.16905187751994491</v>
      </c>
      <c r="M25" s="619">
        <f t="shared" si="76"/>
        <v>-6.3096871370681956E-2</v>
      </c>
      <c r="N25" s="619">
        <f t="shared" si="76"/>
        <v>6.411832301114144E-2</v>
      </c>
      <c r="O25" s="620">
        <f>O24/O30</f>
        <v>3.8665758629309391E-2</v>
      </c>
      <c r="P25" s="620">
        <f t="shared" ref="P25:Z25" si="77">P24/P30</f>
        <v>1.1213070002499725</v>
      </c>
      <c r="Q25" s="620">
        <f t="shared" si="77"/>
        <v>5.0136600356004513</v>
      </c>
      <c r="R25" s="620">
        <f t="shared" si="77"/>
        <v>9.1251190365170149</v>
      </c>
      <c r="S25" s="620">
        <f t="shared" si="77"/>
        <v>10.916632519675018</v>
      </c>
      <c r="T25" s="620">
        <f t="shared" si="77"/>
        <v>12.025050933715221</v>
      </c>
      <c r="U25" s="620">
        <f t="shared" si="77"/>
        <v>8.1584750707842826</v>
      </c>
      <c r="V25" s="620">
        <f t="shared" si="77"/>
        <v>4.6141138630975878</v>
      </c>
      <c r="W25" s="620">
        <f t="shared" si="77"/>
        <v>1.5595189313821456</v>
      </c>
      <c r="X25" s="620">
        <f t="shared" si="77"/>
        <v>0.29643748282470533</v>
      </c>
      <c r="Y25" s="620">
        <f t="shared" si="77"/>
        <v>0</v>
      </c>
      <c r="Z25" s="620">
        <f t="shared" si="77"/>
        <v>0</v>
      </c>
      <c r="AA25" s="620">
        <f>AA24/AA30</f>
        <v>3.8666190190932363E-2</v>
      </c>
      <c r="AB25" s="620">
        <f t="shared" ref="AB25:AL25" si="78">AB24/AB30</f>
        <v>1.1213195155370386</v>
      </c>
      <c r="AC25" s="620">
        <f t="shared" si="78"/>
        <v>5.0137159947575629</v>
      </c>
      <c r="AD25" s="620">
        <f t="shared" si="78"/>
        <v>9.1252208850600365</v>
      </c>
      <c r="AE25" s="620">
        <f t="shared" si="78"/>
        <v>10.91675436390657</v>
      </c>
      <c r="AF25" s="620">
        <f t="shared" si="78"/>
        <v>12.025185149379965</v>
      </c>
      <c r="AG25" s="620">
        <f t="shared" si="78"/>
        <v>8.1585661302867276</v>
      </c>
      <c r="AH25" s="620">
        <f t="shared" si="78"/>
        <v>4.6141653627845951</v>
      </c>
      <c r="AI25" s="620">
        <f t="shared" si="78"/>
        <v>1.5595363377009386</v>
      </c>
      <c r="AJ25" s="620">
        <f t="shared" si="78"/>
        <v>0.29644079146381475</v>
      </c>
      <c r="AK25" s="620">
        <f t="shared" si="78"/>
        <v>0</v>
      </c>
      <c r="AL25" s="620">
        <f t="shared" si="78"/>
        <v>0</v>
      </c>
      <c r="AM25" s="620">
        <f>AM24/AM30</f>
        <v>3.8666632297816916E-2</v>
      </c>
      <c r="AN25" s="620">
        <f t="shared" ref="AN25:AX25" si="79">AN24/AN30</f>
        <v>1.1213323366366905</v>
      </c>
      <c r="AO25" s="620">
        <f t="shared" si="79"/>
        <v>5.0137733212835931</v>
      </c>
      <c r="AP25" s="620">
        <f t="shared" si="79"/>
        <v>9.1253252222847934</v>
      </c>
      <c r="AQ25" s="620">
        <f t="shared" si="79"/>
        <v>10.916879185416976</v>
      </c>
      <c r="AR25" s="620">
        <f t="shared" si="79"/>
        <v>12.025322644621061</v>
      </c>
      <c r="AS25" s="620">
        <f t="shared" si="79"/>
        <v>8.1586594148393701</v>
      </c>
      <c r="AT25" s="620">
        <f t="shared" si="79"/>
        <v>4.6142181208728177</v>
      </c>
      <c r="AU25" s="620">
        <f t="shared" si="79"/>
        <v>1.5595541693452823</v>
      </c>
      <c r="AV25" s="620">
        <f t="shared" si="79"/>
        <v>0.29644418094992969</v>
      </c>
      <c r="AW25" s="620">
        <f t="shared" si="79"/>
        <v>0</v>
      </c>
      <c r="AX25" s="620">
        <f t="shared" si="79"/>
        <v>0</v>
      </c>
      <c r="AY25" s="620">
        <f>AY24/AY30</f>
        <v>3.8667071135282768E-2</v>
      </c>
      <c r="AZ25" s="620">
        <f t="shared" ref="AZ25:BJ25" si="80">AZ24/AZ30</f>
        <v>1.1213450629232002</v>
      </c>
      <c r="BA25" s="620">
        <f t="shared" si="80"/>
        <v>5.0138302238749981</v>
      </c>
      <c r="BB25" s="620">
        <f t="shared" si="80"/>
        <v>9.1254287879267331</v>
      </c>
      <c r="BC25" s="620">
        <f t="shared" si="80"/>
        <v>10.9170030838615</v>
      </c>
      <c r="BD25" s="620">
        <f t="shared" si="80"/>
        <v>12.025459123072942</v>
      </c>
      <c r="BE25" s="620">
        <f t="shared" si="80"/>
        <v>8.1587520095446635</v>
      </c>
      <c r="BF25" s="620">
        <f t="shared" si="80"/>
        <v>4.6142704888104102</v>
      </c>
      <c r="BG25" s="620">
        <f t="shared" si="80"/>
        <v>1.5595718691230716</v>
      </c>
      <c r="BH25" s="620">
        <f t="shared" si="80"/>
        <v>0.29644754537050122</v>
      </c>
      <c r="BI25" s="620">
        <f t="shared" si="80"/>
        <v>0</v>
      </c>
      <c r="BJ25" s="620">
        <f t="shared" si="80"/>
        <v>0</v>
      </c>
      <c r="BK25" s="620">
        <f>BK24/BK30</f>
        <v>3.866750548832789E-2</v>
      </c>
      <c r="BL25" s="620">
        <f t="shared" ref="BL25:BV25" si="81">BL24/BL30</f>
        <v>1.1213576591615089</v>
      </c>
      <c r="BM25" s="620">
        <f t="shared" si="81"/>
        <v>5.0138865449865166</v>
      </c>
      <c r="BN25" s="620">
        <f t="shared" si="81"/>
        <v>9.1255312952453824</v>
      </c>
      <c r="BO25" s="620">
        <f t="shared" si="81"/>
        <v>10.917125716204573</v>
      </c>
      <c r="BP25" s="620">
        <f t="shared" si="81"/>
        <v>12.025594206869975</v>
      </c>
      <c r="BQ25" s="620">
        <f t="shared" si="81"/>
        <v>8.1588436580371848</v>
      </c>
      <c r="BR25" s="620">
        <f t="shared" si="81"/>
        <v>4.614322321607129</v>
      </c>
      <c r="BS25" s="620">
        <f t="shared" si="81"/>
        <v>1.5595893880292249</v>
      </c>
      <c r="BT25" s="620">
        <f t="shared" si="81"/>
        <v>0.29645087541051385</v>
      </c>
      <c r="BU25" s="620">
        <f t="shared" si="81"/>
        <v>0</v>
      </c>
      <c r="BV25" s="620">
        <f t="shared" si="81"/>
        <v>0</v>
      </c>
      <c r="BW25" s="620">
        <f>BW24/BW30</f>
        <v>3.8667933587231709E-2</v>
      </c>
      <c r="BX25" s="620">
        <f t="shared" ref="BX25:CH25" si="82">BX24/BX30</f>
        <v>1.1213700740297197</v>
      </c>
      <c r="BY25" s="620">
        <f t="shared" si="82"/>
        <v>5.0139420551443781</v>
      </c>
      <c r="BZ25" s="620">
        <f t="shared" si="82"/>
        <v>9.1256323265866843</v>
      </c>
      <c r="CA25" s="620">
        <f t="shared" si="82"/>
        <v>10.917246582795086</v>
      </c>
      <c r="CB25" s="620">
        <f t="shared" si="82"/>
        <v>12.025727345629061</v>
      </c>
      <c r="CC25" s="620">
        <f t="shared" si="82"/>
        <v>8.1589339869058914</v>
      </c>
      <c r="CD25" s="620">
        <f t="shared" si="82"/>
        <v>4.6143734080763172</v>
      </c>
      <c r="CE25" s="620">
        <f t="shared" si="82"/>
        <v>1.559606654685012</v>
      </c>
      <c r="CF25" s="620">
        <f t="shared" si="82"/>
        <v>0.29645415750210979</v>
      </c>
      <c r="CG25" s="620">
        <f t="shared" si="82"/>
        <v>0</v>
      </c>
      <c r="CH25" s="620">
        <f t="shared" si="82"/>
        <v>0</v>
      </c>
    </row>
    <row r="26" spans="1:86" x14ac:dyDescent="0.2">
      <c r="A26" s="613">
        <v>14</v>
      </c>
      <c r="B26" s="210" t="s">
        <v>588</v>
      </c>
      <c r="C26" s="621">
        <f>SUM(C25:N25)/SUM(C$13:N$13)</f>
        <v>1.2888461995992882E-2</v>
      </c>
      <c r="D26" s="621">
        <f>C26</f>
        <v>1.2888461995992882E-2</v>
      </c>
      <c r="E26" s="621">
        <f t="shared" ref="E26:N26" si="83">D26</f>
        <v>1.2888461995992882E-2</v>
      </c>
      <c r="F26" s="621">
        <f t="shared" si="83"/>
        <v>1.2888461995992882E-2</v>
      </c>
      <c r="G26" s="621">
        <f t="shared" si="83"/>
        <v>1.2888461995992882E-2</v>
      </c>
      <c r="H26" s="621">
        <f t="shared" si="83"/>
        <v>1.2888461995992882E-2</v>
      </c>
      <c r="I26" s="621">
        <f t="shared" si="83"/>
        <v>1.2888461995992882E-2</v>
      </c>
      <c r="J26" s="621">
        <f t="shared" si="83"/>
        <v>1.2888461995992882E-2</v>
      </c>
      <c r="K26" s="621">
        <f t="shared" si="83"/>
        <v>1.2888461995992882E-2</v>
      </c>
      <c r="L26" s="621">
        <f t="shared" si="83"/>
        <v>1.2888461995992882E-2</v>
      </c>
      <c r="M26" s="621">
        <f t="shared" si="83"/>
        <v>1.2888461995992882E-2</v>
      </c>
      <c r="N26" s="621">
        <f t="shared" si="83"/>
        <v>1.2888461995992882E-2</v>
      </c>
      <c r="O26" s="622">
        <f>((SUM(C31:N31)/AVERAGE(C30:N30)+O21)*AVERAGE(O30:Z30)-SUM(O23:Z23))/(O30*O$14+P30*P$14+Q30*Q$14+R30*R$14+S30*S$14+T30*T$14+U30*U$14+V30*V$14+W30*W$14+X30*X$14+Y30*Y$14+Z30*Z$14)</f>
        <v>1.2888586209769798E-2</v>
      </c>
      <c r="P26" s="623">
        <f>O26</f>
        <v>1.2888586209769798E-2</v>
      </c>
      <c r="Q26" s="623">
        <f t="shared" ref="Q26:Z26" si="84">P26</f>
        <v>1.2888586209769798E-2</v>
      </c>
      <c r="R26" s="623">
        <f t="shared" si="84"/>
        <v>1.2888586209769798E-2</v>
      </c>
      <c r="S26" s="623">
        <f t="shared" si="84"/>
        <v>1.2888586209769798E-2</v>
      </c>
      <c r="T26" s="623">
        <f t="shared" si="84"/>
        <v>1.2888586209769798E-2</v>
      </c>
      <c r="U26" s="623">
        <f t="shared" si="84"/>
        <v>1.2888586209769798E-2</v>
      </c>
      <c r="V26" s="623">
        <f t="shared" si="84"/>
        <v>1.2888586209769798E-2</v>
      </c>
      <c r="W26" s="623">
        <f t="shared" si="84"/>
        <v>1.2888586209769798E-2</v>
      </c>
      <c r="X26" s="623">
        <f t="shared" si="84"/>
        <v>1.2888586209769798E-2</v>
      </c>
      <c r="Y26" s="623">
        <f t="shared" si="84"/>
        <v>1.2888586209769798E-2</v>
      </c>
      <c r="Z26" s="623">
        <f t="shared" si="84"/>
        <v>1.2888586209769798E-2</v>
      </c>
      <c r="AA26" s="622">
        <f>((SUM(O31:Z31)/AVERAGE(O30:Z30)+AA21)*AVERAGE(AA30:AL30)-SUM(AA23:AL23))/(AA30*AA$14+AB30*AB$14+AC30*AC$14+AD30*AD$14+AE30*AE$14+AF30*AF$14+AG30*AG$14+AH30*AH$14+AI30*AI$14+AJ30*AJ$14+AK30*AK$14+AL30*AL$14)</f>
        <v>1.2888730063644121E-2</v>
      </c>
      <c r="AB26" s="623">
        <f>AA26</f>
        <v>1.2888730063644121E-2</v>
      </c>
      <c r="AC26" s="623">
        <f t="shared" ref="AC26" si="85">AB26</f>
        <v>1.2888730063644121E-2</v>
      </c>
      <c r="AD26" s="623">
        <f t="shared" ref="AD26" si="86">AC26</f>
        <v>1.2888730063644121E-2</v>
      </c>
      <c r="AE26" s="623">
        <f t="shared" ref="AE26" si="87">AD26</f>
        <v>1.2888730063644121E-2</v>
      </c>
      <c r="AF26" s="623">
        <f t="shared" ref="AF26" si="88">AE26</f>
        <v>1.2888730063644121E-2</v>
      </c>
      <c r="AG26" s="623">
        <f t="shared" ref="AG26" si="89">AF26</f>
        <v>1.2888730063644121E-2</v>
      </c>
      <c r="AH26" s="623">
        <f t="shared" ref="AH26" si="90">AG26</f>
        <v>1.2888730063644121E-2</v>
      </c>
      <c r="AI26" s="623">
        <f t="shared" ref="AI26" si="91">AH26</f>
        <v>1.2888730063644121E-2</v>
      </c>
      <c r="AJ26" s="623">
        <f t="shared" ref="AJ26" si="92">AI26</f>
        <v>1.2888730063644121E-2</v>
      </c>
      <c r="AK26" s="623">
        <f t="shared" ref="AK26" si="93">AJ26</f>
        <v>1.2888730063644121E-2</v>
      </c>
      <c r="AL26" s="623">
        <f t="shared" ref="AL26" si="94">AK26</f>
        <v>1.2888730063644121E-2</v>
      </c>
      <c r="AM26" s="622">
        <f>((SUM(AA31:AL31)/AVERAGE(AA30:AL30)+AM21)*AVERAGE(AM30:AX30)-SUM(AM23:AX23))/(AM30*AM$14+AN30*AN$14+AO30*AO$14+AP30*AP$14+AQ30*AQ$14+AR30*AR$14+AS30*AS$14+AT30*AT$14+AU30*AU$14+AV30*AV$14+AW30*AW$14+AX30*AX$14)</f>
        <v>1.2888877432605639E-2</v>
      </c>
      <c r="AN26" s="623">
        <f>AM26</f>
        <v>1.2888877432605639E-2</v>
      </c>
      <c r="AO26" s="623">
        <f t="shared" ref="AO26" si="95">AN26</f>
        <v>1.2888877432605639E-2</v>
      </c>
      <c r="AP26" s="623">
        <f t="shared" ref="AP26" si="96">AO26</f>
        <v>1.2888877432605639E-2</v>
      </c>
      <c r="AQ26" s="623">
        <f t="shared" ref="AQ26" si="97">AP26</f>
        <v>1.2888877432605639E-2</v>
      </c>
      <c r="AR26" s="623">
        <f t="shared" ref="AR26" si="98">AQ26</f>
        <v>1.2888877432605639E-2</v>
      </c>
      <c r="AS26" s="623">
        <f t="shared" ref="AS26" si="99">AR26</f>
        <v>1.2888877432605639E-2</v>
      </c>
      <c r="AT26" s="623">
        <f t="shared" ref="AT26" si="100">AS26</f>
        <v>1.2888877432605639E-2</v>
      </c>
      <c r="AU26" s="623">
        <f t="shared" ref="AU26" si="101">AT26</f>
        <v>1.2888877432605639E-2</v>
      </c>
      <c r="AV26" s="623">
        <f t="shared" ref="AV26" si="102">AU26</f>
        <v>1.2888877432605639E-2</v>
      </c>
      <c r="AW26" s="623">
        <f t="shared" ref="AW26" si="103">AV26</f>
        <v>1.2888877432605639E-2</v>
      </c>
      <c r="AX26" s="623">
        <f t="shared" ref="AX26" si="104">AW26</f>
        <v>1.2888877432605639E-2</v>
      </c>
      <c r="AY26" s="622">
        <f>((SUM(AM31:AX31)/AVERAGE(AM30:AX30)+AY21)*AVERAGE(AY30:BJ30)-SUM(AY23:BJ23))/(AY30*AY$14+AZ30*AZ$14+BA30*BA$14+BB30*BB$14+BC30*BC$14+BD30*BD$14+BE30*BE$14+BF30*BF$14+BG30*BG$14+BH30*BH$14+BI30*BI$14+BJ30*BJ$14)</f>
        <v>1.2889023711760922E-2</v>
      </c>
      <c r="AZ26" s="623">
        <f>AY26</f>
        <v>1.2889023711760922E-2</v>
      </c>
      <c r="BA26" s="623">
        <f t="shared" ref="BA26" si="105">AZ26</f>
        <v>1.2889023711760922E-2</v>
      </c>
      <c r="BB26" s="623">
        <f t="shared" ref="BB26" si="106">BA26</f>
        <v>1.2889023711760922E-2</v>
      </c>
      <c r="BC26" s="623">
        <f t="shared" ref="BC26" si="107">BB26</f>
        <v>1.2889023711760922E-2</v>
      </c>
      <c r="BD26" s="623">
        <f t="shared" ref="BD26" si="108">BC26</f>
        <v>1.2889023711760922E-2</v>
      </c>
      <c r="BE26" s="623">
        <f t="shared" ref="BE26" si="109">BD26</f>
        <v>1.2889023711760922E-2</v>
      </c>
      <c r="BF26" s="623">
        <f t="shared" ref="BF26" si="110">BE26</f>
        <v>1.2889023711760922E-2</v>
      </c>
      <c r="BG26" s="623">
        <f t="shared" ref="BG26" si="111">BF26</f>
        <v>1.2889023711760922E-2</v>
      </c>
      <c r="BH26" s="623">
        <f t="shared" ref="BH26" si="112">BG26</f>
        <v>1.2889023711760922E-2</v>
      </c>
      <c r="BI26" s="623">
        <f t="shared" ref="BI26" si="113">BH26</f>
        <v>1.2889023711760922E-2</v>
      </c>
      <c r="BJ26" s="623">
        <f t="shared" ref="BJ26" si="114">BI26</f>
        <v>1.2889023711760922E-2</v>
      </c>
      <c r="BK26" s="622">
        <f>((SUM(AY31:BJ31)/AVERAGE(AY30:BJ30)+BK21)*AVERAGE(BK30:BV30)-SUM(BK23:BV23))/(BK30*BK$14+BL30*BL$14+BM30*BM$14+BN30*BN$14+BO30*BO$14+BP30*BP$14+BQ30*BQ$14+BR30*BR$14+BS30*BS$14+BT30*BT$14+BU30*BU$14+BV30*BV$14)</f>
        <v>1.2889168496109297E-2</v>
      </c>
      <c r="BL26" s="623">
        <f>BK26</f>
        <v>1.2889168496109297E-2</v>
      </c>
      <c r="BM26" s="623">
        <f t="shared" ref="BM26" si="115">BL26</f>
        <v>1.2889168496109297E-2</v>
      </c>
      <c r="BN26" s="623">
        <f t="shared" ref="BN26" si="116">BM26</f>
        <v>1.2889168496109297E-2</v>
      </c>
      <c r="BO26" s="623">
        <f t="shared" ref="BO26" si="117">BN26</f>
        <v>1.2889168496109297E-2</v>
      </c>
      <c r="BP26" s="623">
        <f t="shared" ref="BP26" si="118">BO26</f>
        <v>1.2889168496109297E-2</v>
      </c>
      <c r="BQ26" s="623">
        <f t="shared" ref="BQ26" si="119">BP26</f>
        <v>1.2889168496109297E-2</v>
      </c>
      <c r="BR26" s="623">
        <f t="shared" ref="BR26" si="120">BQ26</f>
        <v>1.2889168496109297E-2</v>
      </c>
      <c r="BS26" s="623">
        <f t="shared" ref="BS26" si="121">BR26</f>
        <v>1.2889168496109297E-2</v>
      </c>
      <c r="BT26" s="623">
        <f t="shared" ref="BT26" si="122">BS26</f>
        <v>1.2889168496109297E-2</v>
      </c>
      <c r="BU26" s="623">
        <f t="shared" ref="BU26" si="123">BT26</f>
        <v>1.2889168496109297E-2</v>
      </c>
      <c r="BV26" s="623">
        <f t="shared" ref="BV26" si="124">BU26</f>
        <v>1.2889168496109297E-2</v>
      </c>
      <c r="BW26" s="622">
        <f>((SUM(BK31:BV31)/AVERAGE(BK30:BV30)+BW21)*AVERAGE(BW30:CH30)-SUM(BW23:CH23))/(BW30*BW$14+BX30*BX$14+BY30*BY$14+BZ30*BZ$14+CA30*CA$14+CB30*CB$14+CC30*CC$14+CD30*CD$14+CE30*CE$14+CF30*CF$14+CG30*CG$14+CH30*CH$14)</f>
        <v>1.2889311195743903E-2</v>
      </c>
      <c r="BX26" s="623">
        <f>BW26</f>
        <v>1.2889311195743903E-2</v>
      </c>
      <c r="BY26" s="623">
        <f t="shared" ref="BY26" si="125">BX26</f>
        <v>1.2889311195743903E-2</v>
      </c>
      <c r="BZ26" s="623">
        <f t="shared" ref="BZ26" si="126">BY26</f>
        <v>1.2889311195743903E-2</v>
      </c>
      <c r="CA26" s="623">
        <f t="shared" ref="CA26" si="127">BZ26</f>
        <v>1.2889311195743903E-2</v>
      </c>
      <c r="CB26" s="623">
        <f t="shared" ref="CB26" si="128">CA26</f>
        <v>1.2889311195743903E-2</v>
      </c>
      <c r="CC26" s="623">
        <f t="shared" ref="CC26" si="129">CB26</f>
        <v>1.2889311195743903E-2</v>
      </c>
      <c r="CD26" s="623">
        <f t="shared" ref="CD26" si="130">CC26</f>
        <v>1.2889311195743903E-2</v>
      </c>
      <c r="CE26" s="623">
        <f t="shared" ref="CE26" si="131">CD26</f>
        <v>1.2889311195743903E-2</v>
      </c>
      <c r="CF26" s="623">
        <f t="shared" ref="CF26" si="132">CE26</f>
        <v>1.2889311195743903E-2</v>
      </c>
      <c r="CG26" s="623">
        <f t="shared" ref="CG26" si="133">CF26</f>
        <v>1.2889311195743903E-2</v>
      </c>
      <c r="CH26" s="623">
        <f t="shared" ref="CH26" si="134">CG26</f>
        <v>1.2889311195743903E-2</v>
      </c>
    </row>
    <row r="27" spans="1:86" x14ac:dyDescent="0.2">
      <c r="A27" s="613">
        <v>15</v>
      </c>
      <c r="B27" s="210" t="s">
        <v>104</v>
      </c>
      <c r="C27" s="41">
        <f>ROUND(C26*C$14,4)</f>
        <v>3.8699999999999998E-2</v>
      </c>
      <c r="D27" s="41">
        <f t="shared" ref="D27:Z27" si="135">ROUND(D26*D$14,4)</f>
        <v>1.1213</v>
      </c>
      <c r="E27" s="41">
        <f t="shared" si="135"/>
        <v>5.0136000000000003</v>
      </c>
      <c r="F27" s="41">
        <f t="shared" si="135"/>
        <v>9.125</v>
      </c>
      <c r="G27" s="41">
        <f t="shared" si="135"/>
        <v>10.916499999999999</v>
      </c>
      <c r="H27" s="41">
        <f t="shared" si="135"/>
        <v>12.024900000000001</v>
      </c>
      <c r="I27" s="41">
        <f t="shared" si="135"/>
        <v>8.1584000000000003</v>
      </c>
      <c r="J27" s="41">
        <f t="shared" si="135"/>
        <v>4.6140999999999996</v>
      </c>
      <c r="K27" s="41">
        <f t="shared" si="135"/>
        <v>1.5595000000000001</v>
      </c>
      <c r="L27" s="41">
        <f t="shared" si="135"/>
        <v>0.2964</v>
      </c>
      <c r="M27" s="41">
        <f t="shared" si="135"/>
        <v>0</v>
      </c>
      <c r="N27" s="41">
        <f t="shared" si="135"/>
        <v>0</v>
      </c>
      <c r="O27" s="41">
        <f t="shared" si="135"/>
        <v>3.8699999999999998E-2</v>
      </c>
      <c r="P27" s="41">
        <f t="shared" si="135"/>
        <v>1.1213</v>
      </c>
      <c r="Q27" s="41">
        <f t="shared" si="135"/>
        <v>5.0137</v>
      </c>
      <c r="R27" s="41">
        <f t="shared" si="135"/>
        <v>9.1250999999999998</v>
      </c>
      <c r="S27" s="41">
        <f t="shared" si="135"/>
        <v>10.916600000000001</v>
      </c>
      <c r="T27" s="41">
        <f t="shared" si="135"/>
        <v>12.0251</v>
      </c>
      <c r="U27" s="41">
        <f t="shared" si="135"/>
        <v>8.1585000000000001</v>
      </c>
      <c r="V27" s="41">
        <f t="shared" si="135"/>
        <v>4.6140999999999996</v>
      </c>
      <c r="W27" s="41">
        <f t="shared" si="135"/>
        <v>1.5595000000000001</v>
      </c>
      <c r="X27" s="41">
        <f t="shared" si="135"/>
        <v>0.2964</v>
      </c>
      <c r="Y27" s="41">
        <f t="shared" si="135"/>
        <v>0</v>
      </c>
      <c r="Z27" s="41">
        <f t="shared" si="135"/>
        <v>0</v>
      </c>
      <c r="AA27" s="41">
        <f t="shared" ref="AA27:CH27" si="136">ROUND(AA26*AA$14,4)</f>
        <v>3.8699999999999998E-2</v>
      </c>
      <c r="AB27" s="41">
        <f t="shared" si="136"/>
        <v>1.1213</v>
      </c>
      <c r="AC27" s="41">
        <f t="shared" si="136"/>
        <v>5.0137</v>
      </c>
      <c r="AD27" s="41">
        <f t="shared" si="136"/>
        <v>9.1251999999999995</v>
      </c>
      <c r="AE27" s="41">
        <f t="shared" si="136"/>
        <v>10.9168</v>
      </c>
      <c r="AF27" s="41">
        <f t="shared" si="136"/>
        <v>12.0252</v>
      </c>
      <c r="AG27" s="41">
        <f t="shared" si="136"/>
        <v>8.1585999999999999</v>
      </c>
      <c r="AH27" s="41">
        <f t="shared" si="136"/>
        <v>4.6142000000000003</v>
      </c>
      <c r="AI27" s="41">
        <f t="shared" si="136"/>
        <v>1.5595000000000001</v>
      </c>
      <c r="AJ27" s="41">
        <f t="shared" si="136"/>
        <v>0.2964</v>
      </c>
      <c r="AK27" s="41">
        <f t="shared" si="136"/>
        <v>0</v>
      </c>
      <c r="AL27" s="41">
        <f t="shared" si="136"/>
        <v>0</v>
      </c>
      <c r="AM27" s="41">
        <f t="shared" si="136"/>
        <v>3.8699999999999998E-2</v>
      </c>
      <c r="AN27" s="41">
        <f t="shared" si="136"/>
        <v>1.1213</v>
      </c>
      <c r="AO27" s="41">
        <f t="shared" si="136"/>
        <v>5.0137999999999998</v>
      </c>
      <c r="AP27" s="41">
        <f t="shared" si="136"/>
        <v>9.1252999999999993</v>
      </c>
      <c r="AQ27" s="41">
        <f t="shared" si="136"/>
        <v>10.9169</v>
      </c>
      <c r="AR27" s="41">
        <f t="shared" si="136"/>
        <v>12.0253</v>
      </c>
      <c r="AS27" s="41">
        <f t="shared" si="136"/>
        <v>8.1586999999999996</v>
      </c>
      <c r="AT27" s="41">
        <f t="shared" si="136"/>
        <v>4.6142000000000003</v>
      </c>
      <c r="AU27" s="41">
        <f t="shared" si="136"/>
        <v>1.5596000000000001</v>
      </c>
      <c r="AV27" s="41">
        <f t="shared" si="136"/>
        <v>0.2964</v>
      </c>
      <c r="AW27" s="41">
        <f t="shared" si="136"/>
        <v>0</v>
      </c>
      <c r="AX27" s="41">
        <f t="shared" si="136"/>
        <v>0</v>
      </c>
      <c r="AY27" s="41">
        <f t="shared" si="136"/>
        <v>3.8699999999999998E-2</v>
      </c>
      <c r="AZ27" s="41">
        <f t="shared" si="136"/>
        <v>1.1213</v>
      </c>
      <c r="BA27" s="41">
        <f t="shared" si="136"/>
        <v>5.0137999999999998</v>
      </c>
      <c r="BB27" s="41">
        <f t="shared" si="136"/>
        <v>9.1254000000000008</v>
      </c>
      <c r="BC27" s="41">
        <f t="shared" si="136"/>
        <v>10.917</v>
      </c>
      <c r="BD27" s="41">
        <f t="shared" si="136"/>
        <v>12.025499999999999</v>
      </c>
      <c r="BE27" s="41">
        <f t="shared" si="136"/>
        <v>8.1587999999999994</v>
      </c>
      <c r="BF27" s="41">
        <f t="shared" si="136"/>
        <v>4.6143000000000001</v>
      </c>
      <c r="BG27" s="41">
        <f t="shared" si="136"/>
        <v>1.5596000000000001</v>
      </c>
      <c r="BH27" s="41">
        <f t="shared" si="136"/>
        <v>0.2964</v>
      </c>
      <c r="BI27" s="41">
        <f t="shared" si="136"/>
        <v>0</v>
      </c>
      <c r="BJ27" s="41">
        <f t="shared" si="136"/>
        <v>0</v>
      </c>
      <c r="BK27" s="41">
        <f t="shared" si="136"/>
        <v>3.8699999999999998E-2</v>
      </c>
      <c r="BL27" s="41">
        <f t="shared" si="136"/>
        <v>1.1214</v>
      </c>
      <c r="BM27" s="41">
        <f t="shared" si="136"/>
        <v>5.0138999999999996</v>
      </c>
      <c r="BN27" s="41">
        <f t="shared" si="136"/>
        <v>9.1255000000000006</v>
      </c>
      <c r="BO27" s="41">
        <f t="shared" si="136"/>
        <v>10.9171</v>
      </c>
      <c r="BP27" s="41">
        <f t="shared" si="136"/>
        <v>12.025600000000001</v>
      </c>
      <c r="BQ27" s="41">
        <f t="shared" si="136"/>
        <v>8.1587999999999994</v>
      </c>
      <c r="BR27" s="41">
        <f t="shared" si="136"/>
        <v>4.6143000000000001</v>
      </c>
      <c r="BS27" s="41">
        <f t="shared" si="136"/>
        <v>1.5596000000000001</v>
      </c>
      <c r="BT27" s="41">
        <f t="shared" si="136"/>
        <v>0.29649999999999999</v>
      </c>
      <c r="BU27" s="41">
        <f t="shared" si="136"/>
        <v>0</v>
      </c>
      <c r="BV27" s="41">
        <f t="shared" si="136"/>
        <v>0</v>
      </c>
      <c r="BW27" s="41">
        <f t="shared" si="136"/>
        <v>3.8699999999999998E-2</v>
      </c>
      <c r="BX27" s="41">
        <f t="shared" si="136"/>
        <v>1.1214</v>
      </c>
      <c r="BY27" s="41">
        <f t="shared" si="136"/>
        <v>5.0138999999999996</v>
      </c>
      <c r="BZ27" s="41">
        <f t="shared" si="136"/>
        <v>9.1256000000000004</v>
      </c>
      <c r="CA27" s="41">
        <f t="shared" si="136"/>
        <v>10.917199999999999</v>
      </c>
      <c r="CB27" s="41">
        <f t="shared" si="136"/>
        <v>12.025700000000001</v>
      </c>
      <c r="CC27" s="41">
        <f t="shared" si="136"/>
        <v>8.1588999999999992</v>
      </c>
      <c r="CD27" s="41">
        <f t="shared" si="136"/>
        <v>4.6143999999999998</v>
      </c>
      <c r="CE27" s="41">
        <f t="shared" si="136"/>
        <v>1.5596000000000001</v>
      </c>
      <c r="CF27" s="41">
        <f t="shared" si="136"/>
        <v>0.29649999999999999</v>
      </c>
      <c r="CG27" s="41">
        <f t="shared" si="136"/>
        <v>0</v>
      </c>
      <c r="CH27" s="41">
        <f t="shared" si="136"/>
        <v>0</v>
      </c>
    </row>
    <row r="28" spans="1:86" x14ac:dyDescent="0.2">
      <c r="A28" s="613">
        <v>16</v>
      </c>
      <c r="B28" s="210" t="s">
        <v>589</v>
      </c>
      <c r="C28" s="624">
        <f>(M32+N32)/(M30+N30)</f>
        <v>1.0883105161893063</v>
      </c>
      <c r="D28" s="625">
        <f t="shared" ref="D28:N28" si="137">C28</f>
        <v>1.0883105161893063</v>
      </c>
      <c r="E28" s="625">
        <f t="shared" si="137"/>
        <v>1.0883105161893063</v>
      </c>
      <c r="F28" s="625">
        <f t="shared" si="137"/>
        <v>1.0883105161893063</v>
      </c>
      <c r="G28" s="625">
        <f t="shared" si="137"/>
        <v>1.0883105161893063</v>
      </c>
      <c r="H28" s="625">
        <f t="shared" si="137"/>
        <v>1.0883105161893063</v>
      </c>
      <c r="I28" s="625">
        <f t="shared" si="137"/>
        <v>1.0883105161893063</v>
      </c>
      <c r="J28" s="625">
        <f t="shared" si="137"/>
        <v>1.0883105161893063</v>
      </c>
      <c r="K28" s="625">
        <f t="shared" si="137"/>
        <v>1.0883105161893063</v>
      </c>
      <c r="L28" s="625">
        <f t="shared" si="137"/>
        <v>1.0883105161893063</v>
      </c>
      <c r="M28" s="625">
        <f t="shared" si="137"/>
        <v>1.0883105161893063</v>
      </c>
      <c r="N28" s="625">
        <f t="shared" si="137"/>
        <v>1.0883105161893063</v>
      </c>
      <c r="O28" s="626">
        <f>C28+O20</f>
        <v>1.0883105161893063</v>
      </c>
      <c r="P28" s="626">
        <f t="shared" ref="P28:Z28" si="138">D28+P20</f>
        <v>1.0883105161893063</v>
      </c>
      <c r="Q28" s="626">
        <f t="shared" si="138"/>
        <v>1.0883105161893063</v>
      </c>
      <c r="R28" s="626">
        <f t="shared" si="138"/>
        <v>1.0883105161893063</v>
      </c>
      <c r="S28" s="626">
        <f t="shared" si="138"/>
        <v>1.0883105161893063</v>
      </c>
      <c r="T28" s="626">
        <f t="shared" si="138"/>
        <v>1.0883105161893063</v>
      </c>
      <c r="U28" s="626">
        <f t="shared" si="138"/>
        <v>1.0883105161893063</v>
      </c>
      <c r="V28" s="626">
        <f t="shared" si="138"/>
        <v>1.0883105161893063</v>
      </c>
      <c r="W28" s="626">
        <f t="shared" si="138"/>
        <v>1.0883105161893063</v>
      </c>
      <c r="X28" s="626">
        <f t="shared" si="138"/>
        <v>1.0883105161893063</v>
      </c>
      <c r="Y28" s="626">
        <f t="shared" si="138"/>
        <v>1.0883105161893063</v>
      </c>
      <c r="Z28" s="626">
        <f t="shared" si="138"/>
        <v>1.0883105161893063</v>
      </c>
      <c r="AA28" s="626">
        <f>O28+AA20</f>
        <v>1.0883105161893063</v>
      </c>
      <c r="AB28" s="626">
        <f t="shared" ref="AB28" si="139">P28+AB20</f>
        <v>1.0883105161893063</v>
      </c>
      <c r="AC28" s="626">
        <f t="shared" ref="AC28" si="140">Q28+AC20</f>
        <v>1.0883105161893063</v>
      </c>
      <c r="AD28" s="626">
        <f t="shared" ref="AD28" si="141">R28+AD20</f>
        <v>1.0883105161893063</v>
      </c>
      <c r="AE28" s="626">
        <f t="shared" ref="AE28" si="142">S28+AE20</f>
        <v>1.0883105161893063</v>
      </c>
      <c r="AF28" s="626">
        <f t="shared" ref="AF28" si="143">T28+AF20</f>
        <v>1.0883105161893063</v>
      </c>
      <c r="AG28" s="626">
        <f t="shared" ref="AG28" si="144">U28+AG20</f>
        <v>1.0883105161893063</v>
      </c>
      <c r="AH28" s="626">
        <f t="shared" ref="AH28" si="145">V28+AH20</f>
        <v>1.0883105161893063</v>
      </c>
      <c r="AI28" s="626">
        <f t="shared" ref="AI28" si="146">W28+AI20</f>
        <v>1.0883105161893063</v>
      </c>
      <c r="AJ28" s="626">
        <f t="shared" ref="AJ28" si="147">X28+AJ20</f>
        <v>1.0883105161893063</v>
      </c>
      <c r="AK28" s="626">
        <f t="shared" ref="AK28" si="148">Y28+AK20</f>
        <v>1.0883105161893063</v>
      </c>
      <c r="AL28" s="626">
        <f t="shared" ref="AL28" si="149">Z28+AL20</f>
        <v>1.0883105161893063</v>
      </c>
      <c r="AM28" s="626">
        <f>AA28+AM20</f>
        <v>1.0883105161893063</v>
      </c>
      <c r="AN28" s="626">
        <f t="shared" ref="AN28" si="150">AB28+AN20</f>
        <v>1.0883105161893063</v>
      </c>
      <c r="AO28" s="626">
        <f t="shared" ref="AO28" si="151">AC28+AO20</f>
        <v>1.0883105161893063</v>
      </c>
      <c r="AP28" s="626">
        <f t="shared" ref="AP28" si="152">AD28+AP20</f>
        <v>1.0883105161893063</v>
      </c>
      <c r="AQ28" s="626">
        <f t="shared" ref="AQ28" si="153">AE28+AQ20</f>
        <v>1.0883105161893063</v>
      </c>
      <c r="AR28" s="626">
        <f t="shared" ref="AR28" si="154">AF28+AR20</f>
        <v>1.0883105161893063</v>
      </c>
      <c r="AS28" s="626">
        <f t="shared" ref="AS28" si="155">AG28+AS20</f>
        <v>1.0883105161893063</v>
      </c>
      <c r="AT28" s="626">
        <f t="shared" ref="AT28" si="156">AH28+AT20</f>
        <v>1.0883105161893063</v>
      </c>
      <c r="AU28" s="626">
        <f t="shared" ref="AU28" si="157">AI28+AU20</f>
        <v>1.0883105161893063</v>
      </c>
      <c r="AV28" s="626">
        <f t="shared" ref="AV28" si="158">AJ28+AV20</f>
        <v>1.0883105161893063</v>
      </c>
      <c r="AW28" s="626">
        <f t="shared" ref="AW28" si="159">AK28+AW20</f>
        <v>1.0883105161893063</v>
      </c>
      <c r="AX28" s="626">
        <f t="shared" ref="AX28" si="160">AL28+AX20</f>
        <v>1.0883105161893063</v>
      </c>
      <c r="AY28" s="626">
        <f>AM28+AY20</f>
        <v>1.0883105161893063</v>
      </c>
      <c r="AZ28" s="626">
        <f t="shared" ref="AZ28" si="161">AN28+AZ20</f>
        <v>1.0883105161893063</v>
      </c>
      <c r="BA28" s="626">
        <f t="shared" ref="BA28" si="162">AO28+BA20</f>
        <v>1.0883105161893063</v>
      </c>
      <c r="BB28" s="626">
        <f t="shared" ref="BB28" si="163">AP28+BB20</f>
        <v>1.0883105161893063</v>
      </c>
      <c r="BC28" s="626">
        <f t="shared" ref="BC28" si="164">AQ28+BC20</f>
        <v>1.0883105161893063</v>
      </c>
      <c r="BD28" s="626">
        <f t="shared" ref="BD28" si="165">AR28+BD20</f>
        <v>1.0883105161893063</v>
      </c>
      <c r="BE28" s="626">
        <f t="shared" ref="BE28" si="166">AS28+BE20</f>
        <v>1.0883105161893063</v>
      </c>
      <c r="BF28" s="626">
        <f t="shared" ref="BF28" si="167">AT28+BF20</f>
        <v>1.0883105161893063</v>
      </c>
      <c r="BG28" s="626">
        <f t="shared" ref="BG28" si="168">AU28+BG20</f>
        <v>1.0883105161893063</v>
      </c>
      <c r="BH28" s="626">
        <f t="shared" ref="BH28" si="169">AV28+BH20</f>
        <v>1.0883105161893063</v>
      </c>
      <c r="BI28" s="626">
        <f t="shared" ref="BI28" si="170">AW28+BI20</f>
        <v>1.0883105161893063</v>
      </c>
      <c r="BJ28" s="626">
        <f t="shared" ref="BJ28" si="171">AX28+BJ20</f>
        <v>1.0883105161893063</v>
      </c>
      <c r="BK28" s="626">
        <f>AY28+BK20</f>
        <v>1.0883105161893063</v>
      </c>
      <c r="BL28" s="626">
        <f t="shared" ref="BL28" si="172">AZ28+BL20</f>
        <v>1.0883105161893063</v>
      </c>
      <c r="BM28" s="626">
        <f t="shared" ref="BM28" si="173">BA28+BM20</f>
        <v>1.0883105161893063</v>
      </c>
      <c r="BN28" s="626">
        <f t="shared" ref="BN28" si="174">BB28+BN20</f>
        <v>1.0883105161893063</v>
      </c>
      <c r="BO28" s="626">
        <f t="shared" ref="BO28" si="175">BC28+BO20</f>
        <v>1.0883105161893063</v>
      </c>
      <c r="BP28" s="626">
        <f t="shared" ref="BP28" si="176">BD28+BP20</f>
        <v>1.0883105161893063</v>
      </c>
      <c r="BQ28" s="626">
        <f t="shared" ref="BQ28" si="177">BE28+BQ20</f>
        <v>1.0883105161893063</v>
      </c>
      <c r="BR28" s="626">
        <f t="shared" ref="BR28" si="178">BF28+BR20</f>
        <v>1.0883105161893063</v>
      </c>
      <c r="BS28" s="626">
        <f t="shared" ref="BS28" si="179">BG28+BS20</f>
        <v>1.0883105161893063</v>
      </c>
      <c r="BT28" s="626">
        <f t="shared" ref="BT28" si="180">BH28+BT20</f>
        <v>1.0883105161893063</v>
      </c>
      <c r="BU28" s="626">
        <f t="shared" ref="BU28" si="181">BI28+BU20</f>
        <v>1.0883105161893063</v>
      </c>
      <c r="BV28" s="626">
        <f t="shared" ref="BV28" si="182">BJ28+BV20</f>
        <v>1.0883105161893063</v>
      </c>
      <c r="BW28" s="626">
        <f>BK28+BW20</f>
        <v>1.0883105161893063</v>
      </c>
      <c r="BX28" s="626">
        <f t="shared" ref="BX28" si="183">BL28+BX20</f>
        <v>1.0883105161893063</v>
      </c>
      <c r="BY28" s="626">
        <f t="shared" ref="BY28" si="184">BM28+BY20</f>
        <v>1.0883105161893063</v>
      </c>
      <c r="BZ28" s="626">
        <f t="shared" ref="BZ28" si="185">BN28+BZ20</f>
        <v>1.0883105161893063</v>
      </c>
      <c r="CA28" s="626">
        <f t="shared" ref="CA28" si="186">BO28+CA20</f>
        <v>1.0883105161893063</v>
      </c>
      <c r="CB28" s="626">
        <f t="shared" ref="CB28" si="187">BP28+CB20</f>
        <v>1.0883105161893063</v>
      </c>
      <c r="CC28" s="626">
        <f t="shared" ref="CC28" si="188">BQ28+CC20</f>
        <v>1.0883105161893063</v>
      </c>
      <c r="CD28" s="626">
        <f t="shared" ref="CD28" si="189">BR28+CD20</f>
        <v>1.0883105161893063</v>
      </c>
      <c r="CE28" s="626">
        <f t="shared" ref="CE28" si="190">BS28+CE20</f>
        <v>1.0883105161893063</v>
      </c>
      <c r="CF28" s="626">
        <f t="shared" ref="CF28" si="191">BT28+CF20</f>
        <v>1.0883105161893063</v>
      </c>
      <c r="CG28" s="626">
        <f t="shared" ref="CG28" si="192">BU28+CG20</f>
        <v>1.0883105161893063</v>
      </c>
      <c r="CH28" s="626">
        <f t="shared" ref="CH28" si="193">BV28+CH20</f>
        <v>1.0883105161893063</v>
      </c>
    </row>
    <row r="29" spans="1:86" x14ac:dyDescent="0.2">
      <c r="A29" s="613">
        <v>17</v>
      </c>
      <c r="B29" s="210" t="s">
        <v>602</v>
      </c>
      <c r="C29" s="625">
        <f t="shared" ref="C29:Z29" si="194">C28+C27</f>
        <v>1.1270105161893063</v>
      </c>
      <c r="D29" s="625">
        <f t="shared" si="194"/>
        <v>2.209610516189306</v>
      </c>
      <c r="E29" s="625">
        <f t="shared" si="194"/>
        <v>6.1019105161893066</v>
      </c>
      <c r="F29" s="625">
        <f t="shared" si="194"/>
        <v>10.213310516189306</v>
      </c>
      <c r="G29" s="625">
        <f t="shared" si="194"/>
        <v>12.004810516189306</v>
      </c>
      <c r="H29" s="625">
        <f t="shared" si="194"/>
        <v>13.113210516189307</v>
      </c>
      <c r="I29" s="625">
        <f t="shared" si="194"/>
        <v>9.2467105161893066</v>
      </c>
      <c r="J29" s="625">
        <f t="shared" si="194"/>
        <v>5.7024105161893059</v>
      </c>
      <c r="K29" s="625">
        <f t="shared" si="194"/>
        <v>2.6478105161893062</v>
      </c>
      <c r="L29" s="625">
        <f t="shared" si="194"/>
        <v>1.3847105161893063</v>
      </c>
      <c r="M29" s="625">
        <f t="shared" si="194"/>
        <v>1.0883105161893063</v>
      </c>
      <c r="N29" s="625">
        <f t="shared" si="194"/>
        <v>1.0883105161893063</v>
      </c>
      <c r="O29" s="625">
        <f t="shared" si="194"/>
        <v>1.1270105161893063</v>
      </c>
      <c r="P29" s="625">
        <f t="shared" si="194"/>
        <v>2.209610516189306</v>
      </c>
      <c r="Q29" s="625">
        <f t="shared" si="194"/>
        <v>6.1020105161893063</v>
      </c>
      <c r="R29" s="625">
        <f t="shared" si="194"/>
        <v>10.213410516189306</v>
      </c>
      <c r="S29" s="625">
        <f t="shared" si="194"/>
        <v>12.004910516189307</v>
      </c>
      <c r="T29" s="625">
        <f t="shared" si="194"/>
        <v>13.113410516189306</v>
      </c>
      <c r="U29" s="625">
        <f t="shared" si="194"/>
        <v>9.2468105161893064</v>
      </c>
      <c r="V29" s="625">
        <f t="shared" si="194"/>
        <v>5.7024105161893059</v>
      </c>
      <c r="W29" s="625">
        <f t="shared" si="194"/>
        <v>2.6478105161893062</v>
      </c>
      <c r="X29" s="625">
        <f t="shared" si="194"/>
        <v>1.3847105161893063</v>
      </c>
      <c r="Y29" s="625">
        <f t="shared" si="194"/>
        <v>1.0883105161893063</v>
      </c>
      <c r="Z29" s="625">
        <f t="shared" si="194"/>
        <v>1.0883105161893063</v>
      </c>
      <c r="AA29" s="625">
        <f t="shared" ref="AA29:CH29" si="195">AA28+AA27</f>
        <v>1.1270105161893063</v>
      </c>
      <c r="AB29" s="625">
        <f t="shared" si="195"/>
        <v>2.209610516189306</v>
      </c>
      <c r="AC29" s="625">
        <f t="shared" si="195"/>
        <v>6.1020105161893063</v>
      </c>
      <c r="AD29" s="625">
        <f t="shared" si="195"/>
        <v>10.213510516189306</v>
      </c>
      <c r="AE29" s="625">
        <f t="shared" si="195"/>
        <v>12.005110516189307</v>
      </c>
      <c r="AF29" s="625">
        <f t="shared" si="195"/>
        <v>13.113510516189306</v>
      </c>
      <c r="AG29" s="625">
        <f t="shared" si="195"/>
        <v>9.2469105161893062</v>
      </c>
      <c r="AH29" s="625">
        <f t="shared" si="195"/>
        <v>5.7025105161893066</v>
      </c>
      <c r="AI29" s="625">
        <f t="shared" si="195"/>
        <v>2.6478105161893062</v>
      </c>
      <c r="AJ29" s="625">
        <f t="shared" si="195"/>
        <v>1.3847105161893063</v>
      </c>
      <c r="AK29" s="625">
        <f t="shared" si="195"/>
        <v>1.0883105161893063</v>
      </c>
      <c r="AL29" s="625">
        <f t="shared" si="195"/>
        <v>1.0883105161893063</v>
      </c>
      <c r="AM29" s="625">
        <f t="shared" si="195"/>
        <v>1.1270105161893063</v>
      </c>
      <c r="AN29" s="625">
        <f t="shared" si="195"/>
        <v>2.209610516189306</v>
      </c>
      <c r="AO29" s="625">
        <f t="shared" si="195"/>
        <v>6.1021105161893061</v>
      </c>
      <c r="AP29" s="625">
        <f t="shared" si="195"/>
        <v>10.213610516189306</v>
      </c>
      <c r="AQ29" s="625">
        <f t="shared" si="195"/>
        <v>12.005210516189306</v>
      </c>
      <c r="AR29" s="625">
        <f t="shared" si="195"/>
        <v>13.113610516189306</v>
      </c>
      <c r="AS29" s="625">
        <f t="shared" si="195"/>
        <v>9.2470105161893059</v>
      </c>
      <c r="AT29" s="625">
        <f t="shared" si="195"/>
        <v>5.7025105161893066</v>
      </c>
      <c r="AU29" s="625">
        <f t="shared" si="195"/>
        <v>2.6479105161893064</v>
      </c>
      <c r="AV29" s="625">
        <f t="shared" si="195"/>
        <v>1.3847105161893063</v>
      </c>
      <c r="AW29" s="625">
        <f t="shared" si="195"/>
        <v>1.0883105161893063</v>
      </c>
      <c r="AX29" s="625">
        <f t="shared" si="195"/>
        <v>1.0883105161893063</v>
      </c>
      <c r="AY29" s="625">
        <f t="shared" si="195"/>
        <v>1.1270105161893063</v>
      </c>
      <c r="AZ29" s="625">
        <f t="shared" si="195"/>
        <v>2.209610516189306</v>
      </c>
      <c r="BA29" s="625">
        <f t="shared" si="195"/>
        <v>6.1021105161893061</v>
      </c>
      <c r="BB29" s="625">
        <f t="shared" si="195"/>
        <v>10.213710516189307</v>
      </c>
      <c r="BC29" s="625">
        <f t="shared" si="195"/>
        <v>12.005310516189306</v>
      </c>
      <c r="BD29" s="625">
        <f t="shared" si="195"/>
        <v>13.113810516189305</v>
      </c>
      <c r="BE29" s="625">
        <f t="shared" si="195"/>
        <v>9.2471105161893057</v>
      </c>
      <c r="BF29" s="625">
        <f t="shared" si="195"/>
        <v>5.7026105161893064</v>
      </c>
      <c r="BG29" s="625">
        <f t="shared" si="195"/>
        <v>2.6479105161893064</v>
      </c>
      <c r="BH29" s="625">
        <f t="shared" si="195"/>
        <v>1.3847105161893063</v>
      </c>
      <c r="BI29" s="625">
        <f t="shared" si="195"/>
        <v>1.0883105161893063</v>
      </c>
      <c r="BJ29" s="625">
        <f t="shared" si="195"/>
        <v>1.0883105161893063</v>
      </c>
      <c r="BK29" s="625">
        <f t="shared" si="195"/>
        <v>1.1270105161893063</v>
      </c>
      <c r="BL29" s="625">
        <f t="shared" si="195"/>
        <v>2.2097105161893063</v>
      </c>
      <c r="BM29" s="625">
        <f t="shared" si="195"/>
        <v>6.1022105161893059</v>
      </c>
      <c r="BN29" s="625">
        <f t="shared" si="195"/>
        <v>10.213810516189307</v>
      </c>
      <c r="BO29" s="625">
        <f t="shared" si="195"/>
        <v>12.005410516189306</v>
      </c>
      <c r="BP29" s="625">
        <f t="shared" si="195"/>
        <v>13.113910516189307</v>
      </c>
      <c r="BQ29" s="625">
        <f t="shared" si="195"/>
        <v>9.2471105161893057</v>
      </c>
      <c r="BR29" s="625">
        <f t="shared" si="195"/>
        <v>5.7026105161893064</v>
      </c>
      <c r="BS29" s="625">
        <f t="shared" si="195"/>
        <v>2.6479105161893064</v>
      </c>
      <c r="BT29" s="625">
        <f t="shared" si="195"/>
        <v>1.3848105161893063</v>
      </c>
      <c r="BU29" s="625">
        <f t="shared" si="195"/>
        <v>1.0883105161893063</v>
      </c>
      <c r="BV29" s="625">
        <f t="shared" si="195"/>
        <v>1.0883105161893063</v>
      </c>
      <c r="BW29" s="625">
        <f t="shared" si="195"/>
        <v>1.1270105161893063</v>
      </c>
      <c r="BX29" s="625">
        <f t="shared" si="195"/>
        <v>2.2097105161893063</v>
      </c>
      <c r="BY29" s="625">
        <f t="shared" si="195"/>
        <v>6.1022105161893059</v>
      </c>
      <c r="BZ29" s="625">
        <f t="shared" si="195"/>
        <v>10.213910516189307</v>
      </c>
      <c r="CA29" s="625">
        <f t="shared" si="195"/>
        <v>12.005510516189306</v>
      </c>
      <c r="CB29" s="625">
        <f t="shared" si="195"/>
        <v>13.114010516189307</v>
      </c>
      <c r="CC29" s="625">
        <f t="shared" si="195"/>
        <v>9.2472105161893055</v>
      </c>
      <c r="CD29" s="625">
        <f t="shared" si="195"/>
        <v>5.7027105161893061</v>
      </c>
      <c r="CE29" s="625">
        <f t="shared" si="195"/>
        <v>2.6479105161893064</v>
      </c>
      <c r="CF29" s="625">
        <f t="shared" si="195"/>
        <v>1.3848105161893063</v>
      </c>
      <c r="CG29" s="625">
        <f t="shared" si="195"/>
        <v>1.0883105161893063</v>
      </c>
      <c r="CH29" s="625">
        <f t="shared" si="195"/>
        <v>1.0883105161893063</v>
      </c>
    </row>
    <row r="30" spans="1:86" x14ac:dyDescent="0.2">
      <c r="A30" s="613">
        <v>18</v>
      </c>
      <c r="B30" s="210" t="s">
        <v>584</v>
      </c>
      <c r="C30" s="627">
        <f>'Bill Frequency'!C$13</f>
        <v>151012</v>
      </c>
      <c r="D30" s="628">
        <f>'Bill Frequency'!D$13</f>
        <v>152519</v>
      </c>
      <c r="E30" s="628">
        <f>'Bill Frequency'!E$13</f>
        <v>152394</v>
      </c>
      <c r="F30" s="628">
        <f>'Bill Frequency'!F$13</f>
        <v>157920</v>
      </c>
      <c r="G30" s="628">
        <f>'Bill Frequency'!G$13</f>
        <v>157873</v>
      </c>
      <c r="H30" s="628">
        <f>'Bill Frequency'!H$13</f>
        <v>141181</v>
      </c>
      <c r="I30" s="628">
        <f>'Bill Frequency'!I$13</f>
        <v>175369</v>
      </c>
      <c r="J30" s="628">
        <f>'Bill Frequency'!J$13</f>
        <v>158239</v>
      </c>
      <c r="K30" s="628">
        <f>'Bill Frequency'!K$13</f>
        <v>156709</v>
      </c>
      <c r="L30" s="628">
        <f>'Bill Frequency'!L$13</f>
        <v>156293</v>
      </c>
      <c r="M30" s="628">
        <f>'Bill Frequency'!M$13</f>
        <v>154293</v>
      </c>
      <c r="N30" s="629">
        <f>'Bill Frequency'!N$13</f>
        <v>151835</v>
      </c>
      <c r="O30" s="630">
        <f>C30+O19</f>
        <v>151412</v>
      </c>
      <c r="P30" s="630">
        <f t="shared" ref="P30:Z30" si="196">D30+P19</f>
        <v>152919</v>
      </c>
      <c r="Q30" s="630">
        <f t="shared" si="196"/>
        <v>152794</v>
      </c>
      <c r="R30" s="630">
        <f t="shared" si="196"/>
        <v>158320</v>
      </c>
      <c r="S30" s="630">
        <f t="shared" si="196"/>
        <v>158273</v>
      </c>
      <c r="T30" s="630">
        <f t="shared" si="196"/>
        <v>141581</v>
      </c>
      <c r="U30" s="630">
        <f t="shared" si="196"/>
        <v>175769</v>
      </c>
      <c r="V30" s="630">
        <f t="shared" si="196"/>
        <v>158639</v>
      </c>
      <c r="W30" s="630">
        <f t="shared" si="196"/>
        <v>157109</v>
      </c>
      <c r="X30" s="630">
        <f t="shared" si="196"/>
        <v>156693</v>
      </c>
      <c r="Y30" s="630">
        <f t="shared" si="196"/>
        <v>154693</v>
      </c>
      <c r="Z30" s="630">
        <f t="shared" si="196"/>
        <v>152235</v>
      </c>
      <c r="AA30" s="630">
        <f>O30+AA19</f>
        <v>151812</v>
      </c>
      <c r="AB30" s="630">
        <f t="shared" ref="AB30" si="197">P30+AB19</f>
        <v>153319</v>
      </c>
      <c r="AC30" s="630">
        <f t="shared" ref="AC30" si="198">Q30+AC19</f>
        <v>153194</v>
      </c>
      <c r="AD30" s="630">
        <f t="shared" ref="AD30" si="199">R30+AD19</f>
        <v>158720</v>
      </c>
      <c r="AE30" s="630">
        <f t="shared" ref="AE30" si="200">S30+AE19</f>
        <v>158673</v>
      </c>
      <c r="AF30" s="630">
        <f t="shared" ref="AF30" si="201">T30+AF19</f>
        <v>141981</v>
      </c>
      <c r="AG30" s="630">
        <f t="shared" ref="AG30" si="202">U30+AG19</f>
        <v>176169</v>
      </c>
      <c r="AH30" s="630">
        <f t="shared" ref="AH30" si="203">V30+AH19</f>
        <v>159039</v>
      </c>
      <c r="AI30" s="630">
        <f t="shared" ref="AI30" si="204">W30+AI19</f>
        <v>157509</v>
      </c>
      <c r="AJ30" s="630">
        <f t="shared" ref="AJ30" si="205">X30+AJ19</f>
        <v>157093</v>
      </c>
      <c r="AK30" s="630">
        <f t="shared" ref="AK30" si="206">Y30+AK19</f>
        <v>155093</v>
      </c>
      <c r="AL30" s="630">
        <f t="shared" ref="AL30" si="207">Z30+AL19</f>
        <v>152635</v>
      </c>
      <c r="AM30" s="630">
        <f>AA30+AM19</f>
        <v>152212</v>
      </c>
      <c r="AN30" s="630">
        <f t="shared" ref="AN30" si="208">AB30+AN19</f>
        <v>153719</v>
      </c>
      <c r="AO30" s="630">
        <f t="shared" ref="AO30" si="209">AC30+AO19</f>
        <v>153594</v>
      </c>
      <c r="AP30" s="630">
        <f t="shared" ref="AP30" si="210">AD30+AP19</f>
        <v>159120</v>
      </c>
      <c r="AQ30" s="630">
        <f t="shared" ref="AQ30" si="211">AE30+AQ19</f>
        <v>159073</v>
      </c>
      <c r="AR30" s="630">
        <f t="shared" ref="AR30" si="212">AF30+AR19</f>
        <v>142381</v>
      </c>
      <c r="AS30" s="630">
        <f t="shared" ref="AS30" si="213">AG30+AS19</f>
        <v>176569</v>
      </c>
      <c r="AT30" s="630">
        <f t="shared" ref="AT30" si="214">AH30+AT19</f>
        <v>159439</v>
      </c>
      <c r="AU30" s="630">
        <f t="shared" ref="AU30" si="215">AI30+AU19</f>
        <v>157909</v>
      </c>
      <c r="AV30" s="630">
        <f t="shared" ref="AV30" si="216">AJ30+AV19</f>
        <v>157493</v>
      </c>
      <c r="AW30" s="630">
        <f t="shared" ref="AW30" si="217">AK30+AW19</f>
        <v>155493</v>
      </c>
      <c r="AX30" s="630">
        <f t="shared" ref="AX30" si="218">AL30+AX19</f>
        <v>153035</v>
      </c>
      <c r="AY30" s="630">
        <f>AM30+AY19</f>
        <v>152612</v>
      </c>
      <c r="AZ30" s="630">
        <f t="shared" ref="AZ30" si="219">AN30+AZ19</f>
        <v>154119</v>
      </c>
      <c r="BA30" s="630">
        <f t="shared" ref="BA30" si="220">AO30+BA19</f>
        <v>153994</v>
      </c>
      <c r="BB30" s="630">
        <f t="shared" ref="BB30" si="221">AP30+BB19</f>
        <v>159520</v>
      </c>
      <c r="BC30" s="630">
        <f t="shared" ref="BC30" si="222">AQ30+BC19</f>
        <v>159473</v>
      </c>
      <c r="BD30" s="630">
        <f t="shared" ref="BD30" si="223">AR30+BD19</f>
        <v>142781</v>
      </c>
      <c r="BE30" s="630">
        <f t="shared" ref="BE30" si="224">AS30+BE19</f>
        <v>176969</v>
      </c>
      <c r="BF30" s="630">
        <f t="shared" ref="BF30" si="225">AT30+BF19</f>
        <v>159839</v>
      </c>
      <c r="BG30" s="630">
        <f t="shared" ref="BG30" si="226">AU30+BG19</f>
        <v>158309</v>
      </c>
      <c r="BH30" s="630">
        <f t="shared" ref="BH30" si="227">AV30+BH19</f>
        <v>157893</v>
      </c>
      <c r="BI30" s="630">
        <f t="shared" ref="BI30" si="228">AW30+BI19</f>
        <v>155893</v>
      </c>
      <c r="BJ30" s="630">
        <f t="shared" ref="BJ30" si="229">AX30+BJ19</f>
        <v>153435</v>
      </c>
      <c r="BK30" s="630">
        <f>AY30+BK19</f>
        <v>153012</v>
      </c>
      <c r="BL30" s="630">
        <f t="shared" ref="BL30" si="230">AZ30+BL19</f>
        <v>154519</v>
      </c>
      <c r="BM30" s="630">
        <f t="shared" ref="BM30" si="231">BA30+BM19</f>
        <v>154394</v>
      </c>
      <c r="BN30" s="630">
        <f t="shared" ref="BN30" si="232">BB30+BN19</f>
        <v>159920</v>
      </c>
      <c r="BO30" s="630">
        <f t="shared" ref="BO30" si="233">BC30+BO19</f>
        <v>159873</v>
      </c>
      <c r="BP30" s="630">
        <f t="shared" ref="BP30" si="234">BD30+BP19</f>
        <v>143181</v>
      </c>
      <c r="BQ30" s="630">
        <f t="shared" ref="BQ30" si="235">BE30+BQ19</f>
        <v>177369</v>
      </c>
      <c r="BR30" s="630">
        <f t="shared" ref="BR30" si="236">BF30+BR19</f>
        <v>160239</v>
      </c>
      <c r="BS30" s="630">
        <f t="shared" ref="BS30" si="237">BG30+BS19</f>
        <v>158709</v>
      </c>
      <c r="BT30" s="630">
        <f t="shared" ref="BT30" si="238">BH30+BT19</f>
        <v>158293</v>
      </c>
      <c r="BU30" s="630">
        <f t="shared" ref="BU30" si="239">BI30+BU19</f>
        <v>156293</v>
      </c>
      <c r="BV30" s="630">
        <f t="shared" ref="BV30" si="240">BJ30+BV19</f>
        <v>153835</v>
      </c>
      <c r="BW30" s="630">
        <f>BK30+BW19</f>
        <v>153412</v>
      </c>
      <c r="BX30" s="630">
        <f t="shared" ref="BX30" si="241">BL30+BX19</f>
        <v>154919</v>
      </c>
      <c r="BY30" s="630">
        <f t="shared" ref="BY30" si="242">BM30+BY19</f>
        <v>154794</v>
      </c>
      <c r="BZ30" s="630">
        <f t="shared" ref="BZ30" si="243">BN30+BZ19</f>
        <v>160320</v>
      </c>
      <c r="CA30" s="630">
        <f t="shared" ref="CA30" si="244">BO30+CA19</f>
        <v>160273</v>
      </c>
      <c r="CB30" s="630">
        <f t="shared" ref="CB30" si="245">BP30+CB19</f>
        <v>143581</v>
      </c>
      <c r="CC30" s="630">
        <f t="shared" ref="CC30" si="246">BQ30+CC19</f>
        <v>177769</v>
      </c>
      <c r="CD30" s="630">
        <f t="shared" ref="CD30" si="247">BR30+CD19</f>
        <v>160639</v>
      </c>
      <c r="CE30" s="630">
        <f t="shared" ref="CE30" si="248">BS30+CE19</f>
        <v>159109</v>
      </c>
      <c r="CF30" s="630">
        <f t="shared" ref="CF30" si="249">BT30+CF19</f>
        <v>158693</v>
      </c>
      <c r="CG30" s="630">
        <f t="shared" ref="CG30" si="250">BU30+CG19</f>
        <v>156693</v>
      </c>
      <c r="CH30" s="630">
        <f t="shared" ref="CH30" si="251">BV30+CH19</f>
        <v>154235</v>
      </c>
    </row>
    <row r="31" spans="1:86" x14ac:dyDescent="0.2">
      <c r="A31" s="613">
        <v>19</v>
      </c>
      <c r="B31" s="210" t="s">
        <v>585</v>
      </c>
      <c r="C31" s="44">
        <f t="shared" ref="C31:N31" si="252">C30*C29</f>
        <v>170192.11207077952</v>
      </c>
      <c r="D31" s="44">
        <f t="shared" si="252"/>
        <v>337007.58631867677</v>
      </c>
      <c r="E31" s="44">
        <f t="shared" si="252"/>
        <v>929894.55120415322</v>
      </c>
      <c r="F31" s="44">
        <f t="shared" si="252"/>
        <v>1612885.9967166153</v>
      </c>
      <c r="G31" s="44">
        <f t="shared" si="252"/>
        <v>1895235.4506223542</v>
      </c>
      <c r="H31" s="44">
        <f t="shared" si="252"/>
        <v>1851336.1738861226</v>
      </c>
      <c r="I31" s="44">
        <f t="shared" si="252"/>
        <v>1621586.3765136024</v>
      </c>
      <c r="J31" s="44">
        <f t="shared" si="252"/>
        <v>902343.73767127958</v>
      </c>
      <c r="K31" s="44">
        <f t="shared" si="252"/>
        <v>414935.73818151001</v>
      </c>
      <c r="L31" s="44">
        <f t="shared" si="252"/>
        <v>216420.56070677526</v>
      </c>
      <c r="M31" s="44">
        <f t="shared" si="252"/>
        <v>167918.69447439665</v>
      </c>
      <c r="N31" s="44">
        <f t="shared" si="252"/>
        <v>165243.62722560333</v>
      </c>
      <c r="O31" s="474">
        <f>O30*O29</f>
        <v>170642.91627725525</v>
      </c>
      <c r="P31" s="474">
        <f t="shared" ref="P31:Z31" si="253">P30*P29</f>
        <v>337891.43052515248</v>
      </c>
      <c r="Q31" s="474">
        <f t="shared" si="253"/>
        <v>932350.59481062891</v>
      </c>
      <c r="R31" s="474">
        <f t="shared" si="253"/>
        <v>1616987.1529230908</v>
      </c>
      <c r="S31" s="474">
        <f t="shared" si="253"/>
        <v>1900053.2021288301</v>
      </c>
      <c r="T31" s="474">
        <f t="shared" si="253"/>
        <v>1856609.7742925982</v>
      </c>
      <c r="U31" s="474">
        <f t="shared" si="253"/>
        <v>1625302.6376200782</v>
      </c>
      <c r="V31" s="474">
        <f t="shared" si="253"/>
        <v>904624.70187775535</v>
      </c>
      <c r="W31" s="474">
        <f t="shared" si="253"/>
        <v>415994.86238798569</v>
      </c>
      <c r="X31" s="474">
        <f t="shared" si="253"/>
        <v>216974.44491325098</v>
      </c>
      <c r="Y31" s="474">
        <f t="shared" si="253"/>
        <v>168354.01868087237</v>
      </c>
      <c r="Z31" s="474">
        <f t="shared" si="253"/>
        <v>165678.95143207905</v>
      </c>
      <c r="AA31" s="474">
        <f>AA30*AA29</f>
        <v>171093.72048373095</v>
      </c>
      <c r="AB31" s="474">
        <f t="shared" ref="AB31:AL31" si="254">AB30*AB29</f>
        <v>338775.27473162819</v>
      </c>
      <c r="AC31" s="474">
        <f t="shared" si="254"/>
        <v>934791.39901710465</v>
      </c>
      <c r="AD31" s="474">
        <f t="shared" si="254"/>
        <v>1621088.3891295667</v>
      </c>
      <c r="AE31" s="474">
        <f t="shared" si="254"/>
        <v>1904886.9009353057</v>
      </c>
      <c r="AF31" s="474">
        <f t="shared" si="254"/>
        <v>1861869.3365990738</v>
      </c>
      <c r="AG31" s="474">
        <f t="shared" si="254"/>
        <v>1629018.978726554</v>
      </c>
      <c r="AH31" s="474">
        <f t="shared" si="254"/>
        <v>906921.56998423114</v>
      </c>
      <c r="AI31" s="474">
        <f t="shared" si="254"/>
        <v>417053.98659446143</v>
      </c>
      <c r="AJ31" s="474">
        <f t="shared" si="254"/>
        <v>217528.3291197267</v>
      </c>
      <c r="AK31" s="474">
        <f t="shared" si="254"/>
        <v>168789.34288734809</v>
      </c>
      <c r="AL31" s="474">
        <f t="shared" si="254"/>
        <v>166114.27563855477</v>
      </c>
      <c r="AM31" s="474">
        <f>AM30*AM29</f>
        <v>171544.52469020669</v>
      </c>
      <c r="AN31" s="474">
        <f t="shared" ref="AN31:AX31" si="255">AN30*AN29</f>
        <v>339659.11893810396</v>
      </c>
      <c r="AO31" s="474">
        <f t="shared" si="255"/>
        <v>937247.56262358034</v>
      </c>
      <c r="AP31" s="474">
        <f t="shared" si="255"/>
        <v>1625189.7053360422</v>
      </c>
      <c r="AQ31" s="474">
        <f t="shared" si="255"/>
        <v>1909704.8524417814</v>
      </c>
      <c r="AR31" s="474">
        <f t="shared" si="255"/>
        <v>1867128.9789055495</v>
      </c>
      <c r="AS31" s="474">
        <f t="shared" si="255"/>
        <v>1632735.3998330296</v>
      </c>
      <c r="AT31" s="474">
        <f t="shared" si="255"/>
        <v>909202.57419070683</v>
      </c>
      <c r="AU31" s="474">
        <f t="shared" si="255"/>
        <v>418128.90170093719</v>
      </c>
      <c r="AV31" s="474">
        <f t="shared" si="255"/>
        <v>218082.21332620241</v>
      </c>
      <c r="AW31" s="474">
        <f t="shared" si="255"/>
        <v>169224.66709382381</v>
      </c>
      <c r="AX31" s="474">
        <f t="shared" si="255"/>
        <v>166549.59984503049</v>
      </c>
      <c r="AY31" s="474">
        <f>AY30*AY29</f>
        <v>171995.32889668242</v>
      </c>
      <c r="AZ31" s="474">
        <f t="shared" ref="AZ31:BJ31" si="256">AZ30*AZ29</f>
        <v>340542.96314457967</v>
      </c>
      <c r="BA31" s="474">
        <f t="shared" si="256"/>
        <v>939688.40683005599</v>
      </c>
      <c r="BB31" s="474">
        <f t="shared" si="256"/>
        <v>1629291.1015425182</v>
      </c>
      <c r="BC31" s="474">
        <f t="shared" si="256"/>
        <v>1914522.8839482572</v>
      </c>
      <c r="BD31" s="474">
        <f t="shared" si="256"/>
        <v>1872402.9793120252</v>
      </c>
      <c r="BE31" s="474">
        <f t="shared" si="256"/>
        <v>1636451.9009395053</v>
      </c>
      <c r="BF31" s="474">
        <f t="shared" si="256"/>
        <v>911499.56229718251</v>
      </c>
      <c r="BG31" s="474">
        <f t="shared" si="256"/>
        <v>419188.06590741291</v>
      </c>
      <c r="BH31" s="474">
        <f t="shared" si="256"/>
        <v>218636.09753267813</v>
      </c>
      <c r="BI31" s="474">
        <f t="shared" si="256"/>
        <v>169659.99130029953</v>
      </c>
      <c r="BJ31" s="474">
        <f t="shared" si="256"/>
        <v>166984.92405150621</v>
      </c>
      <c r="BK31" s="474">
        <f>BK30*BK29</f>
        <v>172446.13310315812</v>
      </c>
      <c r="BL31" s="474">
        <f t="shared" ref="BL31:BV31" si="257">BL30*BL29</f>
        <v>341442.25925105542</v>
      </c>
      <c r="BM31" s="474">
        <f t="shared" si="257"/>
        <v>942144.69043653167</v>
      </c>
      <c r="BN31" s="474">
        <f t="shared" si="257"/>
        <v>1633392.5777489939</v>
      </c>
      <c r="BO31" s="474">
        <f t="shared" si="257"/>
        <v>1919340.9954547328</v>
      </c>
      <c r="BP31" s="474">
        <f t="shared" si="257"/>
        <v>1877662.8216185011</v>
      </c>
      <c r="BQ31" s="474">
        <f t="shared" si="257"/>
        <v>1640150.745145981</v>
      </c>
      <c r="BR31" s="474">
        <f t="shared" si="257"/>
        <v>913780.60650365823</v>
      </c>
      <c r="BS31" s="474">
        <f t="shared" si="257"/>
        <v>420247.23011388863</v>
      </c>
      <c r="BT31" s="474">
        <f t="shared" si="257"/>
        <v>219205.81103915386</v>
      </c>
      <c r="BU31" s="474">
        <f t="shared" si="257"/>
        <v>170095.31550677525</v>
      </c>
      <c r="BV31" s="474">
        <f t="shared" si="257"/>
        <v>167420.24825798193</v>
      </c>
      <c r="BW31" s="474">
        <f>BW30*BW29</f>
        <v>172896.93730963385</v>
      </c>
      <c r="BX31" s="474">
        <f t="shared" ref="BX31:CH31" si="258">BX30*BX29</f>
        <v>342326.14345753111</v>
      </c>
      <c r="BY31" s="474">
        <f t="shared" si="258"/>
        <v>944585.57464300736</v>
      </c>
      <c r="BZ31" s="474">
        <f t="shared" si="258"/>
        <v>1637494.1339554696</v>
      </c>
      <c r="CA31" s="474">
        <f t="shared" si="258"/>
        <v>1924159.1869612085</v>
      </c>
      <c r="CB31" s="474">
        <f t="shared" si="258"/>
        <v>1882922.7439249768</v>
      </c>
      <c r="CC31" s="474">
        <f t="shared" si="258"/>
        <v>1643867.3662524566</v>
      </c>
      <c r="CD31" s="474">
        <f t="shared" si="258"/>
        <v>916077.7146101339</v>
      </c>
      <c r="CE31" s="474">
        <f t="shared" si="258"/>
        <v>421306.39432036434</v>
      </c>
      <c r="CF31" s="474">
        <f t="shared" si="258"/>
        <v>219759.73524562959</v>
      </c>
      <c r="CG31" s="474">
        <f t="shared" si="258"/>
        <v>170530.63971325097</v>
      </c>
      <c r="CH31" s="474">
        <f t="shared" si="258"/>
        <v>167855.57246445765</v>
      </c>
    </row>
    <row r="32" spans="1:86" x14ac:dyDescent="0.2">
      <c r="A32" s="613">
        <v>20</v>
      </c>
      <c r="B32" s="210" t="s">
        <v>586</v>
      </c>
      <c r="C32" s="631">
        <f>'Bill Frequency'!C$17</f>
        <v>173004.0906</v>
      </c>
      <c r="D32" s="632">
        <f>'Bill Frequency'!D$17</f>
        <v>238491.70259999999</v>
      </c>
      <c r="E32" s="632">
        <f>'Bill Frequency'!E$17</f>
        <v>872642.24540000001</v>
      </c>
      <c r="F32" s="632">
        <f>'Bill Frequency'!F$17</f>
        <v>1632468.3681000001</v>
      </c>
      <c r="G32" s="632">
        <f>'Bill Frequency'!G$17</f>
        <v>2213711.6485000001</v>
      </c>
      <c r="H32" s="632">
        <f>'Bill Frequency'!H$17</f>
        <v>1817504.3034999999</v>
      </c>
      <c r="I32" s="632">
        <f>'Bill Frequency'!I$17</f>
        <v>2409767.5144000002</v>
      </c>
      <c r="J32" s="632">
        <f>'Bill Frequency'!J$17</f>
        <v>840904.05070000002</v>
      </c>
      <c r="K32" s="632">
        <f>'Bill Frequency'!K$17</f>
        <v>329075.9436</v>
      </c>
      <c r="L32" s="632">
        <f>'Bill Frequency'!L$17</f>
        <v>196516.9406</v>
      </c>
      <c r="M32" s="632">
        <f>'Bill Frequency'!M$17</f>
        <v>158183.28890000001</v>
      </c>
      <c r="N32" s="633">
        <f>'Bill Frequency'!N$17</f>
        <v>174979.03279999999</v>
      </c>
      <c r="O32" s="605" t="s">
        <v>596</v>
      </c>
      <c r="P32" s="605" t="s">
        <v>596</v>
      </c>
      <c r="Q32" s="605" t="s">
        <v>596</v>
      </c>
      <c r="R32" s="605" t="s">
        <v>596</v>
      </c>
      <c r="S32" s="605" t="s">
        <v>596</v>
      </c>
      <c r="T32" s="605" t="s">
        <v>596</v>
      </c>
      <c r="U32" s="605" t="s">
        <v>596</v>
      </c>
      <c r="V32" s="605" t="s">
        <v>596</v>
      </c>
      <c r="W32" s="605" t="s">
        <v>596</v>
      </c>
      <c r="X32" s="605" t="s">
        <v>596</v>
      </c>
      <c r="Y32" s="605" t="s">
        <v>596</v>
      </c>
      <c r="Z32" s="605" t="s">
        <v>596</v>
      </c>
      <c r="AA32" s="605" t="s">
        <v>596</v>
      </c>
      <c r="AB32" s="605" t="s">
        <v>596</v>
      </c>
      <c r="AC32" s="605" t="s">
        <v>596</v>
      </c>
      <c r="AD32" s="605" t="s">
        <v>596</v>
      </c>
      <c r="AE32" s="605" t="s">
        <v>596</v>
      </c>
      <c r="AF32" s="605" t="s">
        <v>596</v>
      </c>
      <c r="AG32" s="605" t="s">
        <v>596</v>
      </c>
      <c r="AH32" s="605" t="s">
        <v>596</v>
      </c>
      <c r="AI32" s="605" t="s">
        <v>596</v>
      </c>
      <c r="AJ32" s="605" t="s">
        <v>596</v>
      </c>
      <c r="AK32" s="605" t="s">
        <v>596</v>
      </c>
      <c r="AL32" s="605" t="s">
        <v>596</v>
      </c>
      <c r="AM32" s="605" t="s">
        <v>596</v>
      </c>
      <c r="AN32" s="605" t="s">
        <v>596</v>
      </c>
      <c r="AO32" s="605" t="s">
        <v>596</v>
      </c>
      <c r="AP32" s="605" t="s">
        <v>596</v>
      </c>
      <c r="AQ32" s="605" t="s">
        <v>596</v>
      </c>
      <c r="AR32" s="605" t="s">
        <v>596</v>
      </c>
      <c r="AS32" s="605" t="s">
        <v>596</v>
      </c>
      <c r="AT32" s="605" t="s">
        <v>596</v>
      </c>
      <c r="AU32" s="605" t="s">
        <v>596</v>
      </c>
      <c r="AV32" s="605" t="s">
        <v>596</v>
      </c>
      <c r="AW32" s="605" t="s">
        <v>596</v>
      </c>
      <c r="AX32" s="605" t="s">
        <v>596</v>
      </c>
      <c r="AY32" s="605" t="s">
        <v>596</v>
      </c>
      <c r="AZ32" s="605" t="s">
        <v>596</v>
      </c>
      <c r="BA32" s="605" t="s">
        <v>596</v>
      </c>
      <c r="BB32" s="605" t="s">
        <v>596</v>
      </c>
      <c r="BC32" s="605" t="s">
        <v>596</v>
      </c>
      <c r="BD32" s="605" t="s">
        <v>596</v>
      </c>
      <c r="BE32" s="605" t="s">
        <v>596</v>
      </c>
      <c r="BF32" s="605" t="s">
        <v>596</v>
      </c>
      <c r="BG32" s="605" t="s">
        <v>596</v>
      </c>
      <c r="BH32" s="605" t="s">
        <v>596</v>
      </c>
      <c r="BI32" s="605" t="s">
        <v>596</v>
      </c>
      <c r="BJ32" s="605" t="s">
        <v>596</v>
      </c>
      <c r="BK32" s="605" t="s">
        <v>596</v>
      </c>
      <c r="BL32" s="605" t="s">
        <v>596</v>
      </c>
      <c r="BM32" s="605" t="s">
        <v>596</v>
      </c>
      <c r="BN32" s="605" t="s">
        <v>596</v>
      </c>
      <c r="BO32" s="605" t="s">
        <v>596</v>
      </c>
      <c r="BP32" s="605" t="s">
        <v>596</v>
      </c>
      <c r="BQ32" s="605" t="s">
        <v>596</v>
      </c>
      <c r="BR32" s="605" t="s">
        <v>596</v>
      </c>
      <c r="BS32" s="605" t="s">
        <v>596</v>
      </c>
      <c r="BT32" s="605" t="s">
        <v>596</v>
      </c>
      <c r="BU32" s="605" t="s">
        <v>596</v>
      </c>
      <c r="BV32" s="605" t="s">
        <v>596</v>
      </c>
      <c r="BW32" s="605" t="s">
        <v>596</v>
      </c>
      <c r="BX32" s="605" t="s">
        <v>596</v>
      </c>
      <c r="BY32" s="605" t="s">
        <v>596</v>
      </c>
      <c r="BZ32" s="605" t="s">
        <v>596</v>
      </c>
      <c r="CA32" s="605" t="s">
        <v>596</v>
      </c>
      <c r="CB32" s="605" t="s">
        <v>596</v>
      </c>
      <c r="CC32" s="605" t="s">
        <v>596</v>
      </c>
      <c r="CD32" s="605" t="s">
        <v>596</v>
      </c>
      <c r="CE32" s="605" t="s">
        <v>596</v>
      </c>
      <c r="CF32" s="605" t="s">
        <v>596</v>
      </c>
      <c r="CG32" s="605" t="s">
        <v>596</v>
      </c>
      <c r="CH32" s="605" t="s">
        <v>596</v>
      </c>
    </row>
    <row r="33" spans="1:86" x14ac:dyDescent="0.2">
      <c r="A33" s="613">
        <v>21</v>
      </c>
      <c r="B33" s="210" t="s">
        <v>601</v>
      </c>
      <c r="C33" s="45">
        <f>C30*(C26*C$15+C28)</f>
        <v>209113.1333983737</v>
      </c>
      <c r="D33" s="45">
        <f t="shared" ref="D33:BO33" si="259">D30*(D26*D$15+D28)</f>
        <v>627935.83538288379</v>
      </c>
      <c r="E33" s="45">
        <f t="shared" si="259"/>
        <v>1214694.3569450122</v>
      </c>
      <c r="F33" s="45">
        <f t="shared" si="259"/>
        <v>1802178.0773607793</v>
      </c>
      <c r="G33" s="45">
        <f t="shared" si="259"/>
        <v>2049880.0144423479</v>
      </c>
      <c r="H33" s="45">
        <f t="shared" si="259"/>
        <v>1611153.1353841957</v>
      </c>
      <c r="I33" s="45">
        <f t="shared" si="259"/>
        <v>1332275.4562601168</v>
      </c>
      <c r="J33" s="45">
        <f t="shared" si="259"/>
        <v>612735.95273260586</v>
      </c>
      <c r="K33" s="45">
        <f t="shared" si="259"/>
        <v>297791.54611010308</v>
      </c>
      <c r="L33" s="45">
        <f t="shared" si="259"/>
        <v>172109.69189751495</v>
      </c>
      <c r="M33" s="45">
        <f t="shared" si="259"/>
        <v>167918.69447439665</v>
      </c>
      <c r="N33" s="45">
        <f t="shared" si="259"/>
        <v>165243.62722560333</v>
      </c>
      <c r="O33" s="45">
        <f t="shared" si="259"/>
        <v>209667.46402670952</v>
      </c>
      <c r="P33" s="45">
        <f t="shared" si="259"/>
        <v>629587.13875892269</v>
      </c>
      <c r="Q33" s="45">
        <f t="shared" si="259"/>
        <v>1217892.7914838213</v>
      </c>
      <c r="R33" s="45">
        <f t="shared" si="259"/>
        <v>1806758.6168764252</v>
      </c>
      <c r="S33" s="45">
        <f t="shared" si="259"/>
        <v>2055091.9047089503</v>
      </c>
      <c r="T33" s="45">
        <f t="shared" si="259"/>
        <v>1615732.0094490978</v>
      </c>
      <c r="U33" s="45">
        <f t="shared" si="259"/>
        <v>1335325.275420117</v>
      </c>
      <c r="V33" s="45">
        <f t="shared" si="259"/>
        <v>614289.0963677963</v>
      </c>
      <c r="W33" s="45">
        <f t="shared" si="259"/>
        <v>298552.88901032129</v>
      </c>
      <c r="X33" s="45">
        <f t="shared" si="259"/>
        <v>172550.19095221843</v>
      </c>
      <c r="Y33" s="45">
        <f t="shared" si="259"/>
        <v>168354.01868087237</v>
      </c>
      <c r="Z33" s="45">
        <f t="shared" si="259"/>
        <v>165678.95143207905</v>
      </c>
      <c r="AA33" s="45">
        <f t="shared" si="259"/>
        <v>210221.86551743562</v>
      </c>
      <c r="AB33" s="45">
        <f t="shared" si="259"/>
        <v>631239.17311917373</v>
      </c>
      <c r="AC33" s="45">
        <f t="shared" si="259"/>
        <v>1221092.8857566298</v>
      </c>
      <c r="AD33" s="45">
        <f t="shared" si="259"/>
        <v>1811341.732926544</v>
      </c>
      <c r="AE33" s="45">
        <f t="shared" si="259"/>
        <v>2060306.763088987</v>
      </c>
      <c r="AF33" s="45">
        <f t="shared" si="259"/>
        <v>1620313.1967152448</v>
      </c>
      <c r="AG33" s="45">
        <f t="shared" si="259"/>
        <v>1338376.8920505252</v>
      </c>
      <c r="AH33" s="45">
        <f t="shared" si="259"/>
        <v>615842.93615208089</v>
      </c>
      <c r="AI33" s="45">
        <f t="shared" si="259"/>
        <v>299314.43306091632</v>
      </c>
      <c r="AJ33" s="45">
        <f t="shared" si="259"/>
        <v>172990.69319161476</v>
      </c>
      <c r="AK33" s="45">
        <f t="shared" si="259"/>
        <v>168789.34288734809</v>
      </c>
      <c r="AL33" s="45">
        <f t="shared" si="259"/>
        <v>166114.27563855477</v>
      </c>
      <c r="AM33" s="45">
        <f t="shared" si="259"/>
        <v>210776.28196095739</v>
      </c>
      <c r="AN33" s="45">
        <f t="shared" si="259"/>
        <v>632891.36150283995</v>
      </c>
      <c r="AO33" s="45">
        <f t="shared" si="259"/>
        <v>1224293.329788439</v>
      </c>
      <c r="AP33" s="45">
        <f t="shared" si="259"/>
        <v>1815925.3891740858</v>
      </c>
      <c r="AQ33" s="45">
        <f t="shared" si="259"/>
        <v>2065522.2437912186</v>
      </c>
      <c r="AR33" s="45">
        <f t="shared" si="259"/>
        <v>1624894.8770487402</v>
      </c>
      <c r="AS33" s="45">
        <f t="shared" si="259"/>
        <v>1341428.8802288908</v>
      </c>
      <c r="AT33" s="45">
        <f t="shared" si="259"/>
        <v>617396.92184978421</v>
      </c>
      <c r="AU33" s="45">
        <f t="shared" si="259"/>
        <v>300076.01933077257</v>
      </c>
      <c r="AV33" s="45">
        <f t="shared" si="259"/>
        <v>173431.19609969578</v>
      </c>
      <c r="AW33" s="45">
        <f t="shared" si="259"/>
        <v>169224.66709382381</v>
      </c>
      <c r="AX33" s="45">
        <f t="shared" si="259"/>
        <v>166549.59984503049</v>
      </c>
      <c r="AY33" s="45">
        <f t="shared" si="259"/>
        <v>211330.69729076535</v>
      </c>
      <c r="AZ33" s="45">
        <f t="shared" si="259"/>
        <v>634543.5381213068</v>
      </c>
      <c r="BA33" s="45">
        <f t="shared" si="259"/>
        <v>1227493.7471584547</v>
      </c>
      <c r="BB33" s="45">
        <f t="shared" si="259"/>
        <v>1820509.0006051003</v>
      </c>
      <c r="BC33" s="45">
        <f t="shared" si="259"/>
        <v>2070737.6728982117</v>
      </c>
      <c r="BD33" s="45">
        <f t="shared" si="259"/>
        <v>1629476.5271777634</v>
      </c>
      <c r="BE33" s="45">
        <f t="shared" si="259"/>
        <v>1344480.8305490478</v>
      </c>
      <c r="BF33" s="45">
        <f t="shared" si="259"/>
        <v>618950.89538703975</v>
      </c>
      <c r="BG33" s="45">
        <f t="shared" si="259"/>
        <v>300837.60215887794</v>
      </c>
      <c r="BH33" s="45">
        <f t="shared" si="259"/>
        <v>173871.6989535992</v>
      </c>
      <c r="BI33" s="45">
        <f t="shared" si="259"/>
        <v>169659.99130029953</v>
      </c>
      <c r="BJ33" s="45">
        <f t="shared" si="259"/>
        <v>166984.92405150621</v>
      </c>
      <c r="BK33" s="45">
        <f t="shared" si="259"/>
        <v>211885.11005147171</v>
      </c>
      <c r="BL33" s="45">
        <f t="shared" si="259"/>
        <v>636195.68796087883</v>
      </c>
      <c r="BM33" s="45">
        <f t="shared" si="259"/>
        <v>1230694.1037774833</v>
      </c>
      <c r="BN33" s="45">
        <f t="shared" si="259"/>
        <v>1825092.5142931307</v>
      </c>
      <c r="BO33" s="45">
        <f t="shared" si="259"/>
        <v>2075952.9894398716</v>
      </c>
      <c r="BP33" s="45">
        <f t="shared" ref="BP33:CH33" si="260">BP30*(BP26*BP$15+BP28)</f>
        <v>1634058.0996060828</v>
      </c>
      <c r="BQ33" s="45">
        <f t="shared" si="260"/>
        <v>1347532.7060741181</v>
      </c>
      <c r="BR33" s="45">
        <f t="shared" si="260"/>
        <v>620504.84246363875</v>
      </c>
      <c r="BS33" s="45">
        <f t="shared" si="260"/>
        <v>301599.17741337628</v>
      </c>
      <c r="BT33" s="45">
        <f t="shared" si="260"/>
        <v>174312.20168790847</v>
      </c>
      <c r="BU33" s="45">
        <f t="shared" si="260"/>
        <v>170095.31550677525</v>
      </c>
      <c r="BV33" s="45">
        <f t="shared" si="260"/>
        <v>167420.24825798193</v>
      </c>
      <c r="BW33" s="45">
        <f t="shared" si="260"/>
        <v>212439.51812034752</v>
      </c>
      <c r="BX33" s="45">
        <f t="shared" si="260"/>
        <v>637847.78912389185</v>
      </c>
      <c r="BY33" s="45">
        <f t="shared" si="260"/>
        <v>1233894.3499259537</v>
      </c>
      <c r="BZ33" s="45">
        <f t="shared" si="260"/>
        <v>1829675.8530477013</v>
      </c>
      <c r="CA33" s="45">
        <f t="shared" si="260"/>
        <v>2081168.1044944606</v>
      </c>
      <c r="CB33" s="45">
        <f t="shared" si="260"/>
        <v>1638639.5250526571</v>
      </c>
      <c r="CC33" s="45">
        <f t="shared" si="260"/>
        <v>1350584.4529403367</v>
      </c>
      <c r="CD33" s="45">
        <f t="shared" si="260"/>
        <v>622058.7422235246</v>
      </c>
      <c r="CE33" s="45">
        <f t="shared" si="260"/>
        <v>302360.73906811216</v>
      </c>
      <c r="CF33" s="45">
        <f t="shared" si="260"/>
        <v>174752.70420721578</v>
      </c>
      <c r="CG33" s="45">
        <f t="shared" si="260"/>
        <v>170530.63971325097</v>
      </c>
      <c r="CH33" s="45">
        <f t="shared" si="260"/>
        <v>167855.57246445765</v>
      </c>
    </row>
    <row r="34" spans="1:86" x14ac:dyDescent="0.2">
      <c r="A34" s="613">
        <v>22</v>
      </c>
      <c r="B34" s="210" t="s">
        <v>603</v>
      </c>
      <c r="C34" s="45">
        <f>C33/SUM(C33:N33)*SUM(C31:N31)</f>
        <v>209560.80259830231</v>
      </c>
      <c r="D34" s="45">
        <f>D33/SUM(C33:N33)*SUM(C31:N31)</f>
        <v>629280.1198305604</v>
      </c>
      <c r="E34" s="45">
        <f>E33/SUM(C33:N33)*SUM(C31:N31)</f>
        <v>1217294.7734855432</v>
      </c>
      <c r="F34" s="45">
        <f>F33/SUM(C33:N33)*SUM(C31:N31)</f>
        <v>1806036.1784991901</v>
      </c>
      <c r="G34" s="45">
        <f>G33/SUM(C33:N33)*SUM(C31:N31)</f>
        <v>2054268.3956554343</v>
      </c>
      <c r="H34" s="45">
        <f>H33/SUM(C33:N33)*SUM(C31:N31)</f>
        <v>1614602.2905059156</v>
      </c>
      <c r="I34" s="45">
        <f>I33/SUM(C33:N33)*SUM(C31:N31)</f>
        <v>1335127.590307825</v>
      </c>
      <c r="J34" s="45">
        <f>J33/SUM(C33:N33)*SUM(C31:N31)</f>
        <v>614047.69728575519</v>
      </c>
      <c r="K34" s="45">
        <f>K33/SUM(C33:N33)*SUM(C31:N31)</f>
        <v>298429.05797282595</v>
      </c>
      <c r="L34" s="45">
        <f>L33/SUM(C33:N33)*SUM(C31:N31)</f>
        <v>172478.14416457049</v>
      </c>
      <c r="M34" s="45">
        <f>M33/SUM(C33:N33)*SUM(C31:N31)</f>
        <v>168278.17465809797</v>
      </c>
      <c r="N34" s="45">
        <f>N33/SUM(C33:N33)*SUM(C31:N31)</f>
        <v>165597.3806278464</v>
      </c>
      <c r="O34" s="45">
        <f>O33/SUM(O33:Z33)*SUM(O31:Z31)</f>
        <v>210115.43620876517</v>
      </c>
      <c r="P34" s="45">
        <f>P33/SUM(O33:Z33)*SUM(O31:Z31)</f>
        <v>630932.30466557993</v>
      </c>
      <c r="Q34" s="45">
        <f>Q33/SUM(O33:Z33)*SUM(O31:Z31)</f>
        <v>1220494.921928063</v>
      </c>
      <c r="R34" s="45">
        <f>R33/SUM(O33:Z33)*SUM(O31:Z31)</f>
        <v>1810618.9087142991</v>
      </c>
      <c r="S34" s="45">
        <f>S33/SUM(O33:Z33)*SUM(O31:Z31)</f>
        <v>2059482.7815154733</v>
      </c>
      <c r="T34" s="45">
        <f>T33/SUM(O33:Z33)*SUM(O31:Z31)</f>
        <v>1619184.1568638147</v>
      </c>
      <c r="U34" s="45">
        <f>U33/SUM(O33:Z33)*SUM(O31:Z31)</f>
        <v>1338178.3102491538</v>
      </c>
      <c r="V34" s="45">
        <f>V33/SUM(O33:Z33)*SUM(O31:Z31)</f>
        <v>615601.57671943458</v>
      </c>
      <c r="W34" s="45">
        <f>W33/SUM(O33:Z33)*SUM(O31:Z31)</f>
        <v>299190.77238326054</v>
      </c>
      <c r="X34" s="45">
        <f>X33/SUM(O33:Z33)*SUM(O31:Z31)</f>
        <v>172918.85895664062</v>
      </c>
      <c r="Y34" s="45">
        <f>Y33/SUM(O33:Z33)*SUM(O31:Z31)</f>
        <v>168713.72121009597</v>
      </c>
      <c r="Z34" s="45">
        <f>Z33/SUM(O33:Z33)*SUM(O31:Z31)</f>
        <v>166032.9384549977</v>
      </c>
      <c r="AA34" s="45">
        <f>AA33/SUM(AA33:AL33)*SUM(AA31:AL31)</f>
        <v>210669.93057356912</v>
      </c>
      <c r="AB34" s="45">
        <f>AB33/SUM(AA33:AL33)*SUM(AA31:AL31)</f>
        <v>632584.59080368117</v>
      </c>
      <c r="AC34" s="45">
        <f>AC33/SUM(AA33:AL33)*SUM(AA31:AL31)</f>
        <v>1223695.5125150501</v>
      </c>
      <c r="AD34" s="45">
        <f>AD33/SUM(AA33:AL33)*SUM(AA31:AL31)</f>
        <v>1815202.4109451843</v>
      </c>
      <c r="AE34" s="45">
        <f>AE33/SUM(AA33:AL33)*SUM(AA31:AL31)</f>
        <v>2064698.0830079853</v>
      </c>
      <c r="AF34" s="45">
        <f>AF33/SUM(AA33:AL33)*SUM(AA31:AL31)</f>
        <v>1623766.7181729348</v>
      </c>
      <c r="AG34" s="45">
        <f>AG33/SUM(AA33:AL33)*SUM(AA31:AL31)</f>
        <v>1341229.4969200916</v>
      </c>
      <c r="AH34" s="45">
        <f>AH33/SUM(AA33:AL33)*SUM(AA31:AL31)</f>
        <v>617155.53843099799</v>
      </c>
      <c r="AI34" s="45">
        <f>AI33/SUM(AA33:AL33)*SUM(AA31:AL31)</f>
        <v>299952.389240788</v>
      </c>
      <c r="AJ34" s="45">
        <f>AJ33/SUM(AA33:AL33)*SUM(AA31:AL31)</f>
        <v>173359.40405080485</v>
      </c>
      <c r="AK34" s="45">
        <f>AK33/SUM(AA33:AL33)*SUM(AA31:AL31)</f>
        <v>169149.09902503341</v>
      </c>
      <c r="AL34" s="45">
        <f>AL33/SUM(AA33:AL33)*SUM(AA31:AL31)</f>
        <v>166468.33016116766</v>
      </c>
      <c r="AM34" s="45">
        <f>AM33/SUM(AM33:AX33)*SUM(AM31:AX31)</f>
        <v>211224.37941395215</v>
      </c>
      <c r="AN34" s="45">
        <f>AN33/SUM(AM33:AX33)*SUM(AM31:AX31)</f>
        <v>634236.84973554511</v>
      </c>
      <c r="AO34" s="45">
        <f>AO33/SUM(AM33:AX33)*SUM(AM31:AX31)</f>
        <v>1226896.1023475369</v>
      </c>
      <c r="AP34" s="45">
        <f>AP33/SUM(AM33:AX33)*SUM(AM31:AX31)</f>
        <v>1819785.9352191489</v>
      </c>
      <c r="AQ34" s="45">
        <f>AQ33/SUM(AM33:AX33)*SUM(AM31:AX31)</f>
        <v>2069913.4174466983</v>
      </c>
      <c r="AR34" s="45">
        <f>AR33/SUM(AM33:AX33)*SUM(AM31:AX31)</f>
        <v>1628349.3039368882</v>
      </c>
      <c r="AS34" s="45">
        <f>AS33/SUM(AM33:AX33)*SUM(AM31:AX31)</f>
        <v>1344280.6757867779</v>
      </c>
      <c r="AT34" s="45">
        <f>AT33/SUM(AM33:AX33)*SUM(AM31:AX31)</f>
        <v>618709.46985373343</v>
      </c>
      <c r="AU34" s="45">
        <f>AU33/SUM(AM33:AX33)*SUM(AM31:AX31)</f>
        <v>300713.96255055018</v>
      </c>
      <c r="AV34" s="45">
        <f>AV33/SUM(AM33:AX33)*SUM(AM31:AX31)</f>
        <v>173799.90018973427</v>
      </c>
      <c r="AW34" s="45">
        <f>AW33/SUM(AM33:AX33)*SUM(AM31:AX31)</f>
        <v>169584.42836109331</v>
      </c>
      <c r="AX34" s="45">
        <f>AX33/SUM(AM33:AX33)*SUM(AM31:AX31)</f>
        <v>166903.67408333442</v>
      </c>
      <c r="AY34" s="45">
        <f>AY33/SUM(AY33:BJ33)*SUM(AY31:BJ31)</f>
        <v>211778.82150925125</v>
      </c>
      <c r="AZ34" s="45">
        <f>AZ33/SUM(AY33:BJ33)*SUM(AY31:BJ31)</f>
        <v>635889.08011194644</v>
      </c>
      <c r="BA34" s="45">
        <f>BA33/SUM(AY33:BJ33)*SUM(AY31:BJ31)</f>
        <v>1230096.6329823956</v>
      </c>
      <c r="BB34" s="45">
        <f>BB33/SUM(AY33:BJ33)*SUM(AY31:BJ31)</f>
        <v>1824369.3681882357</v>
      </c>
      <c r="BC34" s="45">
        <f>BC33/SUM(AY33:BJ33)*SUM(AY31:BJ31)</f>
        <v>2075128.6473910466</v>
      </c>
      <c r="BD34" s="45">
        <f>BD33/SUM(AY33:BJ33)*SUM(AY31:BJ31)</f>
        <v>1632931.8126835786</v>
      </c>
      <c r="BE34" s="45">
        <f>BE33/SUM(AY33:BJ33)*SUM(AY31:BJ31)</f>
        <v>1347331.7860854792</v>
      </c>
      <c r="BF34" s="45">
        <f>BF33/SUM(AY33:BJ33)*SUM(AY31:BJ31)</f>
        <v>620263.37336507253</v>
      </c>
      <c r="BG34" s="45">
        <f>BG33/SUM(AY33:BJ33)*SUM(AY31:BJ31)</f>
        <v>301475.52469964884</v>
      </c>
      <c r="BH34" s="45">
        <f>BH33/SUM(AY33:BJ33)*SUM(AY31:BJ31)</f>
        <v>174240.39181369607</v>
      </c>
      <c r="BI34" s="45">
        <f>BI33/SUM(AY33:BJ33)*SUM(AY31:BJ31)</f>
        <v>170019.75328464183</v>
      </c>
      <c r="BJ34" s="45">
        <f>BJ33/SUM(AY33:BJ33)*SUM(AY31:BJ31)</f>
        <v>167339.01358771094</v>
      </c>
      <c r="BK34" s="45">
        <f>BK33/SUM(BK33:BV33)*SUM(BK31:BV31)</f>
        <v>212333.25291334506</v>
      </c>
      <c r="BL34" s="45">
        <f>BL33/SUM(BK33:BV33)*SUM(BK31:BV31)</f>
        <v>637541.25941818894</v>
      </c>
      <c r="BM34" s="45">
        <f>BM33/SUM(BK33:BV33)*SUM(BK31:BV31)</f>
        <v>1233297.0558094762</v>
      </c>
      <c r="BN34" s="45">
        <f>BN33/SUM(BK33:BV33)*SUM(BK31:BV31)</f>
        <v>1828952.6353858318</v>
      </c>
      <c r="BO34" s="45">
        <f>BO33/SUM(BK33:BV33)*SUM(BK31:BV31)</f>
        <v>2080343.6873684619</v>
      </c>
      <c r="BP34" s="45">
        <f>BP33/SUM(BK33:BV33)*SUM(BK31:BV31)</f>
        <v>1637514.1776336841</v>
      </c>
      <c r="BQ34" s="45">
        <f>BQ33/SUM(BK33:BV33)*SUM(BK31:BV31)</f>
        <v>1350382.7749780694</v>
      </c>
      <c r="BR34" s="45">
        <f>BR33/SUM(BK33:BV33)*SUM(BK31:BV31)</f>
        <v>621817.22734920424</v>
      </c>
      <c r="BS34" s="45">
        <f>BS33/SUM(BK33:BV33)*SUM(BK31:BV31)</f>
        <v>302237.06800640491</v>
      </c>
      <c r="BT34" s="45">
        <f>BT33/SUM(BK33:BV33)*SUM(BK31:BV31)</f>
        <v>174680.8768105015</v>
      </c>
      <c r="BU34" s="45">
        <f>BU33/SUM(BK33:BV33)*SUM(BK31:BV31)</f>
        <v>170455.071798588</v>
      </c>
      <c r="BV34" s="45">
        <f>BV33/SUM(BK33:BV33)*SUM(BK31:BV31)</f>
        <v>167774.3467086548</v>
      </c>
      <c r="BW34" s="45">
        <f>BW33/SUM(BW33:CH33)*SUM(BW31:CH31)</f>
        <v>212887.44216264971</v>
      </c>
      <c r="BX34" s="45">
        <f>BX33/SUM(BW33:CH33)*SUM(BW31:CH31)</f>
        <v>639192.6771306328</v>
      </c>
      <c r="BY34" s="45">
        <f>BY33/SUM(BW33:CH33)*SUM(BW31:CH31)</f>
        <v>1236495.9889707172</v>
      </c>
      <c r="BZ34" s="45">
        <f>BZ33/SUM(BW33:CH33)*SUM(BW31:CH31)</f>
        <v>1833533.6842622098</v>
      </c>
      <c r="CA34" s="45">
        <f>CA33/SUM(BW33:CH33)*SUM(BW31:CH31)</f>
        <v>2085556.201578862</v>
      </c>
      <c r="CB34" s="45">
        <f>CB33/SUM(BW33:CH33)*SUM(BW31:CH31)</f>
        <v>1642094.560379568</v>
      </c>
      <c r="CC34" s="45">
        <f>CC33/SUM(BW33:CH33)*SUM(BW31:CH31)</f>
        <v>1353432.1304957378</v>
      </c>
      <c r="CD34" s="45">
        <f>CD33/SUM(BW33:CH33)*SUM(BW31:CH31)</f>
        <v>623370.3393728286</v>
      </c>
      <c r="CE34" s="45">
        <f>CE33/SUM(BW33:CH33)*SUM(BW31:CH31)</f>
        <v>302998.26002313587</v>
      </c>
      <c r="CF34" s="45">
        <f>CF33/SUM(BW33:CH33)*SUM(BW31:CH31)</f>
        <v>175121.16643290859</v>
      </c>
      <c r="CG34" s="45">
        <f>CG33/SUM(BW33:CH33)*SUM(BW31:CH31)</f>
        <v>170890.19980900237</v>
      </c>
      <c r="CH34" s="45">
        <f>CH33/SUM(BW33:CH33)*SUM(BW31:CH31)</f>
        <v>168209.49223986702</v>
      </c>
    </row>
    <row r="35" spans="1:86" x14ac:dyDescent="0.2">
      <c r="A35" s="613">
        <v>23</v>
      </c>
      <c r="C35" s="634"/>
      <c r="D35" s="634"/>
      <c r="E35" s="634"/>
      <c r="F35" s="634"/>
      <c r="G35" s="634"/>
      <c r="H35" s="634"/>
      <c r="I35" s="634"/>
      <c r="J35" s="634"/>
      <c r="K35" s="634"/>
      <c r="L35" s="634"/>
      <c r="M35" s="634"/>
      <c r="N35" s="634"/>
    </row>
    <row r="36" spans="1:86" x14ac:dyDescent="0.2">
      <c r="A36" s="613">
        <v>24</v>
      </c>
      <c r="B36" s="41" t="s">
        <v>587</v>
      </c>
      <c r="C36" s="635">
        <f>ROUND(C31-C32,0)</f>
        <v>-2812</v>
      </c>
      <c r="D36" s="635">
        <f t="shared" ref="D36:N36" si="261">ROUND(D31-D32,0)</f>
        <v>98516</v>
      </c>
      <c r="E36" s="635">
        <f t="shared" si="261"/>
        <v>57252</v>
      </c>
      <c r="F36" s="635">
        <f t="shared" si="261"/>
        <v>-19582</v>
      </c>
      <c r="G36" s="635">
        <f t="shared" si="261"/>
        <v>-318476</v>
      </c>
      <c r="H36" s="635">
        <f t="shared" si="261"/>
        <v>33832</v>
      </c>
      <c r="I36" s="635">
        <f t="shared" si="261"/>
        <v>-788181</v>
      </c>
      <c r="J36" s="635">
        <f t="shared" si="261"/>
        <v>61440</v>
      </c>
      <c r="K36" s="635">
        <f t="shared" si="261"/>
        <v>85860</v>
      </c>
      <c r="L36" s="635">
        <f t="shared" si="261"/>
        <v>19904</v>
      </c>
      <c r="M36" s="635">
        <f t="shared" si="261"/>
        <v>9735</v>
      </c>
      <c r="N36" s="635">
        <f t="shared" si="261"/>
        <v>-9735</v>
      </c>
      <c r="O36" s="635"/>
      <c r="P36" s="635"/>
      <c r="Q36" s="635"/>
      <c r="R36" s="635"/>
      <c r="S36" s="635"/>
      <c r="T36" s="635"/>
      <c r="U36" s="635"/>
      <c r="V36" s="635"/>
      <c r="W36" s="635"/>
      <c r="X36" s="635"/>
      <c r="Y36" s="635"/>
      <c r="Z36" s="635"/>
      <c r="AA36" s="635"/>
      <c r="AB36" s="635"/>
      <c r="AC36" s="635"/>
      <c r="AD36" s="635"/>
      <c r="AE36" s="635"/>
      <c r="AF36" s="635"/>
      <c r="AG36" s="635"/>
      <c r="AH36" s="635"/>
      <c r="AI36" s="635"/>
      <c r="AJ36" s="635"/>
      <c r="AK36" s="635"/>
      <c r="AL36" s="635"/>
      <c r="AM36" s="635"/>
      <c r="AN36" s="635"/>
      <c r="AO36" s="635"/>
      <c r="AP36" s="635"/>
      <c r="AQ36" s="635"/>
      <c r="AR36" s="635"/>
      <c r="AS36" s="635"/>
      <c r="AT36" s="635"/>
      <c r="AU36" s="635"/>
      <c r="AV36" s="635"/>
      <c r="AW36" s="635"/>
      <c r="AX36" s="635"/>
      <c r="AY36" s="635"/>
      <c r="AZ36" s="635"/>
      <c r="BA36" s="635"/>
      <c r="BB36" s="635"/>
      <c r="BC36" s="635"/>
      <c r="BD36" s="635"/>
      <c r="BE36" s="635"/>
      <c r="BF36" s="635"/>
      <c r="BG36" s="635"/>
      <c r="BH36" s="635"/>
      <c r="BI36" s="635"/>
      <c r="BJ36" s="635"/>
      <c r="BK36" s="635"/>
      <c r="BL36" s="635"/>
      <c r="BM36" s="635"/>
      <c r="BN36" s="635"/>
      <c r="BO36" s="635"/>
      <c r="BP36" s="635"/>
      <c r="BQ36" s="635"/>
      <c r="BR36" s="635"/>
      <c r="BS36" s="635"/>
      <c r="BT36" s="635"/>
      <c r="BU36" s="635"/>
      <c r="BV36" s="635"/>
      <c r="BW36" s="635"/>
      <c r="BX36" s="635"/>
      <c r="BY36" s="635"/>
      <c r="BZ36" s="635"/>
      <c r="CA36" s="635"/>
      <c r="CB36" s="635"/>
      <c r="CC36" s="635"/>
      <c r="CD36" s="635"/>
      <c r="CE36" s="635"/>
      <c r="CF36" s="635"/>
      <c r="CG36" s="635"/>
      <c r="CH36" s="635"/>
    </row>
    <row r="37" spans="1:86" x14ac:dyDescent="0.2">
      <c r="A37" s="613">
        <v>25</v>
      </c>
      <c r="B37" s="41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</row>
    <row r="38" spans="1:86" x14ac:dyDescent="0.2">
      <c r="A38" s="613">
        <v>26</v>
      </c>
      <c r="B38" s="41" t="s">
        <v>590</v>
      </c>
      <c r="C38" s="157">
        <f>C36</f>
        <v>-2812</v>
      </c>
      <c r="D38" s="157">
        <f t="shared" ref="D38:Z38" si="262">D36</f>
        <v>98516</v>
      </c>
      <c r="E38" s="157">
        <f t="shared" si="262"/>
        <v>57252</v>
      </c>
      <c r="F38" s="157">
        <f t="shared" si="262"/>
        <v>-19582</v>
      </c>
      <c r="G38" s="157">
        <f t="shared" si="262"/>
        <v>-318476</v>
      </c>
      <c r="H38" s="157">
        <f t="shared" si="262"/>
        <v>33832</v>
      </c>
      <c r="I38" s="157">
        <f t="shared" si="262"/>
        <v>-788181</v>
      </c>
      <c r="J38" s="157">
        <f t="shared" si="262"/>
        <v>61440</v>
      </c>
      <c r="K38" s="157">
        <f t="shared" si="262"/>
        <v>85860</v>
      </c>
      <c r="L38" s="157">
        <f t="shared" si="262"/>
        <v>19904</v>
      </c>
      <c r="M38" s="157">
        <f t="shared" si="262"/>
        <v>9735</v>
      </c>
      <c r="N38" s="157">
        <f t="shared" si="262"/>
        <v>-9735</v>
      </c>
      <c r="O38" s="157">
        <f>O36</f>
        <v>0</v>
      </c>
      <c r="P38" s="157">
        <f t="shared" si="262"/>
        <v>0</v>
      </c>
      <c r="Q38" s="157">
        <f t="shared" si="262"/>
        <v>0</v>
      </c>
      <c r="R38" s="157">
        <f t="shared" si="262"/>
        <v>0</v>
      </c>
      <c r="S38" s="157">
        <f t="shared" si="262"/>
        <v>0</v>
      </c>
      <c r="T38" s="157">
        <f t="shared" si="262"/>
        <v>0</v>
      </c>
      <c r="U38" s="157">
        <f t="shared" si="262"/>
        <v>0</v>
      </c>
      <c r="V38" s="157">
        <f t="shared" si="262"/>
        <v>0</v>
      </c>
      <c r="W38" s="157">
        <f t="shared" si="262"/>
        <v>0</v>
      </c>
      <c r="X38" s="157">
        <f t="shared" si="262"/>
        <v>0</v>
      </c>
      <c r="Y38" s="157">
        <f t="shared" si="262"/>
        <v>0</v>
      </c>
      <c r="Z38" s="157">
        <f t="shared" si="262"/>
        <v>0</v>
      </c>
      <c r="AA38" s="157">
        <f>AA36</f>
        <v>0</v>
      </c>
      <c r="AB38" s="157">
        <f t="shared" ref="AB38:AL38" si="263">AB36</f>
        <v>0</v>
      </c>
      <c r="AC38" s="157">
        <f t="shared" si="263"/>
        <v>0</v>
      </c>
      <c r="AD38" s="157">
        <f t="shared" si="263"/>
        <v>0</v>
      </c>
      <c r="AE38" s="157">
        <f t="shared" si="263"/>
        <v>0</v>
      </c>
      <c r="AF38" s="157">
        <f t="shared" si="263"/>
        <v>0</v>
      </c>
      <c r="AG38" s="157">
        <f t="shared" si="263"/>
        <v>0</v>
      </c>
      <c r="AH38" s="157">
        <f t="shared" si="263"/>
        <v>0</v>
      </c>
      <c r="AI38" s="157">
        <f t="shared" si="263"/>
        <v>0</v>
      </c>
      <c r="AJ38" s="157">
        <f t="shared" si="263"/>
        <v>0</v>
      </c>
      <c r="AK38" s="157">
        <f t="shared" si="263"/>
        <v>0</v>
      </c>
      <c r="AL38" s="157">
        <f t="shared" si="263"/>
        <v>0</v>
      </c>
      <c r="AM38" s="157">
        <f>AM36</f>
        <v>0</v>
      </c>
      <c r="AN38" s="157">
        <f t="shared" ref="AN38:AX38" si="264">AN36</f>
        <v>0</v>
      </c>
      <c r="AO38" s="157">
        <f t="shared" si="264"/>
        <v>0</v>
      </c>
      <c r="AP38" s="157">
        <f t="shared" si="264"/>
        <v>0</v>
      </c>
      <c r="AQ38" s="157">
        <f t="shared" si="264"/>
        <v>0</v>
      </c>
      <c r="AR38" s="157">
        <f t="shared" si="264"/>
        <v>0</v>
      </c>
      <c r="AS38" s="157">
        <f t="shared" si="264"/>
        <v>0</v>
      </c>
      <c r="AT38" s="157">
        <f t="shared" si="264"/>
        <v>0</v>
      </c>
      <c r="AU38" s="157">
        <f t="shared" si="264"/>
        <v>0</v>
      </c>
      <c r="AV38" s="157">
        <f t="shared" si="264"/>
        <v>0</v>
      </c>
      <c r="AW38" s="157">
        <f t="shared" si="264"/>
        <v>0</v>
      </c>
      <c r="AX38" s="157">
        <f t="shared" si="264"/>
        <v>0</v>
      </c>
      <c r="AY38" s="157">
        <f>AY36</f>
        <v>0</v>
      </c>
      <c r="AZ38" s="157">
        <f t="shared" ref="AZ38:BJ38" si="265">AZ36</f>
        <v>0</v>
      </c>
      <c r="BA38" s="157">
        <f t="shared" si="265"/>
        <v>0</v>
      </c>
      <c r="BB38" s="157">
        <f t="shared" si="265"/>
        <v>0</v>
      </c>
      <c r="BC38" s="157">
        <f t="shared" si="265"/>
        <v>0</v>
      </c>
      <c r="BD38" s="157">
        <f t="shared" si="265"/>
        <v>0</v>
      </c>
      <c r="BE38" s="157">
        <f t="shared" si="265"/>
        <v>0</v>
      </c>
      <c r="BF38" s="157">
        <f t="shared" si="265"/>
        <v>0</v>
      </c>
      <c r="BG38" s="157">
        <f t="shared" si="265"/>
        <v>0</v>
      </c>
      <c r="BH38" s="157">
        <f t="shared" si="265"/>
        <v>0</v>
      </c>
      <c r="BI38" s="157">
        <f t="shared" si="265"/>
        <v>0</v>
      </c>
      <c r="BJ38" s="157">
        <f t="shared" si="265"/>
        <v>0</v>
      </c>
      <c r="BK38" s="157">
        <f>BK36</f>
        <v>0</v>
      </c>
      <c r="BL38" s="157">
        <f t="shared" ref="BL38:BV38" si="266">BL36</f>
        <v>0</v>
      </c>
      <c r="BM38" s="157">
        <f t="shared" si="266"/>
        <v>0</v>
      </c>
      <c r="BN38" s="157">
        <f t="shared" si="266"/>
        <v>0</v>
      </c>
      <c r="BO38" s="157">
        <f t="shared" si="266"/>
        <v>0</v>
      </c>
      <c r="BP38" s="157">
        <f t="shared" si="266"/>
        <v>0</v>
      </c>
      <c r="BQ38" s="157">
        <f t="shared" si="266"/>
        <v>0</v>
      </c>
      <c r="BR38" s="157">
        <f t="shared" si="266"/>
        <v>0</v>
      </c>
      <c r="BS38" s="157">
        <f t="shared" si="266"/>
        <v>0</v>
      </c>
      <c r="BT38" s="157">
        <f t="shared" si="266"/>
        <v>0</v>
      </c>
      <c r="BU38" s="157">
        <f t="shared" si="266"/>
        <v>0</v>
      </c>
      <c r="BV38" s="157">
        <f t="shared" si="266"/>
        <v>0</v>
      </c>
      <c r="BW38" s="157">
        <f>BW36</f>
        <v>0</v>
      </c>
      <c r="BX38" s="157">
        <f t="shared" ref="BX38:CH38" si="267">BX36</f>
        <v>0</v>
      </c>
      <c r="BY38" s="157">
        <f t="shared" si="267"/>
        <v>0</v>
      </c>
      <c r="BZ38" s="157">
        <f t="shared" si="267"/>
        <v>0</v>
      </c>
      <c r="CA38" s="157">
        <f t="shared" si="267"/>
        <v>0</v>
      </c>
      <c r="CB38" s="157">
        <f t="shared" si="267"/>
        <v>0</v>
      </c>
      <c r="CC38" s="157">
        <f t="shared" si="267"/>
        <v>0</v>
      </c>
      <c r="CD38" s="157">
        <f t="shared" si="267"/>
        <v>0</v>
      </c>
      <c r="CE38" s="157">
        <f t="shared" si="267"/>
        <v>0</v>
      </c>
      <c r="CF38" s="157">
        <f t="shared" si="267"/>
        <v>0</v>
      </c>
      <c r="CG38" s="157">
        <f t="shared" si="267"/>
        <v>0</v>
      </c>
      <c r="CH38" s="157">
        <f t="shared" si="267"/>
        <v>0</v>
      </c>
    </row>
    <row r="39" spans="1:86" x14ac:dyDescent="0.2">
      <c r="A39" s="613">
        <v>27</v>
      </c>
      <c r="B39" s="41" t="s">
        <v>591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</row>
    <row r="40" spans="1:86" x14ac:dyDescent="0.2">
      <c r="A40" s="613">
        <v>28</v>
      </c>
      <c r="B40" s="41" t="s">
        <v>592</v>
      </c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</row>
    <row r="41" spans="1:86" ht="13.5" thickBot="1" x14ac:dyDescent="0.25">
      <c r="A41" s="613">
        <v>29</v>
      </c>
      <c r="B41" s="41" t="s">
        <v>19</v>
      </c>
      <c r="C41" s="636">
        <f>SUM(C38:C40)</f>
        <v>-2812</v>
      </c>
      <c r="D41" s="636">
        <f t="shared" ref="D41:Z41" si="268">SUM(D38:D40)</f>
        <v>98516</v>
      </c>
      <c r="E41" s="636">
        <f t="shared" si="268"/>
        <v>57252</v>
      </c>
      <c r="F41" s="636">
        <f t="shared" si="268"/>
        <v>-19582</v>
      </c>
      <c r="G41" s="636">
        <f t="shared" si="268"/>
        <v>-318476</v>
      </c>
      <c r="H41" s="636">
        <f t="shared" si="268"/>
        <v>33832</v>
      </c>
      <c r="I41" s="636">
        <f t="shared" si="268"/>
        <v>-788181</v>
      </c>
      <c r="J41" s="636">
        <f t="shared" si="268"/>
        <v>61440</v>
      </c>
      <c r="K41" s="636">
        <f t="shared" si="268"/>
        <v>85860</v>
      </c>
      <c r="L41" s="636">
        <f t="shared" si="268"/>
        <v>19904</v>
      </c>
      <c r="M41" s="636">
        <f t="shared" si="268"/>
        <v>9735</v>
      </c>
      <c r="N41" s="636">
        <f t="shared" si="268"/>
        <v>-9735</v>
      </c>
      <c r="O41" s="636">
        <f>SUM(O38:O40)</f>
        <v>0</v>
      </c>
      <c r="P41" s="636">
        <f t="shared" si="268"/>
        <v>0</v>
      </c>
      <c r="Q41" s="636">
        <f t="shared" si="268"/>
        <v>0</v>
      </c>
      <c r="R41" s="636">
        <f t="shared" si="268"/>
        <v>0</v>
      </c>
      <c r="S41" s="636">
        <f t="shared" si="268"/>
        <v>0</v>
      </c>
      <c r="T41" s="636">
        <f t="shared" si="268"/>
        <v>0</v>
      </c>
      <c r="U41" s="636">
        <f t="shared" si="268"/>
        <v>0</v>
      </c>
      <c r="V41" s="636">
        <f t="shared" si="268"/>
        <v>0</v>
      </c>
      <c r="W41" s="636">
        <f t="shared" si="268"/>
        <v>0</v>
      </c>
      <c r="X41" s="636">
        <f t="shared" si="268"/>
        <v>0</v>
      </c>
      <c r="Y41" s="636">
        <f t="shared" si="268"/>
        <v>0</v>
      </c>
      <c r="Z41" s="636">
        <f t="shared" si="268"/>
        <v>0</v>
      </c>
      <c r="AA41" s="636">
        <f>SUM(AA38:AA40)</f>
        <v>0</v>
      </c>
      <c r="AB41" s="636">
        <f t="shared" ref="AB41:AL41" si="269">SUM(AB38:AB40)</f>
        <v>0</v>
      </c>
      <c r="AC41" s="636">
        <f t="shared" si="269"/>
        <v>0</v>
      </c>
      <c r="AD41" s="636">
        <f t="shared" si="269"/>
        <v>0</v>
      </c>
      <c r="AE41" s="636">
        <f t="shared" si="269"/>
        <v>0</v>
      </c>
      <c r="AF41" s="636">
        <f t="shared" si="269"/>
        <v>0</v>
      </c>
      <c r="AG41" s="636">
        <f t="shared" si="269"/>
        <v>0</v>
      </c>
      <c r="AH41" s="636">
        <f t="shared" si="269"/>
        <v>0</v>
      </c>
      <c r="AI41" s="636">
        <f t="shared" si="269"/>
        <v>0</v>
      </c>
      <c r="AJ41" s="636">
        <f t="shared" si="269"/>
        <v>0</v>
      </c>
      <c r="AK41" s="636">
        <f t="shared" si="269"/>
        <v>0</v>
      </c>
      <c r="AL41" s="636">
        <f t="shared" si="269"/>
        <v>0</v>
      </c>
      <c r="AM41" s="636">
        <f>SUM(AM38:AM40)</f>
        <v>0</v>
      </c>
      <c r="AN41" s="636">
        <f t="shared" ref="AN41:AX41" si="270">SUM(AN38:AN40)</f>
        <v>0</v>
      </c>
      <c r="AO41" s="636">
        <f t="shared" si="270"/>
        <v>0</v>
      </c>
      <c r="AP41" s="636">
        <f t="shared" si="270"/>
        <v>0</v>
      </c>
      <c r="AQ41" s="636">
        <f t="shared" si="270"/>
        <v>0</v>
      </c>
      <c r="AR41" s="636">
        <f t="shared" si="270"/>
        <v>0</v>
      </c>
      <c r="AS41" s="636">
        <f t="shared" si="270"/>
        <v>0</v>
      </c>
      <c r="AT41" s="636">
        <f t="shared" si="270"/>
        <v>0</v>
      </c>
      <c r="AU41" s="636">
        <f t="shared" si="270"/>
        <v>0</v>
      </c>
      <c r="AV41" s="636">
        <f t="shared" si="270"/>
        <v>0</v>
      </c>
      <c r="AW41" s="636">
        <f t="shared" si="270"/>
        <v>0</v>
      </c>
      <c r="AX41" s="636">
        <f t="shared" si="270"/>
        <v>0</v>
      </c>
      <c r="AY41" s="636">
        <f>SUM(AY38:AY40)</f>
        <v>0</v>
      </c>
      <c r="AZ41" s="636">
        <f t="shared" ref="AZ41:BJ41" si="271">SUM(AZ38:AZ40)</f>
        <v>0</v>
      </c>
      <c r="BA41" s="636">
        <f t="shared" si="271"/>
        <v>0</v>
      </c>
      <c r="BB41" s="636">
        <f t="shared" si="271"/>
        <v>0</v>
      </c>
      <c r="BC41" s="636">
        <f t="shared" si="271"/>
        <v>0</v>
      </c>
      <c r="BD41" s="636">
        <f t="shared" si="271"/>
        <v>0</v>
      </c>
      <c r="BE41" s="636">
        <f t="shared" si="271"/>
        <v>0</v>
      </c>
      <c r="BF41" s="636">
        <f t="shared" si="271"/>
        <v>0</v>
      </c>
      <c r="BG41" s="636">
        <f t="shared" si="271"/>
        <v>0</v>
      </c>
      <c r="BH41" s="636">
        <f t="shared" si="271"/>
        <v>0</v>
      </c>
      <c r="BI41" s="636">
        <f t="shared" si="271"/>
        <v>0</v>
      </c>
      <c r="BJ41" s="636">
        <f t="shared" si="271"/>
        <v>0</v>
      </c>
      <c r="BK41" s="636">
        <f>SUM(BK38:BK40)</f>
        <v>0</v>
      </c>
      <c r="BL41" s="636">
        <f t="shared" ref="BL41:BV41" si="272">SUM(BL38:BL40)</f>
        <v>0</v>
      </c>
      <c r="BM41" s="636">
        <f t="shared" si="272"/>
        <v>0</v>
      </c>
      <c r="BN41" s="636">
        <f t="shared" si="272"/>
        <v>0</v>
      </c>
      <c r="BO41" s="636">
        <f t="shared" si="272"/>
        <v>0</v>
      </c>
      <c r="BP41" s="636">
        <f t="shared" si="272"/>
        <v>0</v>
      </c>
      <c r="BQ41" s="636">
        <f t="shared" si="272"/>
        <v>0</v>
      </c>
      <c r="BR41" s="636">
        <f t="shared" si="272"/>
        <v>0</v>
      </c>
      <c r="BS41" s="636">
        <f t="shared" si="272"/>
        <v>0</v>
      </c>
      <c r="BT41" s="636">
        <f t="shared" si="272"/>
        <v>0</v>
      </c>
      <c r="BU41" s="636">
        <f t="shared" si="272"/>
        <v>0</v>
      </c>
      <c r="BV41" s="636">
        <f t="shared" si="272"/>
        <v>0</v>
      </c>
      <c r="BW41" s="636">
        <f>SUM(BW38:BW40)</f>
        <v>0</v>
      </c>
      <c r="BX41" s="636">
        <f t="shared" ref="BX41:CH41" si="273">SUM(BX38:BX40)</f>
        <v>0</v>
      </c>
      <c r="BY41" s="636">
        <f t="shared" si="273"/>
        <v>0</v>
      </c>
      <c r="BZ41" s="636">
        <f t="shared" si="273"/>
        <v>0</v>
      </c>
      <c r="CA41" s="636">
        <f t="shared" si="273"/>
        <v>0</v>
      </c>
      <c r="CB41" s="636">
        <f t="shared" si="273"/>
        <v>0</v>
      </c>
      <c r="CC41" s="636">
        <f t="shared" si="273"/>
        <v>0</v>
      </c>
      <c r="CD41" s="636">
        <f t="shared" si="273"/>
        <v>0</v>
      </c>
      <c r="CE41" s="636">
        <f t="shared" si="273"/>
        <v>0</v>
      </c>
      <c r="CF41" s="636">
        <f t="shared" si="273"/>
        <v>0</v>
      </c>
      <c r="CG41" s="636">
        <f t="shared" si="273"/>
        <v>0</v>
      </c>
      <c r="CH41" s="636">
        <f t="shared" si="273"/>
        <v>0</v>
      </c>
    </row>
    <row r="42" spans="1:86" ht="13.5" thickTop="1" x14ac:dyDescent="0.2">
      <c r="A42" s="613">
        <v>30</v>
      </c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1:86" x14ac:dyDescent="0.2">
      <c r="A43" s="613">
        <v>31</v>
      </c>
      <c r="C43" s="511"/>
      <c r="D43" s="511"/>
      <c r="E43" s="511"/>
      <c r="F43" s="511"/>
      <c r="G43" s="511"/>
      <c r="H43" s="511"/>
      <c r="I43" s="511"/>
      <c r="J43" s="511"/>
      <c r="K43" s="511"/>
      <c r="L43" s="511"/>
      <c r="M43" s="511"/>
      <c r="N43" s="511"/>
      <c r="O43" s="209"/>
      <c r="Z43" s="511"/>
      <c r="AA43" s="637"/>
    </row>
    <row r="44" spans="1:86" x14ac:dyDescent="0.2">
      <c r="A44" s="613">
        <v>32</v>
      </c>
      <c r="B44" s="35" t="s">
        <v>31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511"/>
      <c r="AA44" s="474"/>
    </row>
    <row r="45" spans="1:86" x14ac:dyDescent="0.2">
      <c r="A45" s="613">
        <v>33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45"/>
    </row>
    <row r="46" spans="1:86" x14ac:dyDescent="0.2">
      <c r="A46" s="613">
        <v>34</v>
      </c>
      <c r="B46" s="210" t="s">
        <v>597</v>
      </c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17">
        <f>'[3]Com Decline'!$C$44</f>
        <v>0</v>
      </c>
      <c r="P46" s="618">
        <f>O46</f>
        <v>0</v>
      </c>
      <c r="Q46" s="618">
        <f t="shared" ref="Q46:Q48" si="274">P46</f>
        <v>0</v>
      </c>
      <c r="R46" s="618">
        <f t="shared" ref="R46:R48" si="275">Q46</f>
        <v>0</v>
      </c>
      <c r="S46" s="618">
        <f t="shared" ref="S46:S48" si="276">R46</f>
        <v>0</v>
      </c>
      <c r="T46" s="618">
        <f t="shared" ref="T46:T48" si="277">S46</f>
        <v>0</v>
      </c>
      <c r="U46" s="618">
        <f t="shared" ref="U46:U48" si="278">T46</f>
        <v>0</v>
      </c>
      <c r="V46" s="618">
        <f t="shared" ref="V46:V48" si="279">U46</f>
        <v>0</v>
      </c>
      <c r="W46" s="618">
        <f t="shared" ref="W46:W48" si="280">V46</f>
        <v>0</v>
      </c>
      <c r="X46" s="618">
        <f t="shared" ref="X46:X48" si="281">W46</f>
        <v>0</v>
      </c>
      <c r="Y46" s="618">
        <f t="shared" ref="Y46:Y48" si="282">X46</f>
        <v>0</v>
      </c>
      <c r="Z46" s="618">
        <f t="shared" ref="Z46:Z48" si="283">Y46</f>
        <v>0</v>
      </c>
      <c r="AA46" s="618">
        <f t="shared" ref="AA46:AA48" si="284">Z46</f>
        <v>0</v>
      </c>
      <c r="AB46" s="618">
        <f t="shared" ref="AB46:AB48" si="285">AA46</f>
        <v>0</v>
      </c>
      <c r="AC46" s="618">
        <f t="shared" ref="AC46:AC48" si="286">AB46</f>
        <v>0</v>
      </c>
      <c r="AD46" s="618">
        <f t="shared" ref="AD46:AD48" si="287">AC46</f>
        <v>0</v>
      </c>
      <c r="AE46" s="618">
        <f t="shared" ref="AE46:AE48" si="288">AD46</f>
        <v>0</v>
      </c>
      <c r="AF46" s="618">
        <f t="shared" ref="AF46:AF48" si="289">AE46</f>
        <v>0</v>
      </c>
      <c r="AG46" s="618">
        <f t="shared" ref="AG46:AG48" si="290">AF46</f>
        <v>0</v>
      </c>
      <c r="AH46" s="618">
        <f t="shared" ref="AH46:AH48" si="291">AG46</f>
        <v>0</v>
      </c>
      <c r="AI46" s="618">
        <f t="shared" ref="AI46:AI48" si="292">AH46</f>
        <v>0</v>
      </c>
      <c r="AJ46" s="618">
        <f t="shared" ref="AJ46:AJ48" si="293">AI46</f>
        <v>0</v>
      </c>
      <c r="AK46" s="618">
        <f t="shared" ref="AK46:AK48" si="294">AJ46</f>
        <v>0</v>
      </c>
      <c r="AL46" s="618">
        <f t="shared" ref="AL46:AL48" si="295">AK46</f>
        <v>0</v>
      </c>
      <c r="AM46" s="618">
        <f t="shared" ref="AM46:AM48" si="296">AL46</f>
        <v>0</v>
      </c>
      <c r="AN46" s="618">
        <f t="shared" ref="AN46:AN48" si="297">AM46</f>
        <v>0</v>
      </c>
      <c r="AO46" s="618">
        <f t="shared" ref="AO46:AO48" si="298">AN46</f>
        <v>0</v>
      </c>
      <c r="AP46" s="618">
        <f t="shared" ref="AP46:AP48" si="299">AO46</f>
        <v>0</v>
      </c>
      <c r="AQ46" s="618">
        <f t="shared" ref="AQ46:AQ48" si="300">AP46</f>
        <v>0</v>
      </c>
      <c r="AR46" s="618">
        <f t="shared" ref="AR46:AR48" si="301">AQ46</f>
        <v>0</v>
      </c>
      <c r="AS46" s="618">
        <f t="shared" ref="AS46:AS48" si="302">AR46</f>
        <v>0</v>
      </c>
      <c r="AT46" s="618">
        <f t="shared" ref="AT46:AT48" si="303">AS46</f>
        <v>0</v>
      </c>
      <c r="AU46" s="618">
        <f t="shared" ref="AU46:AU48" si="304">AT46</f>
        <v>0</v>
      </c>
      <c r="AV46" s="618">
        <f t="shared" ref="AV46:AV48" si="305">AU46</f>
        <v>0</v>
      </c>
      <c r="AW46" s="618">
        <f t="shared" ref="AW46:AW48" si="306">AV46</f>
        <v>0</v>
      </c>
      <c r="AX46" s="618">
        <f t="shared" ref="AX46:AX48" si="307">AW46</f>
        <v>0</v>
      </c>
      <c r="AY46" s="618">
        <f t="shared" ref="AY46:AY48" si="308">AX46</f>
        <v>0</v>
      </c>
      <c r="AZ46" s="618">
        <f t="shared" ref="AZ46:AZ48" si="309">AY46</f>
        <v>0</v>
      </c>
      <c r="BA46" s="618">
        <f t="shared" ref="BA46:BA48" si="310">AZ46</f>
        <v>0</v>
      </c>
      <c r="BB46" s="618">
        <f t="shared" ref="BB46:BB48" si="311">BA46</f>
        <v>0</v>
      </c>
      <c r="BC46" s="618">
        <f t="shared" ref="BC46:BC48" si="312">BB46</f>
        <v>0</v>
      </c>
      <c r="BD46" s="618">
        <f t="shared" ref="BD46:BD48" si="313">BC46</f>
        <v>0</v>
      </c>
      <c r="BE46" s="618">
        <f t="shared" ref="BE46:BE48" si="314">BD46</f>
        <v>0</v>
      </c>
      <c r="BF46" s="618">
        <f t="shared" ref="BF46:BF48" si="315">BE46</f>
        <v>0</v>
      </c>
      <c r="BG46" s="618">
        <f t="shared" ref="BG46:BG48" si="316">BF46</f>
        <v>0</v>
      </c>
      <c r="BH46" s="618">
        <f t="shared" ref="BH46:BH48" si="317">BG46</f>
        <v>0</v>
      </c>
      <c r="BI46" s="618">
        <f t="shared" ref="BI46:BI48" si="318">BH46</f>
        <v>0</v>
      </c>
      <c r="BJ46" s="618">
        <f t="shared" ref="BJ46:BJ48" si="319">BI46</f>
        <v>0</v>
      </c>
      <c r="BK46" s="618">
        <f t="shared" ref="BK46:BK48" si="320">BJ46</f>
        <v>0</v>
      </c>
      <c r="BL46" s="618">
        <f t="shared" ref="BL46:BL48" si="321">BK46</f>
        <v>0</v>
      </c>
      <c r="BM46" s="618">
        <f t="shared" ref="BM46:BM48" si="322">BL46</f>
        <v>0</v>
      </c>
      <c r="BN46" s="618">
        <f t="shared" ref="BN46:BN48" si="323">BM46</f>
        <v>0</v>
      </c>
      <c r="BO46" s="618">
        <f t="shared" ref="BO46:BO48" si="324">BN46</f>
        <v>0</v>
      </c>
      <c r="BP46" s="618">
        <f t="shared" ref="BP46:BP48" si="325">BO46</f>
        <v>0</v>
      </c>
      <c r="BQ46" s="618">
        <f t="shared" ref="BQ46:BQ48" si="326">BP46</f>
        <v>0</v>
      </c>
      <c r="BR46" s="618">
        <f t="shared" ref="BR46:BR48" si="327">BQ46</f>
        <v>0</v>
      </c>
      <c r="BS46" s="618">
        <f t="shared" ref="BS46:BS48" si="328">BR46</f>
        <v>0</v>
      </c>
      <c r="BT46" s="618">
        <f t="shared" ref="BT46:BT48" si="329">BS46</f>
        <v>0</v>
      </c>
      <c r="BU46" s="618">
        <f t="shared" ref="BU46:BU48" si="330">BT46</f>
        <v>0</v>
      </c>
      <c r="BV46" s="618">
        <f t="shared" ref="BV46:BV48" si="331">BU46</f>
        <v>0</v>
      </c>
      <c r="BW46" s="618">
        <f t="shared" ref="BW46:BW48" si="332">BV46</f>
        <v>0</v>
      </c>
      <c r="BX46" s="618">
        <f t="shared" ref="BX46:BX48" si="333">BW46</f>
        <v>0</v>
      </c>
      <c r="BY46" s="618">
        <f t="shared" ref="BY46:BY48" si="334">BX46</f>
        <v>0</v>
      </c>
      <c r="BZ46" s="618">
        <f t="shared" ref="BZ46:BZ48" si="335">BY46</f>
        <v>0</v>
      </c>
      <c r="CA46" s="618">
        <f t="shared" ref="CA46:CA48" si="336">BZ46</f>
        <v>0</v>
      </c>
      <c r="CB46" s="618">
        <f t="shared" ref="CB46:CB48" si="337">CA46</f>
        <v>0</v>
      </c>
      <c r="CC46" s="618">
        <f t="shared" ref="CC46:CC48" si="338">CB46</f>
        <v>0</v>
      </c>
      <c r="CD46" s="618">
        <f t="shared" ref="CD46:CD48" si="339">CC46</f>
        <v>0</v>
      </c>
      <c r="CE46" s="618">
        <f t="shared" ref="CE46:CE48" si="340">CD46</f>
        <v>0</v>
      </c>
      <c r="CF46" s="618">
        <f t="shared" ref="CF46:CF48" si="341">CE46</f>
        <v>0</v>
      </c>
      <c r="CG46" s="618">
        <f t="shared" ref="CG46:CG48" si="342">CF46</f>
        <v>0</v>
      </c>
      <c r="CH46" s="618">
        <f t="shared" ref="CH46:CH48" si="343">CG46</f>
        <v>0</v>
      </c>
    </row>
    <row r="47" spans="1:86" x14ac:dyDescent="0.2">
      <c r="A47" s="613">
        <v>35</v>
      </c>
      <c r="B47" s="210" t="s">
        <v>598</v>
      </c>
      <c r="C47" s="605"/>
      <c r="D47" s="605"/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17">
        <f>'[3]Com Decline'!$P$24</f>
        <v>0</v>
      </c>
      <c r="P47" s="618">
        <f t="shared" ref="P47:P48" si="344">O47</f>
        <v>0</v>
      </c>
      <c r="Q47" s="618">
        <f t="shared" si="274"/>
        <v>0</v>
      </c>
      <c r="R47" s="618">
        <f t="shared" si="275"/>
        <v>0</v>
      </c>
      <c r="S47" s="618">
        <f t="shared" si="276"/>
        <v>0</v>
      </c>
      <c r="T47" s="618">
        <f t="shared" si="277"/>
        <v>0</v>
      </c>
      <c r="U47" s="618">
        <f t="shared" si="278"/>
        <v>0</v>
      </c>
      <c r="V47" s="618">
        <f t="shared" si="279"/>
        <v>0</v>
      </c>
      <c r="W47" s="618">
        <f t="shared" si="280"/>
        <v>0</v>
      </c>
      <c r="X47" s="618">
        <f t="shared" si="281"/>
        <v>0</v>
      </c>
      <c r="Y47" s="618">
        <f t="shared" si="282"/>
        <v>0</v>
      </c>
      <c r="Z47" s="618">
        <f t="shared" si="283"/>
        <v>0</v>
      </c>
      <c r="AA47" s="618">
        <f t="shared" si="284"/>
        <v>0</v>
      </c>
      <c r="AB47" s="618">
        <f t="shared" si="285"/>
        <v>0</v>
      </c>
      <c r="AC47" s="618">
        <f t="shared" si="286"/>
        <v>0</v>
      </c>
      <c r="AD47" s="618">
        <f t="shared" si="287"/>
        <v>0</v>
      </c>
      <c r="AE47" s="618">
        <f t="shared" si="288"/>
        <v>0</v>
      </c>
      <c r="AF47" s="618">
        <f t="shared" si="289"/>
        <v>0</v>
      </c>
      <c r="AG47" s="618">
        <f t="shared" si="290"/>
        <v>0</v>
      </c>
      <c r="AH47" s="618">
        <f t="shared" si="291"/>
        <v>0</v>
      </c>
      <c r="AI47" s="618">
        <f t="shared" si="292"/>
        <v>0</v>
      </c>
      <c r="AJ47" s="618">
        <f t="shared" si="293"/>
        <v>0</v>
      </c>
      <c r="AK47" s="618">
        <f t="shared" si="294"/>
        <v>0</v>
      </c>
      <c r="AL47" s="618">
        <f t="shared" si="295"/>
        <v>0</v>
      </c>
      <c r="AM47" s="618">
        <f t="shared" si="296"/>
        <v>0</v>
      </c>
      <c r="AN47" s="618">
        <f t="shared" si="297"/>
        <v>0</v>
      </c>
      <c r="AO47" s="618">
        <f t="shared" si="298"/>
        <v>0</v>
      </c>
      <c r="AP47" s="618">
        <f t="shared" si="299"/>
        <v>0</v>
      </c>
      <c r="AQ47" s="618">
        <f t="shared" si="300"/>
        <v>0</v>
      </c>
      <c r="AR47" s="618">
        <f t="shared" si="301"/>
        <v>0</v>
      </c>
      <c r="AS47" s="618">
        <f t="shared" si="302"/>
        <v>0</v>
      </c>
      <c r="AT47" s="618">
        <f t="shared" si="303"/>
        <v>0</v>
      </c>
      <c r="AU47" s="618">
        <f t="shared" si="304"/>
        <v>0</v>
      </c>
      <c r="AV47" s="618">
        <f t="shared" si="305"/>
        <v>0</v>
      </c>
      <c r="AW47" s="618">
        <f t="shared" si="306"/>
        <v>0</v>
      </c>
      <c r="AX47" s="618">
        <f t="shared" si="307"/>
        <v>0</v>
      </c>
      <c r="AY47" s="618">
        <f t="shared" si="308"/>
        <v>0</v>
      </c>
      <c r="AZ47" s="618">
        <f t="shared" si="309"/>
        <v>0</v>
      </c>
      <c r="BA47" s="618">
        <f t="shared" si="310"/>
        <v>0</v>
      </c>
      <c r="BB47" s="618">
        <f t="shared" si="311"/>
        <v>0</v>
      </c>
      <c r="BC47" s="618">
        <f t="shared" si="312"/>
        <v>0</v>
      </c>
      <c r="BD47" s="618">
        <f t="shared" si="313"/>
        <v>0</v>
      </c>
      <c r="BE47" s="618">
        <f t="shared" si="314"/>
        <v>0</v>
      </c>
      <c r="BF47" s="618">
        <f t="shared" si="315"/>
        <v>0</v>
      </c>
      <c r="BG47" s="618">
        <f t="shared" si="316"/>
        <v>0</v>
      </c>
      <c r="BH47" s="618">
        <f t="shared" si="317"/>
        <v>0</v>
      </c>
      <c r="BI47" s="618">
        <f t="shared" si="318"/>
        <v>0</v>
      </c>
      <c r="BJ47" s="618">
        <f t="shared" si="319"/>
        <v>0</v>
      </c>
      <c r="BK47" s="618">
        <f t="shared" si="320"/>
        <v>0</v>
      </c>
      <c r="BL47" s="618">
        <f t="shared" si="321"/>
        <v>0</v>
      </c>
      <c r="BM47" s="618">
        <f t="shared" si="322"/>
        <v>0</v>
      </c>
      <c r="BN47" s="618">
        <f t="shared" si="323"/>
        <v>0</v>
      </c>
      <c r="BO47" s="618">
        <f t="shared" si="324"/>
        <v>0</v>
      </c>
      <c r="BP47" s="618">
        <f t="shared" si="325"/>
        <v>0</v>
      </c>
      <c r="BQ47" s="618">
        <f t="shared" si="326"/>
        <v>0</v>
      </c>
      <c r="BR47" s="618">
        <f t="shared" si="327"/>
        <v>0</v>
      </c>
      <c r="BS47" s="618">
        <f t="shared" si="328"/>
        <v>0</v>
      </c>
      <c r="BT47" s="618">
        <f t="shared" si="329"/>
        <v>0</v>
      </c>
      <c r="BU47" s="618">
        <f t="shared" si="330"/>
        <v>0</v>
      </c>
      <c r="BV47" s="618">
        <f t="shared" si="331"/>
        <v>0</v>
      </c>
      <c r="BW47" s="618">
        <f t="shared" si="332"/>
        <v>0</v>
      </c>
      <c r="BX47" s="618">
        <f t="shared" si="333"/>
        <v>0</v>
      </c>
      <c r="BY47" s="618">
        <f t="shared" si="334"/>
        <v>0</v>
      </c>
      <c r="BZ47" s="618">
        <f t="shared" si="335"/>
        <v>0</v>
      </c>
      <c r="CA47" s="618">
        <f t="shared" si="336"/>
        <v>0</v>
      </c>
      <c r="CB47" s="618">
        <f t="shared" si="337"/>
        <v>0</v>
      </c>
      <c r="CC47" s="618">
        <f t="shared" si="338"/>
        <v>0</v>
      </c>
      <c r="CD47" s="618">
        <f t="shared" si="339"/>
        <v>0</v>
      </c>
      <c r="CE47" s="618">
        <f t="shared" si="340"/>
        <v>0</v>
      </c>
      <c r="CF47" s="618">
        <f t="shared" si="341"/>
        <v>0</v>
      </c>
      <c r="CG47" s="618">
        <f t="shared" si="342"/>
        <v>0</v>
      </c>
      <c r="CH47" s="618">
        <f t="shared" si="343"/>
        <v>0</v>
      </c>
    </row>
    <row r="48" spans="1:86" x14ac:dyDescent="0.2">
      <c r="A48" s="613">
        <v>36</v>
      </c>
      <c r="B48" s="210" t="s">
        <v>599</v>
      </c>
      <c r="C48" s="605"/>
      <c r="D48" s="605"/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17">
        <f>'[3]Com Decline'!$M$24</f>
        <v>0</v>
      </c>
      <c r="P48" s="618">
        <f t="shared" si="344"/>
        <v>0</v>
      </c>
      <c r="Q48" s="618">
        <f t="shared" si="274"/>
        <v>0</v>
      </c>
      <c r="R48" s="618">
        <f t="shared" si="275"/>
        <v>0</v>
      </c>
      <c r="S48" s="618">
        <f t="shared" si="276"/>
        <v>0</v>
      </c>
      <c r="T48" s="618">
        <f t="shared" si="277"/>
        <v>0</v>
      </c>
      <c r="U48" s="618">
        <f t="shared" si="278"/>
        <v>0</v>
      </c>
      <c r="V48" s="618">
        <f t="shared" si="279"/>
        <v>0</v>
      </c>
      <c r="W48" s="618">
        <f t="shared" si="280"/>
        <v>0</v>
      </c>
      <c r="X48" s="618">
        <f t="shared" si="281"/>
        <v>0</v>
      </c>
      <c r="Y48" s="618">
        <f t="shared" si="282"/>
        <v>0</v>
      </c>
      <c r="Z48" s="618">
        <f t="shared" si="283"/>
        <v>0</v>
      </c>
      <c r="AA48" s="618">
        <f t="shared" si="284"/>
        <v>0</v>
      </c>
      <c r="AB48" s="618">
        <f t="shared" si="285"/>
        <v>0</v>
      </c>
      <c r="AC48" s="618">
        <f t="shared" si="286"/>
        <v>0</v>
      </c>
      <c r="AD48" s="618">
        <f t="shared" si="287"/>
        <v>0</v>
      </c>
      <c r="AE48" s="618">
        <f t="shared" si="288"/>
        <v>0</v>
      </c>
      <c r="AF48" s="618">
        <f t="shared" si="289"/>
        <v>0</v>
      </c>
      <c r="AG48" s="618">
        <f t="shared" si="290"/>
        <v>0</v>
      </c>
      <c r="AH48" s="618">
        <f t="shared" si="291"/>
        <v>0</v>
      </c>
      <c r="AI48" s="618">
        <f t="shared" si="292"/>
        <v>0</v>
      </c>
      <c r="AJ48" s="618">
        <f t="shared" si="293"/>
        <v>0</v>
      </c>
      <c r="AK48" s="618">
        <f t="shared" si="294"/>
        <v>0</v>
      </c>
      <c r="AL48" s="618">
        <f t="shared" si="295"/>
        <v>0</v>
      </c>
      <c r="AM48" s="618">
        <f t="shared" si="296"/>
        <v>0</v>
      </c>
      <c r="AN48" s="618">
        <f t="shared" si="297"/>
        <v>0</v>
      </c>
      <c r="AO48" s="618">
        <f t="shared" si="298"/>
        <v>0</v>
      </c>
      <c r="AP48" s="618">
        <f t="shared" si="299"/>
        <v>0</v>
      </c>
      <c r="AQ48" s="618">
        <f t="shared" si="300"/>
        <v>0</v>
      </c>
      <c r="AR48" s="618">
        <f t="shared" si="301"/>
        <v>0</v>
      </c>
      <c r="AS48" s="618">
        <f t="shared" si="302"/>
        <v>0</v>
      </c>
      <c r="AT48" s="618">
        <f t="shared" si="303"/>
        <v>0</v>
      </c>
      <c r="AU48" s="618">
        <f t="shared" si="304"/>
        <v>0</v>
      </c>
      <c r="AV48" s="618">
        <f t="shared" si="305"/>
        <v>0</v>
      </c>
      <c r="AW48" s="618">
        <f t="shared" si="306"/>
        <v>0</v>
      </c>
      <c r="AX48" s="618">
        <f t="shared" si="307"/>
        <v>0</v>
      </c>
      <c r="AY48" s="618">
        <f t="shared" si="308"/>
        <v>0</v>
      </c>
      <c r="AZ48" s="618">
        <f t="shared" si="309"/>
        <v>0</v>
      </c>
      <c r="BA48" s="618">
        <f t="shared" si="310"/>
        <v>0</v>
      </c>
      <c r="BB48" s="618">
        <f t="shared" si="311"/>
        <v>0</v>
      </c>
      <c r="BC48" s="618">
        <f t="shared" si="312"/>
        <v>0</v>
      </c>
      <c r="BD48" s="618">
        <f t="shared" si="313"/>
        <v>0</v>
      </c>
      <c r="BE48" s="618">
        <f t="shared" si="314"/>
        <v>0</v>
      </c>
      <c r="BF48" s="618">
        <f t="shared" si="315"/>
        <v>0</v>
      </c>
      <c r="BG48" s="618">
        <f t="shared" si="316"/>
        <v>0</v>
      </c>
      <c r="BH48" s="618">
        <f t="shared" si="317"/>
        <v>0</v>
      </c>
      <c r="BI48" s="618">
        <f t="shared" si="318"/>
        <v>0</v>
      </c>
      <c r="BJ48" s="618">
        <f t="shared" si="319"/>
        <v>0</v>
      </c>
      <c r="BK48" s="618">
        <f t="shared" si="320"/>
        <v>0</v>
      </c>
      <c r="BL48" s="618">
        <f t="shared" si="321"/>
        <v>0</v>
      </c>
      <c r="BM48" s="618">
        <f t="shared" si="322"/>
        <v>0</v>
      </c>
      <c r="BN48" s="618">
        <f t="shared" si="323"/>
        <v>0</v>
      </c>
      <c r="BO48" s="618">
        <f t="shared" si="324"/>
        <v>0</v>
      </c>
      <c r="BP48" s="618">
        <f t="shared" si="325"/>
        <v>0</v>
      </c>
      <c r="BQ48" s="618">
        <f t="shared" si="326"/>
        <v>0</v>
      </c>
      <c r="BR48" s="618">
        <f t="shared" si="327"/>
        <v>0</v>
      </c>
      <c r="BS48" s="618">
        <f t="shared" si="328"/>
        <v>0</v>
      </c>
      <c r="BT48" s="618">
        <f t="shared" si="329"/>
        <v>0</v>
      </c>
      <c r="BU48" s="618">
        <f t="shared" si="330"/>
        <v>0</v>
      </c>
      <c r="BV48" s="618">
        <f t="shared" si="331"/>
        <v>0</v>
      </c>
      <c r="BW48" s="618">
        <f t="shared" si="332"/>
        <v>0</v>
      </c>
      <c r="BX48" s="618">
        <f t="shared" si="333"/>
        <v>0</v>
      </c>
      <c r="BY48" s="618">
        <f t="shared" si="334"/>
        <v>0</v>
      </c>
      <c r="BZ48" s="618">
        <f t="shared" si="335"/>
        <v>0</v>
      </c>
      <c r="CA48" s="618">
        <f t="shared" si="336"/>
        <v>0</v>
      </c>
      <c r="CB48" s="618">
        <f t="shared" si="337"/>
        <v>0</v>
      </c>
      <c r="CC48" s="618">
        <f t="shared" si="338"/>
        <v>0</v>
      </c>
      <c r="CD48" s="618">
        <f t="shared" si="339"/>
        <v>0</v>
      </c>
      <c r="CE48" s="618">
        <f t="shared" si="340"/>
        <v>0</v>
      </c>
      <c r="CF48" s="618">
        <f t="shared" si="341"/>
        <v>0</v>
      </c>
      <c r="CG48" s="618">
        <f t="shared" si="342"/>
        <v>0</v>
      </c>
      <c r="CH48" s="618">
        <f t="shared" si="343"/>
        <v>0</v>
      </c>
    </row>
    <row r="49" spans="1:86" x14ac:dyDescent="0.2">
      <c r="A49" s="613">
        <v>37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</row>
    <row r="50" spans="1:86" x14ac:dyDescent="0.2">
      <c r="A50" s="613">
        <v>38</v>
      </c>
      <c r="B50" s="210" t="s">
        <v>593</v>
      </c>
      <c r="C50" s="44">
        <f t="shared" ref="C50:BN50" si="345">C55*C57</f>
        <v>149380.03582548202</v>
      </c>
      <c r="D50" s="44">
        <f t="shared" si="345"/>
        <v>150600.88322201552</v>
      </c>
      <c r="E50" s="44">
        <f t="shared" si="345"/>
        <v>150779.10911931968</v>
      </c>
      <c r="F50" s="44">
        <f t="shared" si="345"/>
        <v>157712.09652445151</v>
      </c>
      <c r="G50" s="44">
        <f t="shared" si="345"/>
        <v>158701.2502544896</v>
      </c>
      <c r="H50" s="44">
        <f t="shared" si="345"/>
        <v>145521.44514884695</v>
      </c>
      <c r="I50" s="44">
        <f t="shared" si="345"/>
        <v>171212.70824524167</v>
      </c>
      <c r="J50" s="44">
        <f t="shared" si="345"/>
        <v>158130.9273831163</v>
      </c>
      <c r="K50" s="44">
        <f t="shared" si="345"/>
        <v>154807.01439839372</v>
      </c>
      <c r="L50" s="44">
        <f t="shared" si="345"/>
        <v>153621.81218132103</v>
      </c>
      <c r="M50" s="44">
        <f t="shared" si="345"/>
        <v>152374.23090019191</v>
      </c>
      <c r="N50" s="44">
        <f t="shared" si="345"/>
        <v>149424.59229980805</v>
      </c>
      <c r="O50" s="44">
        <f t="shared" si="345"/>
        <v>149380.03582548202</v>
      </c>
      <c r="P50" s="44">
        <f t="shared" si="345"/>
        <v>150600.88322201552</v>
      </c>
      <c r="Q50" s="44">
        <f>Q55*Q57</f>
        <v>150779.10911931968</v>
      </c>
      <c r="R50" s="44">
        <f t="shared" si="345"/>
        <v>157712.09652445151</v>
      </c>
      <c r="S50" s="44">
        <f t="shared" si="345"/>
        <v>158701.2502544896</v>
      </c>
      <c r="T50" s="44">
        <f t="shared" si="345"/>
        <v>145521.44514884695</v>
      </c>
      <c r="U50" s="44">
        <f t="shared" si="345"/>
        <v>171212.70824524167</v>
      </c>
      <c r="V50" s="44">
        <f t="shared" si="345"/>
        <v>158130.9273831163</v>
      </c>
      <c r="W50" s="44">
        <f t="shared" si="345"/>
        <v>154807.01439839372</v>
      </c>
      <c r="X50" s="44">
        <f t="shared" si="345"/>
        <v>153621.81218132103</v>
      </c>
      <c r="Y50" s="44">
        <f t="shared" si="345"/>
        <v>152374.23090019191</v>
      </c>
      <c r="Z50" s="44">
        <f t="shared" si="345"/>
        <v>149424.59229980805</v>
      </c>
      <c r="AA50" s="44">
        <f t="shared" si="345"/>
        <v>149380.03582548202</v>
      </c>
      <c r="AB50" s="44">
        <f t="shared" si="345"/>
        <v>150600.88322201552</v>
      </c>
      <c r="AC50" s="44">
        <f t="shared" si="345"/>
        <v>150779.10911931968</v>
      </c>
      <c r="AD50" s="44">
        <f t="shared" si="345"/>
        <v>157712.09652445151</v>
      </c>
      <c r="AE50" s="44">
        <f t="shared" si="345"/>
        <v>158701.2502544896</v>
      </c>
      <c r="AF50" s="44">
        <f t="shared" si="345"/>
        <v>145521.44514884695</v>
      </c>
      <c r="AG50" s="44">
        <f t="shared" si="345"/>
        <v>171212.70824524167</v>
      </c>
      <c r="AH50" s="44">
        <f t="shared" si="345"/>
        <v>158130.9273831163</v>
      </c>
      <c r="AI50" s="44">
        <f t="shared" si="345"/>
        <v>154807.01439839372</v>
      </c>
      <c r="AJ50" s="44">
        <f t="shared" si="345"/>
        <v>153621.81218132103</v>
      </c>
      <c r="AK50" s="44">
        <f t="shared" si="345"/>
        <v>152374.23090019191</v>
      </c>
      <c r="AL50" s="44">
        <f t="shared" si="345"/>
        <v>149424.59229980805</v>
      </c>
      <c r="AM50" s="44">
        <f t="shared" si="345"/>
        <v>149380.03582548202</v>
      </c>
      <c r="AN50" s="44">
        <f t="shared" si="345"/>
        <v>150600.88322201552</v>
      </c>
      <c r="AO50" s="44">
        <f t="shared" si="345"/>
        <v>150779.10911931968</v>
      </c>
      <c r="AP50" s="44">
        <f t="shared" si="345"/>
        <v>157712.09652445151</v>
      </c>
      <c r="AQ50" s="44">
        <f t="shared" si="345"/>
        <v>158701.2502544896</v>
      </c>
      <c r="AR50" s="44">
        <f t="shared" si="345"/>
        <v>145521.44514884695</v>
      </c>
      <c r="AS50" s="44">
        <f t="shared" si="345"/>
        <v>171212.70824524167</v>
      </c>
      <c r="AT50" s="44">
        <f t="shared" si="345"/>
        <v>158130.9273831163</v>
      </c>
      <c r="AU50" s="44">
        <f t="shared" si="345"/>
        <v>154807.01439839372</v>
      </c>
      <c r="AV50" s="44">
        <f t="shared" si="345"/>
        <v>153621.81218132103</v>
      </c>
      <c r="AW50" s="44">
        <f t="shared" si="345"/>
        <v>152374.23090019191</v>
      </c>
      <c r="AX50" s="44">
        <f t="shared" si="345"/>
        <v>149424.59229980805</v>
      </c>
      <c r="AY50" s="44">
        <f t="shared" si="345"/>
        <v>149380.03582548202</v>
      </c>
      <c r="AZ50" s="44">
        <f t="shared" si="345"/>
        <v>150600.88322201552</v>
      </c>
      <c r="BA50" s="44">
        <f t="shared" si="345"/>
        <v>150779.10911931968</v>
      </c>
      <c r="BB50" s="44">
        <f t="shared" si="345"/>
        <v>157712.09652445151</v>
      </c>
      <c r="BC50" s="44">
        <f t="shared" si="345"/>
        <v>158701.2502544896</v>
      </c>
      <c r="BD50" s="44">
        <f t="shared" si="345"/>
        <v>145521.44514884695</v>
      </c>
      <c r="BE50" s="44">
        <f t="shared" si="345"/>
        <v>171212.70824524167</v>
      </c>
      <c r="BF50" s="44">
        <f t="shared" si="345"/>
        <v>158130.9273831163</v>
      </c>
      <c r="BG50" s="44">
        <f t="shared" si="345"/>
        <v>154807.01439839372</v>
      </c>
      <c r="BH50" s="44">
        <f t="shared" si="345"/>
        <v>153621.81218132103</v>
      </c>
      <c r="BI50" s="44">
        <f t="shared" si="345"/>
        <v>152374.23090019191</v>
      </c>
      <c r="BJ50" s="44">
        <f t="shared" si="345"/>
        <v>149424.59229980805</v>
      </c>
      <c r="BK50" s="44">
        <f t="shared" si="345"/>
        <v>149380.03582548202</v>
      </c>
      <c r="BL50" s="44">
        <f t="shared" si="345"/>
        <v>150600.88322201552</v>
      </c>
      <c r="BM50" s="44">
        <f t="shared" si="345"/>
        <v>150779.10911931968</v>
      </c>
      <c r="BN50" s="44">
        <f t="shared" si="345"/>
        <v>157712.09652445151</v>
      </c>
      <c r="BO50" s="44">
        <f t="shared" ref="BO50:CH50" si="346">BO55*BO57</f>
        <v>158701.2502544896</v>
      </c>
      <c r="BP50" s="44">
        <f t="shared" si="346"/>
        <v>145521.44514884695</v>
      </c>
      <c r="BQ50" s="44">
        <f t="shared" si="346"/>
        <v>171212.70824524167</v>
      </c>
      <c r="BR50" s="44">
        <f t="shared" si="346"/>
        <v>158130.9273831163</v>
      </c>
      <c r="BS50" s="44">
        <f t="shared" si="346"/>
        <v>154807.01439839372</v>
      </c>
      <c r="BT50" s="44">
        <f t="shared" si="346"/>
        <v>153621.81218132103</v>
      </c>
      <c r="BU50" s="44">
        <f t="shared" si="346"/>
        <v>152374.23090019191</v>
      </c>
      <c r="BV50" s="44">
        <f t="shared" si="346"/>
        <v>149424.59229980805</v>
      </c>
      <c r="BW50" s="44">
        <f t="shared" si="346"/>
        <v>149380.03582548202</v>
      </c>
      <c r="BX50" s="44">
        <f t="shared" si="346"/>
        <v>150600.88322201552</v>
      </c>
      <c r="BY50" s="44">
        <f t="shared" si="346"/>
        <v>150779.10911931968</v>
      </c>
      <c r="BZ50" s="44">
        <f t="shared" si="346"/>
        <v>157712.09652445151</v>
      </c>
      <c r="CA50" s="44">
        <f t="shared" si="346"/>
        <v>158701.2502544896</v>
      </c>
      <c r="CB50" s="44">
        <f t="shared" si="346"/>
        <v>145521.44514884695</v>
      </c>
      <c r="CC50" s="44">
        <f t="shared" si="346"/>
        <v>171212.70824524167</v>
      </c>
      <c r="CD50" s="44">
        <f t="shared" si="346"/>
        <v>158130.9273831163</v>
      </c>
      <c r="CE50" s="44">
        <f t="shared" si="346"/>
        <v>154807.01439839372</v>
      </c>
      <c r="CF50" s="44">
        <f t="shared" si="346"/>
        <v>153621.81218132103</v>
      </c>
      <c r="CG50" s="44">
        <f t="shared" si="346"/>
        <v>152374.23090019191</v>
      </c>
      <c r="CH50" s="44">
        <f t="shared" si="346"/>
        <v>149424.59229980805</v>
      </c>
    </row>
    <row r="51" spans="1:86" x14ac:dyDescent="0.2">
      <c r="A51" s="613">
        <v>39</v>
      </c>
      <c r="B51" s="210" t="s">
        <v>594</v>
      </c>
      <c r="C51" s="44">
        <f t="shared" ref="C51:N51" si="347">C59-C50</f>
        <v>33218.59667451799</v>
      </c>
      <c r="D51" s="44">
        <f t="shared" si="347"/>
        <v>88684.860377984471</v>
      </c>
      <c r="E51" s="44">
        <f t="shared" si="347"/>
        <v>239716.62218068031</v>
      </c>
      <c r="F51" s="44">
        <f t="shared" si="347"/>
        <v>544683.26087554859</v>
      </c>
      <c r="G51" s="44">
        <f t="shared" si="347"/>
        <v>814125.56904551038</v>
      </c>
      <c r="H51" s="44">
        <f t="shared" si="347"/>
        <v>696540.21625115292</v>
      </c>
      <c r="I51" s="44">
        <f t="shared" si="347"/>
        <v>832939.43405475828</v>
      </c>
      <c r="J51" s="44">
        <f t="shared" si="347"/>
        <v>241990.67911688369</v>
      </c>
      <c r="K51" s="44">
        <f t="shared" si="347"/>
        <v>43152.791301606281</v>
      </c>
      <c r="L51" s="44">
        <f t="shared" si="347"/>
        <v>-3651.2973813210265</v>
      </c>
      <c r="M51" s="44">
        <f t="shared" si="347"/>
        <v>-11392.887300191913</v>
      </c>
      <c r="N51" s="44">
        <f t="shared" si="347"/>
        <v>11392.887300191942</v>
      </c>
      <c r="O51" s="45">
        <f>O53*O57*O$14</f>
        <v>2264.2199498397281</v>
      </c>
      <c r="P51" s="45">
        <f t="shared" ref="P51:Z51" si="348">P53*P57*P$14</f>
        <v>66199.021500712915</v>
      </c>
      <c r="Q51" s="45">
        <f t="shared" si="348"/>
        <v>296343.6139802165</v>
      </c>
      <c r="R51" s="45">
        <f t="shared" si="348"/>
        <v>564161.00117247435</v>
      </c>
      <c r="S51" s="45">
        <f t="shared" si="348"/>
        <v>679154.46010919427</v>
      </c>
      <c r="T51" s="45">
        <f t="shared" si="348"/>
        <v>685983.13928619807</v>
      </c>
      <c r="U51" s="45">
        <f t="shared" si="348"/>
        <v>547576.12695299857</v>
      </c>
      <c r="V51" s="45">
        <f t="shared" si="348"/>
        <v>286025.42738066649</v>
      </c>
      <c r="W51" s="45">
        <f t="shared" si="348"/>
        <v>94641.323255632567</v>
      </c>
      <c r="X51" s="45">
        <f t="shared" si="348"/>
        <v>17851.944112064321</v>
      </c>
      <c r="Y51" s="45">
        <f t="shared" si="348"/>
        <v>0</v>
      </c>
      <c r="Z51" s="45">
        <f t="shared" si="348"/>
        <v>0</v>
      </c>
      <c r="AA51" s="45">
        <f>AA53*AA57*AA$14</f>
        <v>2264.2199498397281</v>
      </c>
      <c r="AB51" s="45">
        <f t="shared" ref="AB51:AL51" si="349">AB53*AB57*AB$14</f>
        <v>66199.021500712915</v>
      </c>
      <c r="AC51" s="45">
        <f t="shared" si="349"/>
        <v>296343.6139802165</v>
      </c>
      <c r="AD51" s="45">
        <f t="shared" si="349"/>
        <v>564161.00117247435</v>
      </c>
      <c r="AE51" s="45">
        <f t="shared" si="349"/>
        <v>679154.46010919427</v>
      </c>
      <c r="AF51" s="45">
        <f t="shared" si="349"/>
        <v>685983.13928619807</v>
      </c>
      <c r="AG51" s="45">
        <f t="shared" si="349"/>
        <v>547576.12695299857</v>
      </c>
      <c r="AH51" s="45">
        <f t="shared" si="349"/>
        <v>286025.42738066649</v>
      </c>
      <c r="AI51" s="45">
        <f t="shared" si="349"/>
        <v>94641.323255632567</v>
      </c>
      <c r="AJ51" s="45">
        <f t="shared" si="349"/>
        <v>17851.944112064321</v>
      </c>
      <c r="AK51" s="45">
        <f t="shared" si="349"/>
        <v>0</v>
      </c>
      <c r="AL51" s="45">
        <f t="shared" si="349"/>
        <v>0</v>
      </c>
      <c r="AM51" s="45">
        <f>AM53*AM57*AM$14</f>
        <v>2264.2199498397281</v>
      </c>
      <c r="AN51" s="45">
        <f t="shared" ref="AN51:AX51" si="350">AN53*AN57*AN$14</f>
        <v>66199.021500712915</v>
      </c>
      <c r="AO51" s="45">
        <f t="shared" si="350"/>
        <v>296343.6139802165</v>
      </c>
      <c r="AP51" s="45">
        <f t="shared" si="350"/>
        <v>564161.00117247435</v>
      </c>
      <c r="AQ51" s="45">
        <f t="shared" si="350"/>
        <v>679154.46010919427</v>
      </c>
      <c r="AR51" s="45">
        <f t="shared" si="350"/>
        <v>685983.13928619807</v>
      </c>
      <c r="AS51" s="45">
        <f t="shared" si="350"/>
        <v>547576.12695299857</v>
      </c>
      <c r="AT51" s="45">
        <f t="shared" si="350"/>
        <v>286025.42738066649</v>
      </c>
      <c r="AU51" s="45">
        <f t="shared" si="350"/>
        <v>94641.323255632567</v>
      </c>
      <c r="AV51" s="45">
        <f t="shared" si="350"/>
        <v>17851.944112064321</v>
      </c>
      <c r="AW51" s="45">
        <f t="shared" si="350"/>
        <v>0</v>
      </c>
      <c r="AX51" s="45">
        <f t="shared" si="350"/>
        <v>0</v>
      </c>
      <c r="AY51" s="45">
        <f>AY53*AY57*AY$14</f>
        <v>2264.2199498397281</v>
      </c>
      <c r="AZ51" s="45">
        <f t="shared" ref="AZ51:BJ51" si="351">AZ53*AZ57*AZ$14</f>
        <v>66199.021500712915</v>
      </c>
      <c r="BA51" s="45">
        <f t="shared" si="351"/>
        <v>296343.6139802165</v>
      </c>
      <c r="BB51" s="45">
        <f t="shared" si="351"/>
        <v>564161.00117247435</v>
      </c>
      <c r="BC51" s="45">
        <f t="shared" si="351"/>
        <v>679154.46010919427</v>
      </c>
      <c r="BD51" s="45">
        <f t="shared" si="351"/>
        <v>685983.13928619807</v>
      </c>
      <c r="BE51" s="45">
        <f t="shared" si="351"/>
        <v>547576.12695299857</v>
      </c>
      <c r="BF51" s="45">
        <f t="shared" si="351"/>
        <v>286025.42738066649</v>
      </c>
      <c r="BG51" s="45">
        <f t="shared" si="351"/>
        <v>94641.323255632567</v>
      </c>
      <c r="BH51" s="45">
        <f t="shared" si="351"/>
        <v>17851.944112064321</v>
      </c>
      <c r="BI51" s="45">
        <f t="shared" si="351"/>
        <v>0</v>
      </c>
      <c r="BJ51" s="45">
        <f t="shared" si="351"/>
        <v>0</v>
      </c>
      <c r="BK51" s="45">
        <f>BK53*BK57*BK$14</f>
        <v>2264.2199498397281</v>
      </c>
      <c r="BL51" s="45">
        <f t="shared" ref="BL51:BV51" si="352">BL53*BL57*BL$14</f>
        <v>66199.021500712915</v>
      </c>
      <c r="BM51" s="45">
        <f t="shared" si="352"/>
        <v>296343.6139802165</v>
      </c>
      <c r="BN51" s="45">
        <f t="shared" si="352"/>
        <v>564161.00117247435</v>
      </c>
      <c r="BO51" s="45">
        <f t="shared" si="352"/>
        <v>679154.46010919427</v>
      </c>
      <c r="BP51" s="45">
        <f t="shared" si="352"/>
        <v>685983.13928619807</v>
      </c>
      <c r="BQ51" s="45">
        <f t="shared" si="352"/>
        <v>547576.12695299857</v>
      </c>
      <c r="BR51" s="45">
        <f t="shared" si="352"/>
        <v>286025.42738066649</v>
      </c>
      <c r="BS51" s="45">
        <f t="shared" si="352"/>
        <v>94641.323255632567</v>
      </c>
      <c r="BT51" s="45">
        <f t="shared" si="352"/>
        <v>17851.944112064321</v>
      </c>
      <c r="BU51" s="45">
        <f t="shared" si="352"/>
        <v>0</v>
      </c>
      <c r="BV51" s="45">
        <f t="shared" si="352"/>
        <v>0</v>
      </c>
      <c r="BW51" s="45">
        <f>BW53*BW57*BW$14</f>
        <v>2264.2199498397281</v>
      </c>
      <c r="BX51" s="45">
        <f t="shared" ref="BX51:CH51" si="353">BX53*BX57*BX$14</f>
        <v>66199.021500712915</v>
      </c>
      <c r="BY51" s="45">
        <f t="shared" si="353"/>
        <v>296343.6139802165</v>
      </c>
      <c r="BZ51" s="45">
        <f t="shared" si="353"/>
        <v>564161.00117247435</v>
      </c>
      <c r="CA51" s="45">
        <f t="shared" si="353"/>
        <v>679154.46010919427</v>
      </c>
      <c r="CB51" s="45">
        <f t="shared" si="353"/>
        <v>685983.13928619807</v>
      </c>
      <c r="CC51" s="45">
        <f t="shared" si="353"/>
        <v>547576.12695299857</v>
      </c>
      <c r="CD51" s="45">
        <f t="shared" si="353"/>
        <v>286025.42738066649</v>
      </c>
      <c r="CE51" s="45">
        <f t="shared" si="353"/>
        <v>94641.323255632567</v>
      </c>
      <c r="CF51" s="45">
        <f t="shared" si="353"/>
        <v>17851.944112064321</v>
      </c>
      <c r="CG51" s="45">
        <f t="shared" si="353"/>
        <v>0</v>
      </c>
      <c r="CH51" s="45">
        <f t="shared" si="353"/>
        <v>0</v>
      </c>
    </row>
    <row r="52" spans="1:86" x14ac:dyDescent="0.2">
      <c r="A52" s="613">
        <v>40</v>
      </c>
      <c r="B52" s="210" t="s">
        <v>595</v>
      </c>
      <c r="C52" s="619">
        <f t="shared" ref="C52:N52" si="354">C51/C57</f>
        <v>1.9816617952942785</v>
      </c>
      <c r="D52" s="619">
        <f t="shared" si="354"/>
        <v>5.2476248744369514</v>
      </c>
      <c r="E52" s="619">
        <f t="shared" si="354"/>
        <v>14.167649065052027</v>
      </c>
      <c r="F52" s="619">
        <f t="shared" si="354"/>
        <v>30.77654316168768</v>
      </c>
      <c r="G52" s="619">
        <f t="shared" si="354"/>
        <v>45.714277558847236</v>
      </c>
      <c r="H52" s="619">
        <f t="shared" si="354"/>
        <v>42.654024265226752</v>
      </c>
      <c r="I52" s="619">
        <f t="shared" si="354"/>
        <v>43.352908658447838</v>
      </c>
      <c r="J52" s="619">
        <f t="shared" si="354"/>
        <v>13.637119138736754</v>
      </c>
      <c r="K52" s="619">
        <f t="shared" si="354"/>
        <v>2.4840427873363047</v>
      </c>
      <c r="L52" s="619">
        <f t="shared" si="354"/>
        <v>-0.2118044771344641</v>
      </c>
      <c r="M52" s="619">
        <f t="shared" si="354"/>
        <v>-0.66628968361845209</v>
      </c>
      <c r="N52" s="619">
        <f t="shared" si="354"/>
        <v>0.67944222925763009</v>
      </c>
      <c r="O52" s="620">
        <f>O51/O57</f>
        <v>0.13507247806715553</v>
      </c>
      <c r="P52" s="620">
        <f t="shared" ref="P52:Z52" si="355">P51/P57</f>
        <v>3.9171018639475097</v>
      </c>
      <c r="Q52" s="620">
        <f t="shared" si="355"/>
        <v>17.514397989374498</v>
      </c>
      <c r="R52" s="620">
        <f t="shared" si="355"/>
        <v>31.877104823848704</v>
      </c>
      <c r="S52" s="620">
        <f t="shared" si="355"/>
        <v>38.135462974293574</v>
      </c>
      <c r="T52" s="620">
        <f t="shared" si="355"/>
        <v>42.00754067888537</v>
      </c>
      <c r="U52" s="620">
        <f t="shared" si="355"/>
        <v>28.500292872169812</v>
      </c>
      <c r="V52" s="620">
        <f t="shared" si="355"/>
        <v>16.118649049347223</v>
      </c>
      <c r="W52" s="620">
        <f t="shared" si="355"/>
        <v>5.4479232820419394</v>
      </c>
      <c r="X52" s="620">
        <f t="shared" si="355"/>
        <v>1.0355556651815256</v>
      </c>
      <c r="Y52" s="620">
        <f t="shared" si="355"/>
        <v>0</v>
      </c>
      <c r="Z52" s="620">
        <f t="shared" si="355"/>
        <v>0</v>
      </c>
      <c r="AA52" s="620">
        <f>AA51/AA57</f>
        <v>0.13507247806715553</v>
      </c>
      <c r="AB52" s="620">
        <f t="shared" ref="AB52:AL52" si="356">AB51/AB57</f>
        <v>3.9171018639475097</v>
      </c>
      <c r="AC52" s="620">
        <f t="shared" si="356"/>
        <v>17.514397989374498</v>
      </c>
      <c r="AD52" s="620">
        <f t="shared" si="356"/>
        <v>31.877104823848704</v>
      </c>
      <c r="AE52" s="620">
        <f t="shared" si="356"/>
        <v>38.135462974293574</v>
      </c>
      <c r="AF52" s="620">
        <f t="shared" si="356"/>
        <v>42.00754067888537</v>
      </c>
      <c r="AG52" s="620">
        <f t="shared" si="356"/>
        <v>28.500292872169812</v>
      </c>
      <c r="AH52" s="620">
        <f t="shared" si="356"/>
        <v>16.118649049347223</v>
      </c>
      <c r="AI52" s="620">
        <f t="shared" si="356"/>
        <v>5.4479232820419394</v>
      </c>
      <c r="AJ52" s="620">
        <f t="shared" si="356"/>
        <v>1.0355556651815256</v>
      </c>
      <c r="AK52" s="620">
        <f t="shared" si="356"/>
        <v>0</v>
      </c>
      <c r="AL52" s="620">
        <f t="shared" si="356"/>
        <v>0</v>
      </c>
      <c r="AM52" s="620">
        <f>AM51/AM57</f>
        <v>0.13507247806715553</v>
      </c>
      <c r="AN52" s="620">
        <f t="shared" ref="AN52:AX52" si="357">AN51/AN57</f>
        <v>3.9171018639475097</v>
      </c>
      <c r="AO52" s="620">
        <f t="shared" si="357"/>
        <v>17.514397989374498</v>
      </c>
      <c r="AP52" s="620">
        <f t="shared" si="357"/>
        <v>31.877104823848704</v>
      </c>
      <c r="AQ52" s="620">
        <f t="shared" si="357"/>
        <v>38.135462974293574</v>
      </c>
      <c r="AR52" s="620">
        <f t="shared" si="357"/>
        <v>42.00754067888537</v>
      </c>
      <c r="AS52" s="620">
        <f t="shared" si="357"/>
        <v>28.500292872169812</v>
      </c>
      <c r="AT52" s="620">
        <f t="shared" si="357"/>
        <v>16.118649049347223</v>
      </c>
      <c r="AU52" s="620">
        <f t="shared" si="357"/>
        <v>5.4479232820419394</v>
      </c>
      <c r="AV52" s="620">
        <f t="shared" si="357"/>
        <v>1.0355556651815256</v>
      </c>
      <c r="AW52" s="620">
        <f t="shared" si="357"/>
        <v>0</v>
      </c>
      <c r="AX52" s="620">
        <f t="shared" si="357"/>
        <v>0</v>
      </c>
      <c r="AY52" s="620">
        <f>AY51/AY57</f>
        <v>0.13507247806715553</v>
      </c>
      <c r="AZ52" s="620">
        <f t="shared" ref="AZ52:BJ52" si="358">AZ51/AZ57</f>
        <v>3.9171018639475097</v>
      </c>
      <c r="BA52" s="620">
        <f t="shared" si="358"/>
        <v>17.514397989374498</v>
      </c>
      <c r="BB52" s="620">
        <f t="shared" si="358"/>
        <v>31.877104823848704</v>
      </c>
      <c r="BC52" s="620">
        <f t="shared" si="358"/>
        <v>38.135462974293574</v>
      </c>
      <c r="BD52" s="620">
        <f t="shared" si="358"/>
        <v>42.00754067888537</v>
      </c>
      <c r="BE52" s="620">
        <f t="shared" si="358"/>
        <v>28.500292872169812</v>
      </c>
      <c r="BF52" s="620">
        <f t="shared" si="358"/>
        <v>16.118649049347223</v>
      </c>
      <c r="BG52" s="620">
        <f t="shared" si="358"/>
        <v>5.4479232820419394</v>
      </c>
      <c r="BH52" s="620">
        <f t="shared" si="358"/>
        <v>1.0355556651815256</v>
      </c>
      <c r="BI52" s="620">
        <f t="shared" si="358"/>
        <v>0</v>
      </c>
      <c r="BJ52" s="620">
        <f t="shared" si="358"/>
        <v>0</v>
      </c>
      <c r="BK52" s="620">
        <f>BK51/BK57</f>
        <v>0.13507247806715553</v>
      </c>
      <c r="BL52" s="620">
        <f t="shared" ref="BL52:BV52" si="359">BL51/BL57</f>
        <v>3.9171018639475097</v>
      </c>
      <c r="BM52" s="620">
        <f t="shared" si="359"/>
        <v>17.514397989374498</v>
      </c>
      <c r="BN52" s="620">
        <f t="shared" si="359"/>
        <v>31.877104823848704</v>
      </c>
      <c r="BO52" s="620">
        <f t="shared" si="359"/>
        <v>38.135462974293574</v>
      </c>
      <c r="BP52" s="620">
        <f t="shared" si="359"/>
        <v>42.00754067888537</v>
      </c>
      <c r="BQ52" s="620">
        <f t="shared" si="359"/>
        <v>28.500292872169812</v>
      </c>
      <c r="BR52" s="620">
        <f t="shared" si="359"/>
        <v>16.118649049347223</v>
      </c>
      <c r="BS52" s="620">
        <f t="shared" si="359"/>
        <v>5.4479232820419394</v>
      </c>
      <c r="BT52" s="620">
        <f t="shared" si="359"/>
        <v>1.0355556651815256</v>
      </c>
      <c r="BU52" s="620">
        <f t="shared" si="359"/>
        <v>0</v>
      </c>
      <c r="BV52" s="620">
        <f t="shared" si="359"/>
        <v>0</v>
      </c>
      <c r="BW52" s="620">
        <f>BW51/BW57</f>
        <v>0.13507247806715553</v>
      </c>
      <c r="BX52" s="620">
        <f t="shared" ref="BX52:CH52" si="360">BX51/BX57</f>
        <v>3.9171018639475097</v>
      </c>
      <c r="BY52" s="620">
        <f t="shared" si="360"/>
        <v>17.514397989374498</v>
      </c>
      <c r="BZ52" s="620">
        <f t="shared" si="360"/>
        <v>31.877104823848704</v>
      </c>
      <c r="CA52" s="620">
        <f t="shared" si="360"/>
        <v>38.135462974293574</v>
      </c>
      <c r="CB52" s="620">
        <f t="shared" si="360"/>
        <v>42.00754067888537</v>
      </c>
      <c r="CC52" s="620">
        <f t="shared" si="360"/>
        <v>28.500292872169812</v>
      </c>
      <c r="CD52" s="620">
        <f t="shared" si="360"/>
        <v>16.118649049347223</v>
      </c>
      <c r="CE52" s="620">
        <f t="shared" si="360"/>
        <v>5.4479232820419394</v>
      </c>
      <c r="CF52" s="620">
        <f t="shared" si="360"/>
        <v>1.0355556651815256</v>
      </c>
      <c r="CG52" s="620">
        <f t="shared" si="360"/>
        <v>0</v>
      </c>
      <c r="CH52" s="620">
        <f t="shared" si="360"/>
        <v>0</v>
      </c>
    </row>
    <row r="53" spans="1:86" x14ac:dyDescent="0.2">
      <c r="A53" s="613">
        <v>41</v>
      </c>
      <c r="B53" s="210" t="s">
        <v>588</v>
      </c>
      <c r="C53" s="621">
        <f>SUM(C52:N52)/SUM(C$13:N$13)</f>
        <v>4.5024154883634641E-2</v>
      </c>
      <c r="D53" s="621">
        <f>C53</f>
        <v>4.5024154883634641E-2</v>
      </c>
      <c r="E53" s="621">
        <f t="shared" ref="E53" si="361">D53</f>
        <v>4.5024154883634641E-2</v>
      </c>
      <c r="F53" s="621">
        <f t="shared" ref="F53" si="362">E53</f>
        <v>4.5024154883634641E-2</v>
      </c>
      <c r="G53" s="621">
        <f t="shared" ref="G53" si="363">F53</f>
        <v>4.5024154883634641E-2</v>
      </c>
      <c r="H53" s="621">
        <f t="shared" ref="H53" si="364">G53</f>
        <v>4.5024154883634641E-2</v>
      </c>
      <c r="I53" s="621">
        <f t="shared" ref="I53" si="365">H53</f>
        <v>4.5024154883634641E-2</v>
      </c>
      <c r="J53" s="621">
        <f t="shared" ref="J53" si="366">I53</f>
        <v>4.5024154883634641E-2</v>
      </c>
      <c r="K53" s="621">
        <f t="shared" ref="K53" si="367">J53</f>
        <v>4.5024154883634641E-2</v>
      </c>
      <c r="L53" s="621">
        <f t="shared" ref="L53" si="368">K53</f>
        <v>4.5024154883634641E-2</v>
      </c>
      <c r="M53" s="621">
        <f t="shared" ref="M53" si="369">L53</f>
        <v>4.5024154883634641E-2</v>
      </c>
      <c r="N53" s="621">
        <f t="shared" ref="N53" si="370">M53</f>
        <v>4.5024154883634641E-2</v>
      </c>
      <c r="O53" s="622">
        <f>((SUM(C58:N58)/AVERAGE(C57:N57)+O48)*AVERAGE(O57:Z57)-SUM(O50:Z50))/(O57*O$14+P57*P$14+Q57*Q$14+R57*R$14+S57*S$14+T57*T$14+U57*U$14+V57*V$14+W57*W$14+X57*X$14+Y57*Y$14+Z57*Z$14)</f>
        <v>4.5024159355718504E-2</v>
      </c>
      <c r="P53" s="623">
        <f>O53</f>
        <v>4.5024159355718504E-2</v>
      </c>
      <c r="Q53" s="623">
        <f t="shared" ref="Q53" si="371">P53</f>
        <v>4.5024159355718504E-2</v>
      </c>
      <c r="R53" s="623">
        <f t="shared" ref="R53" si="372">Q53</f>
        <v>4.5024159355718504E-2</v>
      </c>
      <c r="S53" s="623">
        <f t="shared" ref="S53" si="373">R53</f>
        <v>4.5024159355718504E-2</v>
      </c>
      <c r="T53" s="623">
        <f t="shared" ref="T53" si="374">S53</f>
        <v>4.5024159355718504E-2</v>
      </c>
      <c r="U53" s="623">
        <f t="shared" ref="U53" si="375">T53</f>
        <v>4.5024159355718504E-2</v>
      </c>
      <c r="V53" s="623">
        <f t="shared" ref="V53" si="376">U53</f>
        <v>4.5024159355718504E-2</v>
      </c>
      <c r="W53" s="623">
        <f t="shared" ref="W53" si="377">V53</f>
        <v>4.5024159355718504E-2</v>
      </c>
      <c r="X53" s="623">
        <f t="shared" ref="X53" si="378">W53</f>
        <v>4.5024159355718504E-2</v>
      </c>
      <c r="Y53" s="623">
        <f t="shared" ref="Y53" si="379">X53</f>
        <v>4.5024159355718504E-2</v>
      </c>
      <c r="Z53" s="623">
        <f t="shared" ref="Z53" si="380">Y53</f>
        <v>4.5024159355718504E-2</v>
      </c>
      <c r="AA53" s="622">
        <f>((SUM(O58:Z58)/AVERAGE(O57:Z57)+AA48)*AVERAGE(AA57:AL57)-SUM(AA50:AL50))/(AA57*AA$14+AB57*AB$14+AC57*AC$14+AD57*AD$14+AE57*AE$14+AF57*AF$14+AG57*AG$14+AH57*AH$14+AI57*AI$14+AJ57*AJ$14+AK57*AK$14+AL57*AL$14)</f>
        <v>4.5024159355718504E-2</v>
      </c>
      <c r="AB53" s="623">
        <f>AA53</f>
        <v>4.5024159355718504E-2</v>
      </c>
      <c r="AC53" s="623">
        <f t="shared" ref="AC53" si="381">AB53</f>
        <v>4.5024159355718504E-2</v>
      </c>
      <c r="AD53" s="623">
        <f t="shared" ref="AD53" si="382">AC53</f>
        <v>4.5024159355718504E-2</v>
      </c>
      <c r="AE53" s="623">
        <f t="shared" ref="AE53" si="383">AD53</f>
        <v>4.5024159355718504E-2</v>
      </c>
      <c r="AF53" s="623">
        <f t="shared" ref="AF53" si="384">AE53</f>
        <v>4.5024159355718504E-2</v>
      </c>
      <c r="AG53" s="623">
        <f t="shared" ref="AG53" si="385">AF53</f>
        <v>4.5024159355718504E-2</v>
      </c>
      <c r="AH53" s="623">
        <f t="shared" ref="AH53" si="386">AG53</f>
        <v>4.5024159355718504E-2</v>
      </c>
      <c r="AI53" s="623">
        <f t="shared" ref="AI53" si="387">AH53</f>
        <v>4.5024159355718504E-2</v>
      </c>
      <c r="AJ53" s="623">
        <f t="shared" ref="AJ53" si="388">AI53</f>
        <v>4.5024159355718504E-2</v>
      </c>
      <c r="AK53" s="623">
        <f t="shared" ref="AK53" si="389">AJ53</f>
        <v>4.5024159355718504E-2</v>
      </c>
      <c r="AL53" s="623">
        <f t="shared" ref="AL53" si="390">AK53</f>
        <v>4.5024159355718504E-2</v>
      </c>
      <c r="AM53" s="622">
        <f>((SUM(AA58:AL58)/AVERAGE(AA57:AL57)+AM48)*AVERAGE(AM57:AX57)-SUM(AM50:AX50))/(AM57*AM$14+AN57*AN$14+AO57*AO$14+AP57*AP$14+AQ57*AQ$14+AR57*AR$14+AS57*AS$14+AT57*AT$14+AU57*AU$14+AV57*AV$14+AW57*AW$14+AX57*AX$14)</f>
        <v>4.5024159355718504E-2</v>
      </c>
      <c r="AN53" s="623">
        <f>AM53</f>
        <v>4.5024159355718504E-2</v>
      </c>
      <c r="AO53" s="623">
        <f t="shared" ref="AO53" si="391">AN53</f>
        <v>4.5024159355718504E-2</v>
      </c>
      <c r="AP53" s="623">
        <f t="shared" ref="AP53" si="392">AO53</f>
        <v>4.5024159355718504E-2</v>
      </c>
      <c r="AQ53" s="623">
        <f t="shared" ref="AQ53" si="393">AP53</f>
        <v>4.5024159355718504E-2</v>
      </c>
      <c r="AR53" s="623">
        <f t="shared" ref="AR53" si="394">AQ53</f>
        <v>4.5024159355718504E-2</v>
      </c>
      <c r="AS53" s="623">
        <f t="shared" ref="AS53" si="395">AR53</f>
        <v>4.5024159355718504E-2</v>
      </c>
      <c r="AT53" s="623">
        <f t="shared" ref="AT53" si="396">AS53</f>
        <v>4.5024159355718504E-2</v>
      </c>
      <c r="AU53" s="623">
        <f t="shared" ref="AU53" si="397">AT53</f>
        <v>4.5024159355718504E-2</v>
      </c>
      <c r="AV53" s="623">
        <f t="shared" ref="AV53" si="398">AU53</f>
        <v>4.5024159355718504E-2</v>
      </c>
      <c r="AW53" s="623">
        <f t="shared" ref="AW53" si="399">AV53</f>
        <v>4.5024159355718504E-2</v>
      </c>
      <c r="AX53" s="623">
        <f t="shared" ref="AX53" si="400">AW53</f>
        <v>4.5024159355718504E-2</v>
      </c>
      <c r="AY53" s="622">
        <f>((SUM(AM58:AX58)/AVERAGE(AM57:AX57)+AY48)*AVERAGE(AY57:BJ57)-SUM(AY50:BJ50))/(AY57*AY$14+AZ57*AZ$14+BA57*BA$14+BB57*BB$14+BC57*BC$14+BD57*BD$14+BE57*BE$14+BF57*BF$14+BG57*BG$14+BH57*BH$14+BI57*BI$14+BJ57*BJ$14)</f>
        <v>4.5024159355718504E-2</v>
      </c>
      <c r="AZ53" s="623">
        <f>AY53</f>
        <v>4.5024159355718504E-2</v>
      </c>
      <c r="BA53" s="623">
        <f t="shared" ref="BA53" si="401">AZ53</f>
        <v>4.5024159355718504E-2</v>
      </c>
      <c r="BB53" s="623">
        <f t="shared" ref="BB53" si="402">BA53</f>
        <v>4.5024159355718504E-2</v>
      </c>
      <c r="BC53" s="623">
        <f t="shared" ref="BC53" si="403">BB53</f>
        <v>4.5024159355718504E-2</v>
      </c>
      <c r="BD53" s="623">
        <f t="shared" ref="BD53" si="404">BC53</f>
        <v>4.5024159355718504E-2</v>
      </c>
      <c r="BE53" s="623">
        <f t="shared" ref="BE53" si="405">BD53</f>
        <v>4.5024159355718504E-2</v>
      </c>
      <c r="BF53" s="623">
        <f t="shared" ref="BF53" si="406">BE53</f>
        <v>4.5024159355718504E-2</v>
      </c>
      <c r="BG53" s="623">
        <f t="shared" ref="BG53" si="407">BF53</f>
        <v>4.5024159355718504E-2</v>
      </c>
      <c r="BH53" s="623">
        <f t="shared" ref="BH53" si="408">BG53</f>
        <v>4.5024159355718504E-2</v>
      </c>
      <c r="BI53" s="623">
        <f t="shared" ref="BI53" si="409">BH53</f>
        <v>4.5024159355718504E-2</v>
      </c>
      <c r="BJ53" s="623">
        <f t="shared" ref="BJ53" si="410">BI53</f>
        <v>4.5024159355718504E-2</v>
      </c>
      <c r="BK53" s="622">
        <f>((SUM(AY58:BJ58)/AVERAGE(AY57:BJ57)+BK48)*AVERAGE(BK57:BV57)-SUM(BK50:BV50))/(BK57*BK$14+BL57*BL$14+BM57*BM$14+BN57*BN$14+BO57*BO$14+BP57*BP$14+BQ57*BQ$14+BR57*BR$14+BS57*BS$14+BT57*BT$14+BU57*BU$14+BV57*BV$14)</f>
        <v>4.5024159355718504E-2</v>
      </c>
      <c r="BL53" s="623">
        <f>BK53</f>
        <v>4.5024159355718504E-2</v>
      </c>
      <c r="BM53" s="623">
        <f t="shared" ref="BM53" si="411">BL53</f>
        <v>4.5024159355718504E-2</v>
      </c>
      <c r="BN53" s="623">
        <f t="shared" ref="BN53" si="412">BM53</f>
        <v>4.5024159355718504E-2</v>
      </c>
      <c r="BO53" s="623">
        <f t="shared" ref="BO53" si="413">BN53</f>
        <v>4.5024159355718504E-2</v>
      </c>
      <c r="BP53" s="623">
        <f t="shared" ref="BP53" si="414">BO53</f>
        <v>4.5024159355718504E-2</v>
      </c>
      <c r="BQ53" s="623">
        <f t="shared" ref="BQ53" si="415">BP53</f>
        <v>4.5024159355718504E-2</v>
      </c>
      <c r="BR53" s="623">
        <f t="shared" ref="BR53" si="416">BQ53</f>
        <v>4.5024159355718504E-2</v>
      </c>
      <c r="BS53" s="623">
        <f t="shared" ref="BS53" si="417">BR53</f>
        <v>4.5024159355718504E-2</v>
      </c>
      <c r="BT53" s="623">
        <f t="shared" ref="BT53" si="418">BS53</f>
        <v>4.5024159355718504E-2</v>
      </c>
      <c r="BU53" s="623">
        <f t="shared" ref="BU53" si="419">BT53</f>
        <v>4.5024159355718504E-2</v>
      </c>
      <c r="BV53" s="623">
        <f t="shared" ref="BV53" si="420">BU53</f>
        <v>4.5024159355718504E-2</v>
      </c>
      <c r="BW53" s="622">
        <f>((SUM(BK58:BV58)/AVERAGE(BK57:BV57)+BW48)*AVERAGE(BW57:CH57)-SUM(BW50:CH50))/(BW57*BW$14+BX57*BX$14+BY57*BY$14+BZ57*BZ$14+CA57*CA$14+CB57*CB$14+CC57*CC$14+CD57*CD$14+CE57*CE$14+CF57*CF$14+CG57*CG$14+CH57*CH$14)</f>
        <v>4.5024159355718504E-2</v>
      </c>
      <c r="BX53" s="623">
        <f>BW53</f>
        <v>4.5024159355718504E-2</v>
      </c>
      <c r="BY53" s="623">
        <f t="shared" ref="BY53" si="421">BX53</f>
        <v>4.5024159355718504E-2</v>
      </c>
      <c r="BZ53" s="623">
        <f t="shared" ref="BZ53" si="422">BY53</f>
        <v>4.5024159355718504E-2</v>
      </c>
      <c r="CA53" s="623">
        <f t="shared" ref="CA53" si="423">BZ53</f>
        <v>4.5024159355718504E-2</v>
      </c>
      <c r="CB53" s="623">
        <f t="shared" ref="CB53" si="424">CA53</f>
        <v>4.5024159355718504E-2</v>
      </c>
      <c r="CC53" s="623">
        <f t="shared" ref="CC53" si="425">CB53</f>
        <v>4.5024159355718504E-2</v>
      </c>
      <c r="CD53" s="623">
        <f t="shared" ref="CD53" si="426">CC53</f>
        <v>4.5024159355718504E-2</v>
      </c>
      <c r="CE53" s="623">
        <f t="shared" ref="CE53" si="427">CD53</f>
        <v>4.5024159355718504E-2</v>
      </c>
      <c r="CF53" s="623">
        <f t="shared" ref="CF53" si="428">CE53</f>
        <v>4.5024159355718504E-2</v>
      </c>
      <c r="CG53" s="623">
        <f t="shared" ref="CG53" si="429">CF53</f>
        <v>4.5024159355718504E-2</v>
      </c>
      <c r="CH53" s="623">
        <f t="shared" ref="CH53" si="430">CG53</f>
        <v>4.5024159355718504E-2</v>
      </c>
    </row>
    <row r="54" spans="1:86" x14ac:dyDescent="0.2">
      <c r="A54" s="613">
        <v>42</v>
      </c>
      <c r="B54" s="210" t="s">
        <v>104</v>
      </c>
      <c r="C54" s="41">
        <f>ROUND(C53*C$14,4)</f>
        <v>0.1351</v>
      </c>
      <c r="D54" s="41">
        <f t="shared" ref="D54:BO54" si="431">ROUND(D53*D$14,4)</f>
        <v>3.9171</v>
      </c>
      <c r="E54" s="41">
        <f t="shared" si="431"/>
        <v>17.514399999999998</v>
      </c>
      <c r="F54" s="41">
        <f t="shared" si="431"/>
        <v>31.877099999999999</v>
      </c>
      <c r="G54" s="41">
        <f t="shared" si="431"/>
        <v>38.1355</v>
      </c>
      <c r="H54" s="41">
        <f t="shared" si="431"/>
        <v>42.0075</v>
      </c>
      <c r="I54" s="41">
        <f t="shared" si="431"/>
        <v>28.500299999999999</v>
      </c>
      <c r="J54" s="41">
        <f t="shared" si="431"/>
        <v>16.118600000000001</v>
      </c>
      <c r="K54" s="41">
        <f t="shared" si="431"/>
        <v>5.4478999999999997</v>
      </c>
      <c r="L54" s="41">
        <f t="shared" si="431"/>
        <v>1.0356000000000001</v>
      </c>
      <c r="M54" s="41">
        <f t="shared" si="431"/>
        <v>0</v>
      </c>
      <c r="N54" s="41">
        <f t="shared" si="431"/>
        <v>0</v>
      </c>
      <c r="O54" s="41">
        <f t="shared" si="431"/>
        <v>0.1351</v>
      </c>
      <c r="P54" s="41">
        <f t="shared" si="431"/>
        <v>3.9171</v>
      </c>
      <c r="Q54" s="41">
        <f t="shared" si="431"/>
        <v>17.514399999999998</v>
      </c>
      <c r="R54" s="41">
        <f t="shared" si="431"/>
        <v>31.877099999999999</v>
      </c>
      <c r="S54" s="41">
        <f t="shared" si="431"/>
        <v>38.1355</v>
      </c>
      <c r="T54" s="41">
        <f t="shared" si="431"/>
        <v>42.0075</v>
      </c>
      <c r="U54" s="41">
        <f t="shared" si="431"/>
        <v>28.500299999999999</v>
      </c>
      <c r="V54" s="41">
        <f t="shared" si="431"/>
        <v>16.118600000000001</v>
      </c>
      <c r="W54" s="41">
        <f t="shared" si="431"/>
        <v>5.4478999999999997</v>
      </c>
      <c r="X54" s="41">
        <f t="shared" si="431"/>
        <v>1.0356000000000001</v>
      </c>
      <c r="Y54" s="41">
        <f t="shared" si="431"/>
        <v>0</v>
      </c>
      <c r="Z54" s="41">
        <f t="shared" si="431"/>
        <v>0</v>
      </c>
      <c r="AA54" s="41">
        <f t="shared" si="431"/>
        <v>0.1351</v>
      </c>
      <c r="AB54" s="41">
        <f t="shared" si="431"/>
        <v>3.9171</v>
      </c>
      <c r="AC54" s="41">
        <f t="shared" si="431"/>
        <v>17.514399999999998</v>
      </c>
      <c r="AD54" s="41">
        <f t="shared" si="431"/>
        <v>31.877099999999999</v>
      </c>
      <c r="AE54" s="41">
        <f t="shared" si="431"/>
        <v>38.1355</v>
      </c>
      <c r="AF54" s="41">
        <f t="shared" si="431"/>
        <v>42.0075</v>
      </c>
      <c r="AG54" s="41">
        <f t="shared" si="431"/>
        <v>28.500299999999999</v>
      </c>
      <c r="AH54" s="41">
        <f t="shared" si="431"/>
        <v>16.118600000000001</v>
      </c>
      <c r="AI54" s="41">
        <f t="shared" si="431"/>
        <v>5.4478999999999997</v>
      </c>
      <c r="AJ54" s="41">
        <f t="shared" si="431"/>
        <v>1.0356000000000001</v>
      </c>
      <c r="AK54" s="41">
        <f t="shared" si="431"/>
        <v>0</v>
      </c>
      <c r="AL54" s="41">
        <f t="shared" si="431"/>
        <v>0</v>
      </c>
      <c r="AM54" s="41">
        <f t="shared" si="431"/>
        <v>0.1351</v>
      </c>
      <c r="AN54" s="41">
        <f t="shared" si="431"/>
        <v>3.9171</v>
      </c>
      <c r="AO54" s="41">
        <f t="shared" si="431"/>
        <v>17.514399999999998</v>
      </c>
      <c r="AP54" s="41">
        <f t="shared" si="431"/>
        <v>31.877099999999999</v>
      </c>
      <c r="AQ54" s="41">
        <f t="shared" si="431"/>
        <v>38.1355</v>
      </c>
      <c r="AR54" s="41">
        <f t="shared" si="431"/>
        <v>42.0075</v>
      </c>
      <c r="AS54" s="41">
        <f t="shared" si="431"/>
        <v>28.500299999999999</v>
      </c>
      <c r="AT54" s="41">
        <f t="shared" si="431"/>
        <v>16.118600000000001</v>
      </c>
      <c r="AU54" s="41">
        <f t="shared" si="431"/>
        <v>5.4478999999999997</v>
      </c>
      <c r="AV54" s="41">
        <f t="shared" si="431"/>
        <v>1.0356000000000001</v>
      </c>
      <c r="AW54" s="41">
        <f t="shared" si="431"/>
        <v>0</v>
      </c>
      <c r="AX54" s="41">
        <f t="shared" si="431"/>
        <v>0</v>
      </c>
      <c r="AY54" s="41">
        <f t="shared" si="431"/>
        <v>0.1351</v>
      </c>
      <c r="AZ54" s="41">
        <f t="shared" si="431"/>
        <v>3.9171</v>
      </c>
      <c r="BA54" s="41">
        <f t="shared" si="431"/>
        <v>17.514399999999998</v>
      </c>
      <c r="BB54" s="41">
        <f t="shared" si="431"/>
        <v>31.877099999999999</v>
      </c>
      <c r="BC54" s="41">
        <f t="shared" si="431"/>
        <v>38.1355</v>
      </c>
      <c r="BD54" s="41">
        <f t="shared" si="431"/>
        <v>42.0075</v>
      </c>
      <c r="BE54" s="41">
        <f t="shared" si="431"/>
        <v>28.500299999999999</v>
      </c>
      <c r="BF54" s="41">
        <f t="shared" si="431"/>
        <v>16.118600000000001</v>
      </c>
      <c r="BG54" s="41">
        <f t="shared" si="431"/>
        <v>5.4478999999999997</v>
      </c>
      <c r="BH54" s="41">
        <f t="shared" si="431"/>
        <v>1.0356000000000001</v>
      </c>
      <c r="BI54" s="41">
        <f t="shared" si="431"/>
        <v>0</v>
      </c>
      <c r="BJ54" s="41">
        <f t="shared" si="431"/>
        <v>0</v>
      </c>
      <c r="BK54" s="41">
        <f t="shared" si="431"/>
        <v>0.1351</v>
      </c>
      <c r="BL54" s="41">
        <f t="shared" si="431"/>
        <v>3.9171</v>
      </c>
      <c r="BM54" s="41">
        <f t="shared" si="431"/>
        <v>17.514399999999998</v>
      </c>
      <c r="BN54" s="41">
        <f t="shared" si="431"/>
        <v>31.877099999999999</v>
      </c>
      <c r="BO54" s="41">
        <f t="shared" si="431"/>
        <v>38.1355</v>
      </c>
      <c r="BP54" s="41">
        <f t="shared" ref="BP54:CH54" si="432">ROUND(BP53*BP$14,4)</f>
        <v>42.0075</v>
      </c>
      <c r="BQ54" s="41">
        <f t="shared" si="432"/>
        <v>28.500299999999999</v>
      </c>
      <c r="BR54" s="41">
        <f t="shared" si="432"/>
        <v>16.118600000000001</v>
      </c>
      <c r="BS54" s="41">
        <f t="shared" si="432"/>
        <v>5.4478999999999997</v>
      </c>
      <c r="BT54" s="41">
        <f t="shared" si="432"/>
        <v>1.0356000000000001</v>
      </c>
      <c r="BU54" s="41">
        <f t="shared" si="432"/>
        <v>0</v>
      </c>
      <c r="BV54" s="41">
        <f t="shared" si="432"/>
        <v>0</v>
      </c>
      <c r="BW54" s="41">
        <f t="shared" si="432"/>
        <v>0.1351</v>
      </c>
      <c r="BX54" s="41">
        <f t="shared" si="432"/>
        <v>3.9171</v>
      </c>
      <c r="BY54" s="41">
        <f t="shared" si="432"/>
        <v>17.514399999999998</v>
      </c>
      <c r="BZ54" s="41">
        <f t="shared" si="432"/>
        <v>31.877099999999999</v>
      </c>
      <c r="CA54" s="41">
        <f t="shared" si="432"/>
        <v>38.1355</v>
      </c>
      <c r="CB54" s="41">
        <f t="shared" si="432"/>
        <v>42.0075</v>
      </c>
      <c r="CC54" s="41">
        <f t="shared" si="432"/>
        <v>28.500299999999999</v>
      </c>
      <c r="CD54" s="41">
        <f t="shared" si="432"/>
        <v>16.118600000000001</v>
      </c>
      <c r="CE54" s="41">
        <f t="shared" si="432"/>
        <v>5.4478999999999997</v>
      </c>
      <c r="CF54" s="41">
        <f t="shared" si="432"/>
        <v>1.0356000000000001</v>
      </c>
      <c r="CG54" s="41">
        <f t="shared" si="432"/>
        <v>0</v>
      </c>
      <c r="CH54" s="41">
        <f t="shared" si="432"/>
        <v>0</v>
      </c>
    </row>
    <row r="55" spans="1:86" x14ac:dyDescent="0.2">
      <c r="A55" s="613">
        <v>43</v>
      </c>
      <c r="B55" s="210" t="s">
        <v>589</v>
      </c>
      <c r="C55" s="624">
        <f>(M59+N59)/(M57+N57)</f>
        <v>8.9112948652080188</v>
      </c>
      <c r="D55" s="625">
        <f t="shared" ref="D55" si="433">C55</f>
        <v>8.9112948652080188</v>
      </c>
      <c r="E55" s="625">
        <f t="shared" ref="E55" si="434">D55</f>
        <v>8.9112948652080188</v>
      </c>
      <c r="F55" s="625">
        <f t="shared" ref="F55" si="435">E55</f>
        <v>8.9112948652080188</v>
      </c>
      <c r="G55" s="625">
        <f t="shared" ref="G55" si="436">F55</f>
        <v>8.9112948652080188</v>
      </c>
      <c r="H55" s="625">
        <f t="shared" ref="H55" si="437">G55</f>
        <v>8.9112948652080188</v>
      </c>
      <c r="I55" s="625">
        <f t="shared" ref="I55" si="438">H55</f>
        <v>8.9112948652080188</v>
      </c>
      <c r="J55" s="625">
        <f t="shared" ref="J55" si="439">I55</f>
        <v>8.9112948652080188</v>
      </c>
      <c r="K55" s="625">
        <f t="shared" ref="K55" si="440">J55</f>
        <v>8.9112948652080188</v>
      </c>
      <c r="L55" s="625">
        <f t="shared" ref="L55" si="441">K55</f>
        <v>8.9112948652080188</v>
      </c>
      <c r="M55" s="625">
        <f t="shared" ref="M55" si="442">L55</f>
        <v>8.9112948652080188</v>
      </c>
      <c r="N55" s="625">
        <f t="shared" ref="N55" si="443">M55</f>
        <v>8.9112948652080188</v>
      </c>
      <c r="O55" s="626">
        <f>C55+O47</f>
        <v>8.9112948652080188</v>
      </c>
      <c r="P55" s="626">
        <f t="shared" ref="P55" si="444">D55+P47</f>
        <v>8.9112948652080188</v>
      </c>
      <c r="Q55" s="626">
        <f t="shared" ref="Q55" si="445">E55+Q47</f>
        <v>8.9112948652080188</v>
      </c>
      <c r="R55" s="626">
        <f t="shared" ref="R55" si="446">F55+R47</f>
        <v>8.9112948652080188</v>
      </c>
      <c r="S55" s="626">
        <f t="shared" ref="S55" si="447">G55+S47</f>
        <v>8.9112948652080188</v>
      </c>
      <c r="T55" s="626">
        <f t="shared" ref="T55" si="448">H55+T47</f>
        <v>8.9112948652080188</v>
      </c>
      <c r="U55" s="626">
        <f t="shared" ref="U55" si="449">I55+U47</f>
        <v>8.9112948652080188</v>
      </c>
      <c r="V55" s="626">
        <f t="shared" ref="V55" si="450">J55+V47</f>
        <v>8.9112948652080188</v>
      </c>
      <c r="W55" s="626">
        <f t="shared" ref="W55" si="451">K55+W47</f>
        <v>8.9112948652080188</v>
      </c>
      <c r="X55" s="626">
        <f t="shared" ref="X55" si="452">L55+X47</f>
        <v>8.9112948652080188</v>
      </c>
      <c r="Y55" s="626">
        <f t="shared" ref="Y55" si="453">M55+Y47</f>
        <v>8.9112948652080188</v>
      </c>
      <c r="Z55" s="626">
        <f t="shared" ref="Z55" si="454">N55+Z47</f>
        <v>8.9112948652080188</v>
      </c>
      <c r="AA55" s="626">
        <f>O55+AA47</f>
        <v>8.9112948652080188</v>
      </c>
      <c r="AB55" s="626">
        <f t="shared" ref="AB55" si="455">P55+AB47</f>
        <v>8.9112948652080188</v>
      </c>
      <c r="AC55" s="626">
        <f t="shared" ref="AC55" si="456">Q55+AC47</f>
        <v>8.9112948652080188</v>
      </c>
      <c r="AD55" s="626">
        <f t="shared" ref="AD55" si="457">R55+AD47</f>
        <v>8.9112948652080188</v>
      </c>
      <c r="AE55" s="626">
        <f t="shared" ref="AE55" si="458">S55+AE47</f>
        <v>8.9112948652080188</v>
      </c>
      <c r="AF55" s="626">
        <f t="shared" ref="AF55" si="459">T55+AF47</f>
        <v>8.9112948652080188</v>
      </c>
      <c r="AG55" s="626">
        <f t="shared" ref="AG55" si="460">U55+AG47</f>
        <v>8.9112948652080188</v>
      </c>
      <c r="AH55" s="626">
        <f t="shared" ref="AH55" si="461">V55+AH47</f>
        <v>8.9112948652080188</v>
      </c>
      <c r="AI55" s="626">
        <f t="shared" ref="AI55" si="462">W55+AI47</f>
        <v>8.9112948652080188</v>
      </c>
      <c r="AJ55" s="626">
        <f t="shared" ref="AJ55" si="463">X55+AJ47</f>
        <v>8.9112948652080188</v>
      </c>
      <c r="AK55" s="626">
        <f t="shared" ref="AK55" si="464">Y55+AK47</f>
        <v>8.9112948652080188</v>
      </c>
      <c r="AL55" s="626">
        <f t="shared" ref="AL55" si="465">Z55+AL47</f>
        <v>8.9112948652080188</v>
      </c>
      <c r="AM55" s="626">
        <f>AA55+AM47</f>
        <v>8.9112948652080188</v>
      </c>
      <c r="AN55" s="626">
        <f t="shared" ref="AN55" si="466">AB55+AN47</f>
        <v>8.9112948652080188</v>
      </c>
      <c r="AO55" s="626">
        <f t="shared" ref="AO55" si="467">AC55+AO47</f>
        <v>8.9112948652080188</v>
      </c>
      <c r="AP55" s="626">
        <f t="shared" ref="AP55" si="468">AD55+AP47</f>
        <v>8.9112948652080188</v>
      </c>
      <c r="AQ55" s="626">
        <f t="shared" ref="AQ55" si="469">AE55+AQ47</f>
        <v>8.9112948652080188</v>
      </c>
      <c r="AR55" s="626">
        <f t="shared" ref="AR55" si="470">AF55+AR47</f>
        <v>8.9112948652080188</v>
      </c>
      <c r="AS55" s="626">
        <f t="shared" ref="AS55" si="471">AG55+AS47</f>
        <v>8.9112948652080188</v>
      </c>
      <c r="AT55" s="626">
        <f t="shared" ref="AT55" si="472">AH55+AT47</f>
        <v>8.9112948652080188</v>
      </c>
      <c r="AU55" s="626">
        <f t="shared" ref="AU55" si="473">AI55+AU47</f>
        <v>8.9112948652080188</v>
      </c>
      <c r="AV55" s="626">
        <f t="shared" ref="AV55" si="474">AJ55+AV47</f>
        <v>8.9112948652080188</v>
      </c>
      <c r="AW55" s="626">
        <f t="shared" ref="AW55" si="475">AK55+AW47</f>
        <v>8.9112948652080188</v>
      </c>
      <c r="AX55" s="626">
        <f t="shared" ref="AX55" si="476">AL55+AX47</f>
        <v>8.9112948652080188</v>
      </c>
      <c r="AY55" s="626">
        <f>AM55+AY47</f>
        <v>8.9112948652080188</v>
      </c>
      <c r="AZ55" s="626">
        <f t="shared" ref="AZ55" si="477">AN55+AZ47</f>
        <v>8.9112948652080188</v>
      </c>
      <c r="BA55" s="626">
        <f t="shared" ref="BA55" si="478">AO55+BA47</f>
        <v>8.9112948652080188</v>
      </c>
      <c r="BB55" s="626">
        <f t="shared" ref="BB55" si="479">AP55+BB47</f>
        <v>8.9112948652080188</v>
      </c>
      <c r="BC55" s="626">
        <f t="shared" ref="BC55" si="480">AQ55+BC47</f>
        <v>8.9112948652080188</v>
      </c>
      <c r="BD55" s="626">
        <f t="shared" ref="BD55" si="481">AR55+BD47</f>
        <v>8.9112948652080188</v>
      </c>
      <c r="BE55" s="626">
        <f t="shared" ref="BE55" si="482">AS55+BE47</f>
        <v>8.9112948652080188</v>
      </c>
      <c r="BF55" s="626">
        <f t="shared" ref="BF55" si="483">AT55+BF47</f>
        <v>8.9112948652080188</v>
      </c>
      <c r="BG55" s="626">
        <f t="shared" ref="BG55" si="484">AU55+BG47</f>
        <v>8.9112948652080188</v>
      </c>
      <c r="BH55" s="626">
        <f t="shared" ref="BH55" si="485">AV55+BH47</f>
        <v>8.9112948652080188</v>
      </c>
      <c r="BI55" s="626">
        <f t="shared" ref="BI55" si="486">AW55+BI47</f>
        <v>8.9112948652080188</v>
      </c>
      <c r="BJ55" s="626">
        <f t="shared" ref="BJ55" si="487">AX55+BJ47</f>
        <v>8.9112948652080188</v>
      </c>
      <c r="BK55" s="626">
        <f>AY55+BK47</f>
        <v>8.9112948652080188</v>
      </c>
      <c r="BL55" s="626">
        <f t="shared" ref="BL55" si="488">AZ55+BL47</f>
        <v>8.9112948652080188</v>
      </c>
      <c r="BM55" s="626">
        <f t="shared" ref="BM55" si="489">BA55+BM47</f>
        <v>8.9112948652080188</v>
      </c>
      <c r="BN55" s="626">
        <f t="shared" ref="BN55" si="490">BB55+BN47</f>
        <v>8.9112948652080188</v>
      </c>
      <c r="BO55" s="626">
        <f t="shared" ref="BO55" si="491">BC55+BO47</f>
        <v>8.9112948652080188</v>
      </c>
      <c r="BP55" s="626">
        <f t="shared" ref="BP55" si="492">BD55+BP47</f>
        <v>8.9112948652080188</v>
      </c>
      <c r="BQ55" s="626">
        <f t="shared" ref="BQ55" si="493">BE55+BQ47</f>
        <v>8.9112948652080188</v>
      </c>
      <c r="BR55" s="626">
        <f t="shared" ref="BR55" si="494">BF55+BR47</f>
        <v>8.9112948652080188</v>
      </c>
      <c r="BS55" s="626">
        <f t="shared" ref="BS55" si="495">BG55+BS47</f>
        <v>8.9112948652080188</v>
      </c>
      <c r="BT55" s="626">
        <f t="shared" ref="BT55" si="496">BH55+BT47</f>
        <v>8.9112948652080188</v>
      </c>
      <c r="BU55" s="626">
        <f t="shared" ref="BU55" si="497">BI55+BU47</f>
        <v>8.9112948652080188</v>
      </c>
      <c r="BV55" s="626">
        <f t="shared" ref="BV55" si="498">BJ55+BV47</f>
        <v>8.9112948652080188</v>
      </c>
      <c r="BW55" s="626">
        <f>BK55+BW47</f>
        <v>8.9112948652080188</v>
      </c>
      <c r="BX55" s="626">
        <f t="shared" ref="BX55" si="499">BL55+BX47</f>
        <v>8.9112948652080188</v>
      </c>
      <c r="BY55" s="626">
        <f t="shared" ref="BY55" si="500">BM55+BY47</f>
        <v>8.9112948652080188</v>
      </c>
      <c r="BZ55" s="626">
        <f t="shared" ref="BZ55" si="501">BN55+BZ47</f>
        <v>8.9112948652080188</v>
      </c>
      <c r="CA55" s="626">
        <f t="shared" ref="CA55" si="502">BO55+CA47</f>
        <v>8.9112948652080188</v>
      </c>
      <c r="CB55" s="626">
        <f t="shared" ref="CB55" si="503">BP55+CB47</f>
        <v>8.9112948652080188</v>
      </c>
      <c r="CC55" s="626">
        <f t="shared" ref="CC55" si="504">BQ55+CC47</f>
        <v>8.9112948652080188</v>
      </c>
      <c r="CD55" s="626">
        <f t="shared" ref="CD55" si="505">BR55+CD47</f>
        <v>8.9112948652080188</v>
      </c>
      <c r="CE55" s="626">
        <f t="shared" ref="CE55" si="506">BS55+CE47</f>
        <v>8.9112948652080188</v>
      </c>
      <c r="CF55" s="626">
        <f t="shared" ref="CF55" si="507">BT55+CF47</f>
        <v>8.9112948652080188</v>
      </c>
      <c r="CG55" s="626">
        <f t="shared" ref="CG55" si="508">BU55+CG47</f>
        <v>8.9112948652080188</v>
      </c>
      <c r="CH55" s="626">
        <f t="shared" ref="CH55" si="509">BV55+CH47</f>
        <v>8.9112948652080188</v>
      </c>
    </row>
    <row r="56" spans="1:86" x14ac:dyDescent="0.2">
      <c r="A56" s="613">
        <v>44</v>
      </c>
      <c r="B56" s="210" t="s">
        <v>602</v>
      </c>
      <c r="C56" s="625">
        <f t="shared" ref="C56:BN56" si="510">C55+C54</f>
        <v>9.0463948652080184</v>
      </c>
      <c r="D56" s="625">
        <f t="shared" si="510"/>
        <v>12.828394865208018</v>
      </c>
      <c r="E56" s="625">
        <f t="shared" si="510"/>
        <v>26.425694865208015</v>
      </c>
      <c r="F56" s="625">
        <f t="shared" si="510"/>
        <v>40.788394865208019</v>
      </c>
      <c r="G56" s="625">
        <f t="shared" si="510"/>
        <v>47.046794865208021</v>
      </c>
      <c r="H56" s="625">
        <f t="shared" si="510"/>
        <v>50.918794865208021</v>
      </c>
      <c r="I56" s="625">
        <f t="shared" si="510"/>
        <v>37.411594865208016</v>
      </c>
      <c r="J56" s="625">
        <f t="shared" si="510"/>
        <v>25.029894865208021</v>
      </c>
      <c r="K56" s="625">
        <f t="shared" si="510"/>
        <v>14.359194865208018</v>
      </c>
      <c r="L56" s="625">
        <f t="shared" si="510"/>
        <v>9.9468948652080194</v>
      </c>
      <c r="M56" s="625">
        <f t="shared" si="510"/>
        <v>8.9112948652080188</v>
      </c>
      <c r="N56" s="625">
        <f t="shared" si="510"/>
        <v>8.9112948652080188</v>
      </c>
      <c r="O56" s="625">
        <f t="shared" si="510"/>
        <v>9.0463948652080184</v>
      </c>
      <c r="P56" s="625">
        <f t="shared" si="510"/>
        <v>12.828394865208018</v>
      </c>
      <c r="Q56" s="625">
        <f t="shared" si="510"/>
        <v>26.425694865208015</v>
      </c>
      <c r="R56" s="625">
        <f t="shared" si="510"/>
        <v>40.788394865208019</v>
      </c>
      <c r="S56" s="625">
        <f t="shared" si="510"/>
        <v>47.046794865208021</v>
      </c>
      <c r="T56" s="625">
        <f t="shared" si="510"/>
        <v>50.918794865208021</v>
      </c>
      <c r="U56" s="625">
        <f t="shared" si="510"/>
        <v>37.411594865208016</v>
      </c>
      <c r="V56" s="625">
        <f t="shared" si="510"/>
        <v>25.029894865208021</v>
      </c>
      <c r="W56" s="625">
        <f t="shared" si="510"/>
        <v>14.359194865208018</v>
      </c>
      <c r="X56" s="625">
        <f t="shared" si="510"/>
        <v>9.9468948652080194</v>
      </c>
      <c r="Y56" s="625">
        <f t="shared" si="510"/>
        <v>8.9112948652080188</v>
      </c>
      <c r="Z56" s="625">
        <f t="shared" si="510"/>
        <v>8.9112948652080188</v>
      </c>
      <c r="AA56" s="625">
        <f t="shared" si="510"/>
        <v>9.0463948652080184</v>
      </c>
      <c r="AB56" s="625">
        <f t="shared" si="510"/>
        <v>12.828394865208018</v>
      </c>
      <c r="AC56" s="625">
        <f t="shared" si="510"/>
        <v>26.425694865208015</v>
      </c>
      <c r="AD56" s="625">
        <f t="shared" si="510"/>
        <v>40.788394865208019</v>
      </c>
      <c r="AE56" s="625">
        <f t="shared" si="510"/>
        <v>47.046794865208021</v>
      </c>
      <c r="AF56" s="625">
        <f t="shared" si="510"/>
        <v>50.918794865208021</v>
      </c>
      <c r="AG56" s="625">
        <f t="shared" si="510"/>
        <v>37.411594865208016</v>
      </c>
      <c r="AH56" s="625">
        <f t="shared" si="510"/>
        <v>25.029894865208021</v>
      </c>
      <c r="AI56" s="625">
        <f t="shared" si="510"/>
        <v>14.359194865208018</v>
      </c>
      <c r="AJ56" s="625">
        <f t="shared" si="510"/>
        <v>9.9468948652080194</v>
      </c>
      <c r="AK56" s="625">
        <f t="shared" si="510"/>
        <v>8.9112948652080188</v>
      </c>
      <c r="AL56" s="625">
        <f t="shared" si="510"/>
        <v>8.9112948652080188</v>
      </c>
      <c r="AM56" s="625">
        <f t="shared" si="510"/>
        <v>9.0463948652080184</v>
      </c>
      <c r="AN56" s="625">
        <f t="shared" si="510"/>
        <v>12.828394865208018</v>
      </c>
      <c r="AO56" s="625">
        <f t="shared" si="510"/>
        <v>26.425694865208015</v>
      </c>
      <c r="AP56" s="625">
        <f t="shared" si="510"/>
        <v>40.788394865208019</v>
      </c>
      <c r="AQ56" s="625">
        <f t="shared" si="510"/>
        <v>47.046794865208021</v>
      </c>
      <c r="AR56" s="625">
        <f t="shared" si="510"/>
        <v>50.918794865208021</v>
      </c>
      <c r="AS56" s="625">
        <f t="shared" si="510"/>
        <v>37.411594865208016</v>
      </c>
      <c r="AT56" s="625">
        <f t="shared" si="510"/>
        <v>25.029894865208021</v>
      </c>
      <c r="AU56" s="625">
        <f t="shared" si="510"/>
        <v>14.359194865208018</v>
      </c>
      <c r="AV56" s="625">
        <f t="shared" si="510"/>
        <v>9.9468948652080194</v>
      </c>
      <c r="AW56" s="625">
        <f t="shared" si="510"/>
        <v>8.9112948652080188</v>
      </c>
      <c r="AX56" s="625">
        <f t="shared" si="510"/>
        <v>8.9112948652080188</v>
      </c>
      <c r="AY56" s="625">
        <f t="shared" si="510"/>
        <v>9.0463948652080184</v>
      </c>
      <c r="AZ56" s="625">
        <f t="shared" si="510"/>
        <v>12.828394865208018</v>
      </c>
      <c r="BA56" s="625">
        <f t="shared" si="510"/>
        <v>26.425694865208015</v>
      </c>
      <c r="BB56" s="625">
        <f t="shared" si="510"/>
        <v>40.788394865208019</v>
      </c>
      <c r="BC56" s="625">
        <f t="shared" si="510"/>
        <v>47.046794865208021</v>
      </c>
      <c r="BD56" s="625">
        <f t="shared" si="510"/>
        <v>50.918794865208021</v>
      </c>
      <c r="BE56" s="625">
        <f t="shared" si="510"/>
        <v>37.411594865208016</v>
      </c>
      <c r="BF56" s="625">
        <f t="shared" si="510"/>
        <v>25.029894865208021</v>
      </c>
      <c r="BG56" s="625">
        <f t="shared" si="510"/>
        <v>14.359194865208018</v>
      </c>
      <c r="BH56" s="625">
        <f t="shared" si="510"/>
        <v>9.9468948652080194</v>
      </c>
      <c r="BI56" s="625">
        <f t="shared" si="510"/>
        <v>8.9112948652080188</v>
      </c>
      <c r="BJ56" s="625">
        <f t="shared" si="510"/>
        <v>8.9112948652080188</v>
      </c>
      <c r="BK56" s="625">
        <f t="shared" si="510"/>
        <v>9.0463948652080184</v>
      </c>
      <c r="BL56" s="625">
        <f t="shared" si="510"/>
        <v>12.828394865208018</v>
      </c>
      <c r="BM56" s="625">
        <f t="shared" si="510"/>
        <v>26.425694865208015</v>
      </c>
      <c r="BN56" s="625">
        <f t="shared" si="510"/>
        <v>40.788394865208019</v>
      </c>
      <c r="BO56" s="625">
        <f t="shared" ref="BO56:CH56" si="511">BO55+BO54</f>
        <v>47.046794865208021</v>
      </c>
      <c r="BP56" s="625">
        <f t="shared" si="511"/>
        <v>50.918794865208021</v>
      </c>
      <c r="BQ56" s="625">
        <f t="shared" si="511"/>
        <v>37.411594865208016</v>
      </c>
      <c r="BR56" s="625">
        <f t="shared" si="511"/>
        <v>25.029894865208021</v>
      </c>
      <c r="BS56" s="625">
        <f t="shared" si="511"/>
        <v>14.359194865208018</v>
      </c>
      <c r="BT56" s="625">
        <f t="shared" si="511"/>
        <v>9.9468948652080194</v>
      </c>
      <c r="BU56" s="625">
        <f t="shared" si="511"/>
        <v>8.9112948652080188</v>
      </c>
      <c r="BV56" s="625">
        <f t="shared" si="511"/>
        <v>8.9112948652080188</v>
      </c>
      <c r="BW56" s="625">
        <f t="shared" si="511"/>
        <v>9.0463948652080184</v>
      </c>
      <c r="BX56" s="625">
        <f t="shared" si="511"/>
        <v>12.828394865208018</v>
      </c>
      <c r="BY56" s="625">
        <f t="shared" si="511"/>
        <v>26.425694865208015</v>
      </c>
      <c r="BZ56" s="625">
        <f t="shared" si="511"/>
        <v>40.788394865208019</v>
      </c>
      <c r="CA56" s="625">
        <f t="shared" si="511"/>
        <v>47.046794865208021</v>
      </c>
      <c r="CB56" s="625">
        <f t="shared" si="511"/>
        <v>50.918794865208021</v>
      </c>
      <c r="CC56" s="625">
        <f t="shared" si="511"/>
        <v>37.411594865208016</v>
      </c>
      <c r="CD56" s="625">
        <f t="shared" si="511"/>
        <v>25.029894865208021</v>
      </c>
      <c r="CE56" s="625">
        <f t="shared" si="511"/>
        <v>14.359194865208018</v>
      </c>
      <c r="CF56" s="625">
        <f t="shared" si="511"/>
        <v>9.9468948652080194</v>
      </c>
      <c r="CG56" s="625">
        <f t="shared" si="511"/>
        <v>8.9112948652080188</v>
      </c>
      <c r="CH56" s="625">
        <f t="shared" si="511"/>
        <v>8.9112948652080188</v>
      </c>
    </row>
    <row r="57" spans="1:86" x14ac:dyDescent="0.2">
      <c r="A57" s="613">
        <v>45</v>
      </c>
      <c r="B57" s="210" t="s">
        <v>584</v>
      </c>
      <c r="C57" s="627">
        <f>'Bill Frequency'!C$20</f>
        <v>16763</v>
      </c>
      <c r="D57" s="628">
        <f>'Bill Frequency'!D$20</f>
        <v>16900</v>
      </c>
      <c r="E57" s="628">
        <f>'Bill Frequency'!E$20</f>
        <v>16920</v>
      </c>
      <c r="F57" s="628">
        <f>'Bill Frequency'!F$20</f>
        <v>17698</v>
      </c>
      <c r="G57" s="628">
        <f>'Bill Frequency'!G$20</f>
        <v>17809</v>
      </c>
      <c r="H57" s="628">
        <f>'Bill Frequency'!H$20</f>
        <v>16330</v>
      </c>
      <c r="I57" s="628">
        <f>'Bill Frequency'!I$20</f>
        <v>19213</v>
      </c>
      <c r="J57" s="628">
        <f>'Bill Frequency'!J$20</f>
        <v>17745</v>
      </c>
      <c r="K57" s="628">
        <f>'Bill Frequency'!K$20</f>
        <v>17372</v>
      </c>
      <c r="L57" s="628">
        <f>'Bill Frequency'!L$20</f>
        <v>17239</v>
      </c>
      <c r="M57" s="628">
        <f>'Bill Frequency'!M$20</f>
        <v>17099</v>
      </c>
      <c r="N57" s="629">
        <f>'Bill Frequency'!N$20</f>
        <v>16768</v>
      </c>
      <c r="O57" s="630">
        <f>C57+O46</f>
        <v>16763</v>
      </c>
      <c r="P57" s="630">
        <f t="shared" ref="P57" si="512">D57+P46</f>
        <v>16900</v>
      </c>
      <c r="Q57" s="630">
        <f t="shared" ref="Q57" si="513">E57+Q46</f>
        <v>16920</v>
      </c>
      <c r="R57" s="630">
        <f t="shared" ref="R57" si="514">F57+R46</f>
        <v>17698</v>
      </c>
      <c r="S57" s="630">
        <f t="shared" ref="S57" si="515">G57+S46</f>
        <v>17809</v>
      </c>
      <c r="T57" s="630">
        <f t="shared" ref="T57" si="516">H57+T46</f>
        <v>16330</v>
      </c>
      <c r="U57" s="630">
        <f t="shared" ref="U57" si="517">I57+U46</f>
        <v>19213</v>
      </c>
      <c r="V57" s="630">
        <f t="shared" ref="V57" si="518">J57+V46</f>
        <v>17745</v>
      </c>
      <c r="W57" s="630">
        <f t="shared" ref="W57" si="519">K57+W46</f>
        <v>17372</v>
      </c>
      <c r="X57" s="630">
        <f t="shared" ref="X57" si="520">L57+X46</f>
        <v>17239</v>
      </c>
      <c r="Y57" s="630">
        <f t="shared" ref="Y57" si="521">M57+Y46</f>
        <v>17099</v>
      </c>
      <c r="Z57" s="630">
        <f t="shared" ref="Z57" si="522">N57+Z46</f>
        <v>16768</v>
      </c>
      <c r="AA57" s="630">
        <f>O57+AA46</f>
        <v>16763</v>
      </c>
      <c r="AB57" s="630">
        <f t="shared" ref="AB57" si="523">P57+AB46</f>
        <v>16900</v>
      </c>
      <c r="AC57" s="630">
        <f t="shared" ref="AC57" si="524">Q57+AC46</f>
        <v>16920</v>
      </c>
      <c r="AD57" s="630">
        <f t="shared" ref="AD57" si="525">R57+AD46</f>
        <v>17698</v>
      </c>
      <c r="AE57" s="630">
        <f t="shared" ref="AE57" si="526">S57+AE46</f>
        <v>17809</v>
      </c>
      <c r="AF57" s="630">
        <f t="shared" ref="AF57" si="527">T57+AF46</f>
        <v>16330</v>
      </c>
      <c r="AG57" s="630">
        <f t="shared" ref="AG57" si="528">U57+AG46</f>
        <v>19213</v>
      </c>
      <c r="AH57" s="630">
        <f t="shared" ref="AH57" si="529">V57+AH46</f>
        <v>17745</v>
      </c>
      <c r="AI57" s="630">
        <f t="shared" ref="AI57" si="530">W57+AI46</f>
        <v>17372</v>
      </c>
      <c r="AJ57" s="630">
        <f t="shared" ref="AJ57" si="531">X57+AJ46</f>
        <v>17239</v>
      </c>
      <c r="AK57" s="630">
        <f t="shared" ref="AK57" si="532">Y57+AK46</f>
        <v>17099</v>
      </c>
      <c r="AL57" s="630">
        <f t="shared" ref="AL57" si="533">Z57+AL46</f>
        <v>16768</v>
      </c>
      <c r="AM57" s="630">
        <f>AA57+AM46</f>
        <v>16763</v>
      </c>
      <c r="AN57" s="630">
        <f t="shared" ref="AN57" si="534">AB57+AN46</f>
        <v>16900</v>
      </c>
      <c r="AO57" s="630">
        <f t="shared" ref="AO57" si="535">AC57+AO46</f>
        <v>16920</v>
      </c>
      <c r="AP57" s="630">
        <f t="shared" ref="AP57" si="536">AD57+AP46</f>
        <v>17698</v>
      </c>
      <c r="AQ57" s="630">
        <f t="shared" ref="AQ57" si="537">AE57+AQ46</f>
        <v>17809</v>
      </c>
      <c r="AR57" s="630">
        <f t="shared" ref="AR57" si="538">AF57+AR46</f>
        <v>16330</v>
      </c>
      <c r="AS57" s="630">
        <f t="shared" ref="AS57" si="539">AG57+AS46</f>
        <v>19213</v>
      </c>
      <c r="AT57" s="630">
        <f t="shared" ref="AT57" si="540">AH57+AT46</f>
        <v>17745</v>
      </c>
      <c r="AU57" s="630">
        <f t="shared" ref="AU57" si="541">AI57+AU46</f>
        <v>17372</v>
      </c>
      <c r="AV57" s="630">
        <f t="shared" ref="AV57" si="542">AJ57+AV46</f>
        <v>17239</v>
      </c>
      <c r="AW57" s="630">
        <f t="shared" ref="AW57" si="543">AK57+AW46</f>
        <v>17099</v>
      </c>
      <c r="AX57" s="630">
        <f t="shared" ref="AX57" si="544">AL57+AX46</f>
        <v>16768</v>
      </c>
      <c r="AY57" s="630">
        <f>AM57+AY46</f>
        <v>16763</v>
      </c>
      <c r="AZ57" s="630">
        <f t="shared" ref="AZ57" si="545">AN57+AZ46</f>
        <v>16900</v>
      </c>
      <c r="BA57" s="630">
        <f t="shared" ref="BA57" si="546">AO57+BA46</f>
        <v>16920</v>
      </c>
      <c r="BB57" s="630">
        <f t="shared" ref="BB57" si="547">AP57+BB46</f>
        <v>17698</v>
      </c>
      <c r="BC57" s="630">
        <f t="shared" ref="BC57" si="548">AQ57+BC46</f>
        <v>17809</v>
      </c>
      <c r="BD57" s="630">
        <f t="shared" ref="BD57" si="549">AR57+BD46</f>
        <v>16330</v>
      </c>
      <c r="BE57" s="630">
        <f t="shared" ref="BE57" si="550">AS57+BE46</f>
        <v>19213</v>
      </c>
      <c r="BF57" s="630">
        <f t="shared" ref="BF57" si="551">AT57+BF46</f>
        <v>17745</v>
      </c>
      <c r="BG57" s="630">
        <f t="shared" ref="BG57" si="552">AU57+BG46</f>
        <v>17372</v>
      </c>
      <c r="BH57" s="630">
        <f t="shared" ref="BH57" si="553">AV57+BH46</f>
        <v>17239</v>
      </c>
      <c r="BI57" s="630">
        <f t="shared" ref="BI57" si="554">AW57+BI46</f>
        <v>17099</v>
      </c>
      <c r="BJ57" s="630">
        <f t="shared" ref="BJ57" si="555">AX57+BJ46</f>
        <v>16768</v>
      </c>
      <c r="BK57" s="630">
        <f>AY57+BK46</f>
        <v>16763</v>
      </c>
      <c r="BL57" s="630">
        <f t="shared" ref="BL57" si="556">AZ57+BL46</f>
        <v>16900</v>
      </c>
      <c r="BM57" s="630">
        <f t="shared" ref="BM57" si="557">BA57+BM46</f>
        <v>16920</v>
      </c>
      <c r="BN57" s="630">
        <f t="shared" ref="BN57" si="558">BB57+BN46</f>
        <v>17698</v>
      </c>
      <c r="BO57" s="630">
        <f t="shared" ref="BO57" si="559">BC57+BO46</f>
        <v>17809</v>
      </c>
      <c r="BP57" s="630">
        <f t="shared" ref="BP57" si="560">BD57+BP46</f>
        <v>16330</v>
      </c>
      <c r="BQ57" s="630">
        <f t="shared" ref="BQ57" si="561">BE57+BQ46</f>
        <v>19213</v>
      </c>
      <c r="BR57" s="630">
        <f t="shared" ref="BR57" si="562">BF57+BR46</f>
        <v>17745</v>
      </c>
      <c r="BS57" s="630">
        <f t="shared" ref="BS57" si="563">BG57+BS46</f>
        <v>17372</v>
      </c>
      <c r="BT57" s="630">
        <f t="shared" ref="BT57" si="564">BH57+BT46</f>
        <v>17239</v>
      </c>
      <c r="BU57" s="630">
        <f t="shared" ref="BU57" si="565">BI57+BU46</f>
        <v>17099</v>
      </c>
      <c r="BV57" s="630">
        <f t="shared" ref="BV57" si="566">BJ57+BV46</f>
        <v>16768</v>
      </c>
      <c r="BW57" s="630">
        <f>BK57+BW46</f>
        <v>16763</v>
      </c>
      <c r="BX57" s="630">
        <f t="shared" ref="BX57" si="567">BL57+BX46</f>
        <v>16900</v>
      </c>
      <c r="BY57" s="630">
        <f t="shared" ref="BY57" si="568">BM57+BY46</f>
        <v>16920</v>
      </c>
      <c r="BZ57" s="630">
        <f t="shared" ref="BZ57" si="569">BN57+BZ46</f>
        <v>17698</v>
      </c>
      <c r="CA57" s="630">
        <f t="shared" ref="CA57" si="570">BO57+CA46</f>
        <v>17809</v>
      </c>
      <c r="CB57" s="630">
        <f t="shared" ref="CB57" si="571">BP57+CB46</f>
        <v>16330</v>
      </c>
      <c r="CC57" s="630">
        <f t="shared" ref="CC57" si="572">BQ57+CC46</f>
        <v>19213</v>
      </c>
      <c r="CD57" s="630">
        <f t="shared" ref="CD57" si="573">BR57+CD46</f>
        <v>17745</v>
      </c>
      <c r="CE57" s="630">
        <f t="shared" ref="CE57" si="574">BS57+CE46</f>
        <v>17372</v>
      </c>
      <c r="CF57" s="630">
        <f t="shared" ref="CF57" si="575">BT57+CF46</f>
        <v>17239</v>
      </c>
      <c r="CG57" s="630">
        <f t="shared" ref="CG57" si="576">BU57+CG46</f>
        <v>17099</v>
      </c>
      <c r="CH57" s="630">
        <f t="shared" ref="CH57" si="577">BV57+CH46</f>
        <v>16768</v>
      </c>
    </row>
    <row r="58" spans="1:86" x14ac:dyDescent="0.2">
      <c r="A58" s="613">
        <v>46</v>
      </c>
      <c r="B58" s="210" t="s">
        <v>585</v>
      </c>
      <c r="C58" s="44">
        <f t="shared" ref="C58:N58" si="578">C57*C56</f>
        <v>151644.71712548201</v>
      </c>
      <c r="D58" s="44">
        <f t="shared" si="578"/>
        <v>216799.87322201551</v>
      </c>
      <c r="E58" s="44">
        <f t="shared" si="578"/>
        <v>447122.75711931963</v>
      </c>
      <c r="F58" s="44">
        <f t="shared" si="578"/>
        <v>721873.01232445147</v>
      </c>
      <c r="G58" s="44">
        <f t="shared" si="578"/>
        <v>837856.36975448963</v>
      </c>
      <c r="H58" s="44">
        <f t="shared" si="578"/>
        <v>831503.92014884693</v>
      </c>
      <c r="I58" s="44">
        <f t="shared" si="578"/>
        <v>718788.97214524157</v>
      </c>
      <c r="J58" s="44">
        <f t="shared" si="578"/>
        <v>444155.48438311636</v>
      </c>
      <c r="K58" s="44">
        <f t="shared" si="578"/>
        <v>249447.93319839367</v>
      </c>
      <c r="L58" s="44">
        <f t="shared" si="578"/>
        <v>171474.52058132103</v>
      </c>
      <c r="M58" s="44">
        <f t="shared" si="578"/>
        <v>152374.23090019191</v>
      </c>
      <c r="N58" s="44">
        <f t="shared" si="578"/>
        <v>149424.59229980805</v>
      </c>
      <c r="O58" s="474">
        <f>O57*O56</f>
        <v>151644.71712548201</v>
      </c>
      <c r="P58" s="474">
        <f t="shared" ref="P58:Z58" si="579">P57*P56</f>
        <v>216799.87322201551</v>
      </c>
      <c r="Q58" s="474">
        <f t="shared" si="579"/>
        <v>447122.75711931963</v>
      </c>
      <c r="R58" s="474">
        <f t="shared" si="579"/>
        <v>721873.01232445147</v>
      </c>
      <c r="S58" s="474">
        <f t="shared" si="579"/>
        <v>837856.36975448963</v>
      </c>
      <c r="T58" s="474">
        <f t="shared" si="579"/>
        <v>831503.92014884693</v>
      </c>
      <c r="U58" s="474">
        <f t="shared" si="579"/>
        <v>718788.97214524157</v>
      </c>
      <c r="V58" s="474">
        <f t="shared" si="579"/>
        <v>444155.48438311636</v>
      </c>
      <c r="W58" s="474">
        <f t="shared" si="579"/>
        <v>249447.93319839367</v>
      </c>
      <c r="X58" s="474">
        <f t="shared" si="579"/>
        <v>171474.52058132103</v>
      </c>
      <c r="Y58" s="474">
        <f t="shared" si="579"/>
        <v>152374.23090019191</v>
      </c>
      <c r="Z58" s="474">
        <f t="shared" si="579"/>
        <v>149424.59229980805</v>
      </c>
      <c r="AA58" s="474">
        <f>AA57*AA56</f>
        <v>151644.71712548201</v>
      </c>
      <c r="AB58" s="474">
        <f t="shared" ref="AB58:AL58" si="580">AB57*AB56</f>
        <v>216799.87322201551</v>
      </c>
      <c r="AC58" s="474">
        <f t="shared" si="580"/>
        <v>447122.75711931963</v>
      </c>
      <c r="AD58" s="474">
        <f t="shared" si="580"/>
        <v>721873.01232445147</v>
      </c>
      <c r="AE58" s="474">
        <f t="shared" si="580"/>
        <v>837856.36975448963</v>
      </c>
      <c r="AF58" s="474">
        <f t="shared" si="580"/>
        <v>831503.92014884693</v>
      </c>
      <c r="AG58" s="474">
        <f t="shared" si="580"/>
        <v>718788.97214524157</v>
      </c>
      <c r="AH58" s="474">
        <f t="shared" si="580"/>
        <v>444155.48438311636</v>
      </c>
      <c r="AI58" s="474">
        <f t="shared" si="580"/>
        <v>249447.93319839367</v>
      </c>
      <c r="AJ58" s="474">
        <f t="shared" si="580"/>
        <v>171474.52058132103</v>
      </c>
      <c r="AK58" s="474">
        <f t="shared" si="580"/>
        <v>152374.23090019191</v>
      </c>
      <c r="AL58" s="474">
        <f t="shared" si="580"/>
        <v>149424.59229980805</v>
      </c>
      <c r="AM58" s="474">
        <f>AM57*AM56</f>
        <v>151644.71712548201</v>
      </c>
      <c r="AN58" s="474">
        <f t="shared" ref="AN58:AX58" si="581">AN57*AN56</f>
        <v>216799.87322201551</v>
      </c>
      <c r="AO58" s="474">
        <f t="shared" si="581"/>
        <v>447122.75711931963</v>
      </c>
      <c r="AP58" s="474">
        <f t="shared" si="581"/>
        <v>721873.01232445147</v>
      </c>
      <c r="AQ58" s="474">
        <f t="shared" si="581"/>
        <v>837856.36975448963</v>
      </c>
      <c r="AR58" s="474">
        <f t="shared" si="581"/>
        <v>831503.92014884693</v>
      </c>
      <c r="AS58" s="474">
        <f t="shared" si="581"/>
        <v>718788.97214524157</v>
      </c>
      <c r="AT58" s="474">
        <f t="shared" si="581"/>
        <v>444155.48438311636</v>
      </c>
      <c r="AU58" s="474">
        <f t="shared" si="581"/>
        <v>249447.93319839367</v>
      </c>
      <c r="AV58" s="474">
        <f t="shared" si="581"/>
        <v>171474.52058132103</v>
      </c>
      <c r="AW58" s="474">
        <f t="shared" si="581"/>
        <v>152374.23090019191</v>
      </c>
      <c r="AX58" s="474">
        <f t="shared" si="581"/>
        <v>149424.59229980805</v>
      </c>
      <c r="AY58" s="474">
        <f>AY57*AY56</f>
        <v>151644.71712548201</v>
      </c>
      <c r="AZ58" s="474">
        <f t="shared" ref="AZ58:BJ58" si="582">AZ57*AZ56</f>
        <v>216799.87322201551</v>
      </c>
      <c r="BA58" s="474">
        <f t="shared" si="582"/>
        <v>447122.75711931963</v>
      </c>
      <c r="BB58" s="474">
        <f t="shared" si="582"/>
        <v>721873.01232445147</v>
      </c>
      <c r="BC58" s="474">
        <f t="shared" si="582"/>
        <v>837856.36975448963</v>
      </c>
      <c r="BD58" s="474">
        <f t="shared" si="582"/>
        <v>831503.92014884693</v>
      </c>
      <c r="BE58" s="474">
        <f t="shared" si="582"/>
        <v>718788.97214524157</v>
      </c>
      <c r="BF58" s="474">
        <f t="shared" si="582"/>
        <v>444155.48438311636</v>
      </c>
      <c r="BG58" s="474">
        <f t="shared" si="582"/>
        <v>249447.93319839367</v>
      </c>
      <c r="BH58" s="474">
        <f t="shared" si="582"/>
        <v>171474.52058132103</v>
      </c>
      <c r="BI58" s="474">
        <f t="shared" si="582"/>
        <v>152374.23090019191</v>
      </c>
      <c r="BJ58" s="474">
        <f t="shared" si="582"/>
        <v>149424.59229980805</v>
      </c>
      <c r="BK58" s="474">
        <f>BK57*BK56</f>
        <v>151644.71712548201</v>
      </c>
      <c r="BL58" s="474">
        <f t="shared" ref="BL58:BV58" si="583">BL57*BL56</f>
        <v>216799.87322201551</v>
      </c>
      <c r="BM58" s="474">
        <f t="shared" si="583"/>
        <v>447122.75711931963</v>
      </c>
      <c r="BN58" s="474">
        <f t="shared" si="583"/>
        <v>721873.01232445147</v>
      </c>
      <c r="BO58" s="474">
        <f t="shared" si="583"/>
        <v>837856.36975448963</v>
      </c>
      <c r="BP58" s="474">
        <f t="shared" si="583"/>
        <v>831503.92014884693</v>
      </c>
      <c r="BQ58" s="474">
        <f t="shared" si="583"/>
        <v>718788.97214524157</v>
      </c>
      <c r="BR58" s="474">
        <f t="shared" si="583"/>
        <v>444155.48438311636</v>
      </c>
      <c r="BS58" s="474">
        <f t="shared" si="583"/>
        <v>249447.93319839367</v>
      </c>
      <c r="BT58" s="474">
        <f t="shared" si="583"/>
        <v>171474.52058132103</v>
      </c>
      <c r="BU58" s="474">
        <f t="shared" si="583"/>
        <v>152374.23090019191</v>
      </c>
      <c r="BV58" s="474">
        <f t="shared" si="583"/>
        <v>149424.59229980805</v>
      </c>
      <c r="BW58" s="474">
        <f>BW57*BW56</f>
        <v>151644.71712548201</v>
      </c>
      <c r="BX58" s="474">
        <f t="shared" ref="BX58:CH58" si="584">BX57*BX56</f>
        <v>216799.87322201551</v>
      </c>
      <c r="BY58" s="474">
        <f t="shared" si="584"/>
        <v>447122.75711931963</v>
      </c>
      <c r="BZ58" s="474">
        <f t="shared" si="584"/>
        <v>721873.01232445147</v>
      </c>
      <c r="CA58" s="474">
        <f t="shared" si="584"/>
        <v>837856.36975448963</v>
      </c>
      <c r="CB58" s="474">
        <f t="shared" si="584"/>
        <v>831503.92014884693</v>
      </c>
      <c r="CC58" s="474">
        <f t="shared" si="584"/>
        <v>718788.97214524157</v>
      </c>
      <c r="CD58" s="474">
        <f t="shared" si="584"/>
        <v>444155.48438311636</v>
      </c>
      <c r="CE58" s="474">
        <f t="shared" si="584"/>
        <v>249447.93319839367</v>
      </c>
      <c r="CF58" s="474">
        <f t="shared" si="584"/>
        <v>171474.52058132103</v>
      </c>
      <c r="CG58" s="474">
        <f t="shared" si="584"/>
        <v>152374.23090019191</v>
      </c>
      <c r="CH58" s="474">
        <f t="shared" si="584"/>
        <v>149424.59229980805</v>
      </c>
    </row>
    <row r="59" spans="1:86" x14ac:dyDescent="0.2">
      <c r="A59" s="613">
        <v>47</v>
      </c>
      <c r="B59" s="210" t="s">
        <v>586</v>
      </c>
      <c r="C59" s="631">
        <f>'Bill Frequency'!C$24+'Contract &amp; Vol Adj'!C24</f>
        <v>182598.63250000001</v>
      </c>
      <c r="D59" s="632">
        <f>'Bill Frequency'!D$24+'Contract &amp; Vol Adj'!D24</f>
        <v>239285.74359999999</v>
      </c>
      <c r="E59" s="632">
        <f>'Bill Frequency'!E$24+'Contract &amp; Vol Adj'!E24</f>
        <v>390495.73129999998</v>
      </c>
      <c r="F59" s="632">
        <f>'Bill Frequency'!F$24+'Contract &amp; Vol Adj'!F24</f>
        <v>702395.3574000001</v>
      </c>
      <c r="G59" s="632">
        <f>'Bill Frequency'!G$24+'Contract &amp; Vol Adj'!G24</f>
        <v>972826.81929999997</v>
      </c>
      <c r="H59" s="632">
        <f>'Bill Frequency'!H$24+'Contract &amp; Vol Adj'!H24</f>
        <v>842061.66139999987</v>
      </c>
      <c r="I59" s="632">
        <f>'Bill Frequency'!I$24+'Contract &amp; Vol Adj'!I24</f>
        <v>1004152.1422999999</v>
      </c>
      <c r="J59" s="632">
        <f>'Bill Frequency'!J$24+'Contract &amp; Vol Adj'!J24</f>
        <v>400121.60649999999</v>
      </c>
      <c r="K59" s="632">
        <f>'Bill Frequency'!K$24+'Contract &amp; Vol Adj'!K24</f>
        <v>197959.8057</v>
      </c>
      <c r="L59" s="632">
        <f>'Bill Frequency'!L$24+'Contract &amp; Vol Adj'!L24</f>
        <v>149970.5148</v>
      </c>
      <c r="M59" s="632">
        <f>'Bill Frequency'!M$24+'Contract &amp; Vol Adj'!M24</f>
        <v>140981.34359999999</v>
      </c>
      <c r="N59" s="633">
        <f>'Bill Frequency'!N$24+'Contract &amp; Vol Adj'!N24</f>
        <v>160817.47959999999</v>
      </c>
      <c r="O59" s="605" t="s">
        <v>596</v>
      </c>
      <c r="P59" s="605" t="s">
        <v>596</v>
      </c>
      <c r="Q59" s="605" t="s">
        <v>596</v>
      </c>
      <c r="R59" s="605" t="s">
        <v>596</v>
      </c>
      <c r="S59" s="605" t="s">
        <v>596</v>
      </c>
      <c r="T59" s="605" t="s">
        <v>596</v>
      </c>
      <c r="U59" s="605" t="s">
        <v>596</v>
      </c>
      <c r="V59" s="605" t="s">
        <v>596</v>
      </c>
      <c r="W59" s="605" t="s">
        <v>596</v>
      </c>
      <c r="X59" s="605" t="s">
        <v>596</v>
      </c>
      <c r="Y59" s="605" t="s">
        <v>596</v>
      </c>
      <c r="Z59" s="605" t="s">
        <v>596</v>
      </c>
      <c r="AA59" s="605" t="s">
        <v>596</v>
      </c>
      <c r="AB59" s="605" t="s">
        <v>596</v>
      </c>
      <c r="AC59" s="605" t="s">
        <v>596</v>
      </c>
      <c r="AD59" s="605" t="s">
        <v>596</v>
      </c>
      <c r="AE59" s="605" t="s">
        <v>596</v>
      </c>
      <c r="AF59" s="605" t="s">
        <v>596</v>
      </c>
      <c r="AG59" s="605" t="s">
        <v>596</v>
      </c>
      <c r="AH59" s="605" t="s">
        <v>596</v>
      </c>
      <c r="AI59" s="605" t="s">
        <v>596</v>
      </c>
      <c r="AJ59" s="605" t="s">
        <v>596</v>
      </c>
      <c r="AK59" s="605" t="s">
        <v>596</v>
      </c>
      <c r="AL59" s="605" t="s">
        <v>596</v>
      </c>
      <c r="AM59" s="605" t="s">
        <v>596</v>
      </c>
      <c r="AN59" s="605" t="s">
        <v>596</v>
      </c>
      <c r="AO59" s="605" t="s">
        <v>596</v>
      </c>
      <c r="AP59" s="605" t="s">
        <v>596</v>
      </c>
      <c r="AQ59" s="605" t="s">
        <v>596</v>
      </c>
      <c r="AR59" s="605" t="s">
        <v>596</v>
      </c>
      <c r="AS59" s="605" t="s">
        <v>596</v>
      </c>
      <c r="AT59" s="605" t="s">
        <v>596</v>
      </c>
      <c r="AU59" s="605" t="s">
        <v>596</v>
      </c>
      <c r="AV59" s="605" t="s">
        <v>596</v>
      </c>
      <c r="AW59" s="605" t="s">
        <v>596</v>
      </c>
      <c r="AX59" s="605" t="s">
        <v>596</v>
      </c>
      <c r="AY59" s="605" t="s">
        <v>596</v>
      </c>
      <c r="AZ59" s="605" t="s">
        <v>596</v>
      </c>
      <c r="BA59" s="605" t="s">
        <v>596</v>
      </c>
      <c r="BB59" s="605" t="s">
        <v>596</v>
      </c>
      <c r="BC59" s="605" t="s">
        <v>596</v>
      </c>
      <c r="BD59" s="605" t="s">
        <v>596</v>
      </c>
      <c r="BE59" s="605" t="s">
        <v>596</v>
      </c>
      <c r="BF59" s="605" t="s">
        <v>596</v>
      </c>
      <c r="BG59" s="605" t="s">
        <v>596</v>
      </c>
      <c r="BH59" s="605" t="s">
        <v>596</v>
      </c>
      <c r="BI59" s="605" t="s">
        <v>596</v>
      </c>
      <c r="BJ59" s="605" t="s">
        <v>596</v>
      </c>
      <c r="BK59" s="605" t="s">
        <v>596</v>
      </c>
      <c r="BL59" s="605" t="s">
        <v>596</v>
      </c>
      <c r="BM59" s="605" t="s">
        <v>596</v>
      </c>
      <c r="BN59" s="605" t="s">
        <v>596</v>
      </c>
      <c r="BO59" s="605" t="s">
        <v>596</v>
      </c>
      <c r="BP59" s="605" t="s">
        <v>596</v>
      </c>
      <c r="BQ59" s="605" t="s">
        <v>596</v>
      </c>
      <c r="BR59" s="605" t="s">
        <v>596</v>
      </c>
      <c r="BS59" s="605" t="s">
        <v>596</v>
      </c>
      <c r="BT59" s="605" t="s">
        <v>596</v>
      </c>
      <c r="BU59" s="605" t="s">
        <v>596</v>
      </c>
      <c r="BV59" s="605" t="s">
        <v>596</v>
      </c>
      <c r="BW59" s="605" t="s">
        <v>596</v>
      </c>
      <c r="BX59" s="605" t="s">
        <v>596</v>
      </c>
      <c r="BY59" s="605" t="s">
        <v>596</v>
      </c>
      <c r="BZ59" s="605" t="s">
        <v>596</v>
      </c>
      <c r="CA59" s="605" t="s">
        <v>596</v>
      </c>
      <c r="CB59" s="605" t="s">
        <v>596</v>
      </c>
      <c r="CC59" s="605" t="s">
        <v>596</v>
      </c>
      <c r="CD59" s="605" t="s">
        <v>596</v>
      </c>
      <c r="CE59" s="605" t="s">
        <v>596</v>
      </c>
      <c r="CF59" s="605" t="s">
        <v>596</v>
      </c>
      <c r="CG59" s="605" t="s">
        <v>596</v>
      </c>
      <c r="CH59" s="605" t="s">
        <v>596</v>
      </c>
    </row>
    <row r="60" spans="1:86" x14ac:dyDescent="0.2">
      <c r="A60" s="613">
        <v>48</v>
      </c>
      <c r="B60" s="210" t="s">
        <v>601</v>
      </c>
      <c r="C60" s="45">
        <f>C57*(C53*C$15+C55)</f>
        <v>166739.05371671246</v>
      </c>
      <c r="D60" s="45">
        <f t="shared" ref="D60:BO60" si="585">D57*(D53*D$15+D55)</f>
        <v>329414.31434237049</v>
      </c>
      <c r="E60" s="45">
        <f t="shared" si="585"/>
        <v>557584.95525632612</v>
      </c>
      <c r="F60" s="45">
        <f t="shared" si="585"/>
        <v>795978.9285220349</v>
      </c>
      <c r="G60" s="45">
        <f t="shared" si="585"/>
        <v>898795.11615429504</v>
      </c>
      <c r="H60" s="45">
        <f t="shared" si="585"/>
        <v>734452.2489978997</v>
      </c>
      <c r="I60" s="45">
        <f t="shared" si="585"/>
        <v>608062.49757377419</v>
      </c>
      <c r="J60" s="45">
        <f t="shared" si="585"/>
        <v>330704.91111969721</v>
      </c>
      <c r="K60" s="45">
        <f t="shared" si="585"/>
        <v>204083.07037261929</v>
      </c>
      <c r="L60" s="45">
        <f t="shared" si="585"/>
        <v>154397.98358736001</v>
      </c>
      <c r="M60" s="45">
        <f t="shared" si="585"/>
        <v>152374.23090019191</v>
      </c>
      <c r="N60" s="45">
        <f t="shared" si="585"/>
        <v>149424.59229980805</v>
      </c>
      <c r="O60" s="45">
        <f t="shared" si="585"/>
        <v>166739.05544091994</v>
      </c>
      <c r="P60" s="45">
        <f t="shared" si="585"/>
        <v>329414.33210325154</v>
      </c>
      <c r="Q60" s="45">
        <f t="shared" si="585"/>
        <v>557584.99566285603</v>
      </c>
      <c r="R60" s="45">
        <f t="shared" si="585"/>
        <v>795978.99191873393</v>
      </c>
      <c r="S60" s="45">
        <f t="shared" si="585"/>
        <v>898795.18966509926</v>
      </c>
      <c r="T60" s="45">
        <f t="shared" si="585"/>
        <v>734452.30749423243</v>
      </c>
      <c r="U60" s="45">
        <f t="shared" si="585"/>
        <v>608062.5409644586</v>
      </c>
      <c r="V60" s="45">
        <f t="shared" si="585"/>
        <v>330704.92826083692</v>
      </c>
      <c r="W60" s="45">
        <f t="shared" si="585"/>
        <v>204083.07526702885</v>
      </c>
      <c r="X60" s="45">
        <f t="shared" si="585"/>
        <v>154397.98366445425</v>
      </c>
      <c r="Y60" s="45">
        <f t="shared" si="585"/>
        <v>152374.23090019191</v>
      </c>
      <c r="Z60" s="45">
        <f t="shared" si="585"/>
        <v>149424.59229980805</v>
      </c>
      <c r="AA60" s="45">
        <f t="shared" si="585"/>
        <v>166739.05544091994</v>
      </c>
      <c r="AB60" s="45">
        <f t="shared" si="585"/>
        <v>329414.33210325154</v>
      </c>
      <c r="AC60" s="45">
        <f t="shared" si="585"/>
        <v>557584.99566285603</v>
      </c>
      <c r="AD60" s="45">
        <f t="shared" si="585"/>
        <v>795978.99191873393</v>
      </c>
      <c r="AE60" s="45">
        <f t="shared" si="585"/>
        <v>898795.18966509926</v>
      </c>
      <c r="AF60" s="45">
        <f t="shared" si="585"/>
        <v>734452.30749423243</v>
      </c>
      <c r="AG60" s="45">
        <f t="shared" si="585"/>
        <v>608062.5409644586</v>
      </c>
      <c r="AH60" s="45">
        <f t="shared" si="585"/>
        <v>330704.92826083692</v>
      </c>
      <c r="AI60" s="45">
        <f t="shared" si="585"/>
        <v>204083.07526702885</v>
      </c>
      <c r="AJ60" s="45">
        <f t="shared" si="585"/>
        <v>154397.98366445425</v>
      </c>
      <c r="AK60" s="45">
        <f t="shared" si="585"/>
        <v>152374.23090019191</v>
      </c>
      <c r="AL60" s="45">
        <f t="shared" si="585"/>
        <v>149424.59229980805</v>
      </c>
      <c r="AM60" s="45">
        <f t="shared" si="585"/>
        <v>166739.05544091994</v>
      </c>
      <c r="AN60" s="45">
        <f t="shared" si="585"/>
        <v>329414.33210325154</v>
      </c>
      <c r="AO60" s="45">
        <f t="shared" si="585"/>
        <v>557584.99566285603</v>
      </c>
      <c r="AP60" s="45">
        <f t="shared" si="585"/>
        <v>795978.99191873393</v>
      </c>
      <c r="AQ60" s="45">
        <f t="shared" si="585"/>
        <v>898795.18966509926</v>
      </c>
      <c r="AR60" s="45">
        <f t="shared" si="585"/>
        <v>734452.30749423243</v>
      </c>
      <c r="AS60" s="45">
        <f t="shared" si="585"/>
        <v>608062.5409644586</v>
      </c>
      <c r="AT60" s="45">
        <f t="shared" si="585"/>
        <v>330704.92826083692</v>
      </c>
      <c r="AU60" s="45">
        <f t="shared" si="585"/>
        <v>204083.07526702885</v>
      </c>
      <c r="AV60" s="45">
        <f t="shared" si="585"/>
        <v>154397.98366445425</v>
      </c>
      <c r="AW60" s="45">
        <f t="shared" si="585"/>
        <v>152374.23090019191</v>
      </c>
      <c r="AX60" s="45">
        <f t="shared" si="585"/>
        <v>149424.59229980805</v>
      </c>
      <c r="AY60" s="45">
        <f t="shared" si="585"/>
        <v>166739.05544091994</v>
      </c>
      <c r="AZ60" s="45">
        <f t="shared" si="585"/>
        <v>329414.33210325154</v>
      </c>
      <c r="BA60" s="45">
        <f t="shared" si="585"/>
        <v>557584.99566285603</v>
      </c>
      <c r="BB60" s="45">
        <f t="shared" si="585"/>
        <v>795978.99191873393</v>
      </c>
      <c r="BC60" s="45">
        <f t="shared" si="585"/>
        <v>898795.18966509926</v>
      </c>
      <c r="BD60" s="45">
        <f t="shared" si="585"/>
        <v>734452.30749423243</v>
      </c>
      <c r="BE60" s="45">
        <f t="shared" si="585"/>
        <v>608062.5409644586</v>
      </c>
      <c r="BF60" s="45">
        <f t="shared" si="585"/>
        <v>330704.92826083692</v>
      </c>
      <c r="BG60" s="45">
        <f t="shared" si="585"/>
        <v>204083.07526702885</v>
      </c>
      <c r="BH60" s="45">
        <f t="shared" si="585"/>
        <v>154397.98366445425</v>
      </c>
      <c r="BI60" s="45">
        <f t="shared" si="585"/>
        <v>152374.23090019191</v>
      </c>
      <c r="BJ60" s="45">
        <f t="shared" si="585"/>
        <v>149424.59229980805</v>
      </c>
      <c r="BK60" s="45">
        <f t="shared" si="585"/>
        <v>166739.05544091994</v>
      </c>
      <c r="BL60" s="45">
        <f t="shared" si="585"/>
        <v>329414.33210325154</v>
      </c>
      <c r="BM60" s="45">
        <f t="shared" si="585"/>
        <v>557584.99566285603</v>
      </c>
      <c r="BN60" s="45">
        <f t="shared" si="585"/>
        <v>795978.99191873393</v>
      </c>
      <c r="BO60" s="45">
        <f t="shared" si="585"/>
        <v>898795.18966509926</v>
      </c>
      <c r="BP60" s="45">
        <f t="shared" ref="BP60:CH60" si="586">BP57*(BP53*BP$15+BP55)</f>
        <v>734452.30749423243</v>
      </c>
      <c r="BQ60" s="45">
        <f t="shared" si="586"/>
        <v>608062.5409644586</v>
      </c>
      <c r="BR60" s="45">
        <f t="shared" si="586"/>
        <v>330704.92826083692</v>
      </c>
      <c r="BS60" s="45">
        <f t="shared" si="586"/>
        <v>204083.07526702885</v>
      </c>
      <c r="BT60" s="45">
        <f t="shared" si="586"/>
        <v>154397.98366445425</v>
      </c>
      <c r="BU60" s="45">
        <f t="shared" si="586"/>
        <v>152374.23090019191</v>
      </c>
      <c r="BV60" s="45">
        <f t="shared" si="586"/>
        <v>149424.59229980805</v>
      </c>
      <c r="BW60" s="45">
        <f t="shared" si="586"/>
        <v>166739.05544091994</v>
      </c>
      <c r="BX60" s="45">
        <f t="shared" si="586"/>
        <v>329414.33210325154</v>
      </c>
      <c r="BY60" s="45">
        <f t="shared" si="586"/>
        <v>557584.99566285603</v>
      </c>
      <c r="BZ60" s="45">
        <f t="shared" si="586"/>
        <v>795978.99191873393</v>
      </c>
      <c r="CA60" s="45">
        <f t="shared" si="586"/>
        <v>898795.18966509926</v>
      </c>
      <c r="CB60" s="45">
        <f t="shared" si="586"/>
        <v>734452.30749423243</v>
      </c>
      <c r="CC60" s="45">
        <f t="shared" si="586"/>
        <v>608062.5409644586</v>
      </c>
      <c r="CD60" s="45">
        <f t="shared" si="586"/>
        <v>330704.92826083692</v>
      </c>
      <c r="CE60" s="45">
        <f t="shared" si="586"/>
        <v>204083.07526702885</v>
      </c>
      <c r="CF60" s="45">
        <f t="shared" si="586"/>
        <v>154397.98366445425</v>
      </c>
      <c r="CG60" s="45">
        <f t="shared" si="586"/>
        <v>152374.23090019191</v>
      </c>
      <c r="CH60" s="45">
        <f t="shared" si="586"/>
        <v>149424.59229980805</v>
      </c>
    </row>
    <row r="61" spans="1:86" x14ac:dyDescent="0.2">
      <c r="A61" s="613">
        <v>49</v>
      </c>
      <c r="B61" s="210" t="s">
        <v>603</v>
      </c>
      <c r="C61" s="45">
        <f>C60/SUM(C60:N60)*SUM(C58:N58)</f>
        <v>167082.06160327059</v>
      </c>
      <c r="D61" s="45">
        <f>D60/SUM(C60:N60)*SUM(C58:N58)</f>
        <v>330091.97026787756</v>
      </c>
      <c r="E61" s="45">
        <f>E60/SUM(C60:N60)*SUM(C58:N58)</f>
        <v>558731.99329460133</v>
      </c>
      <c r="F61" s="45">
        <f>F60/SUM(C60:N60)*SUM(C58:N58)</f>
        <v>797616.37964060134</v>
      </c>
      <c r="G61" s="45">
        <f>G60/SUM(C60:N60)*SUM(C58:N58)</f>
        <v>900644.07598925161</v>
      </c>
      <c r="H61" s="45">
        <f>H60/SUM(C60:N60)*SUM(C58:N58)</f>
        <v>735963.13027070963</v>
      </c>
      <c r="I61" s="45">
        <f>I60/SUM(C60:N60)*SUM(C58:N58)</f>
        <v>609313.37568264478</v>
      </c>
      <c r="J61" s="45">
        <f>J60/SUM(C60:N60)*SUM(C58:N58)</f>
        <v>331385.22200133558</v>
      </c>
      <c r="K61" s="45">
        <f>K60/SUM(C60:N60)*SUM(C58:N58)</f>
        <v>204502.90064687366</v>
      </c>
      <c r="L61" s="45">
        <f>L60/SUM(C60:N60)*SUM(C58:N58)</f>
        <v>154715.60399396921</v>
      </c>
      <c r="M61" s="45">
        <f>M60/SUM(C60:N60)*SUM(C58:N58)</f>
        <v>152687.68813616611</v>
      </c>
      <c r="N61" s="45">
        <f>N60/SUM(C60:N60)*SUM(C58:N58)</f>
        <v>149731.98167537479</v>
      </c>
      <c r="O61" s="45">
        <f>O60/SUM(O60:Z60)*SUM(O58:Z58)</f>
        <v>167082.05278407631</v>
      </c>
      <c r="P61" s="45">
        <f>P60/SUM(O60:Z60)*SUM(O58:Z58)</f>
        <v>330091.96722844918</v>
      </c>
      <c r="Q61" s="45">
        <f>Q60/SUM(O60:Z60)*SUM(O58:Z58)</f>
        <v>558731.99851465027</v>
      </c>
      <c r="R61" s="45">
        <f>R60/SUM(O60:Z60)*SUM(O58:Z58)</f>
        <v>797616.39281868772</v>
      </c>
      <c r="S61" s="45">
        <f>S60/SUM(O60:Z60)*SUM(O58:Z58)</f>
        <v>900644.09279869101</v>
      </c>
      <c r="T61" s="45">
        <f>T60/SUM(O60:Z60)*SUM(O58:Z58)</f>
        <v>735963.14243017137</v>
      </c>
      <c r="U61" s="45">
        <f>U60/SUM(O60:Z60)*SUM(O58:Z58)</f>
        <v>609313.38070006936</v>
      </c>
      <c r="V61" s="45">
        <f>V60/SUM(O60:Z60)*SUM(O58:Z58)</f>
        <v>331385.21825925529</v>
      </c>
      <c r="W61" s="45">
        <f>W60/SUM(O60:Z60)*SUM(O58:Z58)</f>
        <v>204502.89264223626</v>
      </c>
      <c r="X61" s="45">
        <f>X60/SUM(O60:Z60)*SUM(O58:Z58)</f>
        <v>154715.5943048982</v>
      </c>
      <c r="Y61" s="45">
        <f>Y60/SUM(O60:Z60)*SUM(O58:Z58)</f>
        <v>152687.67849785314</v>
      </c>
      <c r="Z61" s="45">
        <f>Z60/SUM(O60:Z60)*SUM(O58:Z58)</f>
        <v>149731.97222363891</v>
      </c>
      <c r="AA61" s="45">
        <f>AA60/SUM(AA60:AL60)*SUM(AA58:AL58)</f>
        <v>167082.05278407631</v>
      </c>
      <c r="AB61" s="45">
        <f>AB60/SUM(AA60:AL60)*SUM(AA58:AL58)</f>
        <v>330091.96722844918</v>
      </c>
      <c r="AC61" s="45">
        <f>AC60/SUM(AA60:AL60)*SUM(AA58:AL58)</f>
        <v>558731.99851465027</v>
      </c>
      <c r="AD61" s="45">
        <f>AD60/SUM(AA60:AL60)*SUM(AA58:AL58)</f>
        <v>797616.39281868772</v>
      </c>
      <c r="AE61" s="45">
        <f>AE60/SUM(AA60:AL60)*SUM(AA58:AL58)</f>
        <v>900644.09279869101</v>
      </c>
      <c r="AF61" s="45">
        <f>AF60/SUM(AA60:AL60)*SUM(AA58:AL58)</f>
        <v>735963.14243017137</v>
      </c>
      <c r="AG61" s="45">
        <f>AG60/SUM(AA60:AL60)*SUM(AA58:AL58)</f>
        <v>609313.38070006936</v>
      </c>
      <c r="AH61" s="45">
        <f>AH60/SUM(AA60:AL60)*SUM(AA58:AL58)</f>
        <v>331385.21825925529</v>
      </c>
      <c r="AI61" s="45">
        <f>AI60/SUM(AA60:AL60)*SUM(AA58:AL58)</f>
        <v>204502.89264223626</v>
      </c>
      <c r="AJ61" s="45">
        <f>AJ60/SUM(AA60:AL60)*SUM(AA58:AL58)</f>
        <v>154715.5943048982</v>
      </c>
      <c r="AK61" s="45">
        <f>AK60/SUM(AA60:AL60)*SUM(AA58:AL58)</f>
        <v>152687.67849785314</v>
      </c>
      <c r="AL61" s="45">
        <f>AL60/SUM(AA60:AL60)*SUM(AA58:AL58)</f>
        <v>149731.97222363891</v>
      </c>
      <c r="AM61" s="45">
        <f>AM60/SUM(AM60:AX60)*SUM(AM58:AX58)</f>
        <v>167082.05278407631</v>
      </c>
      <c r="AN61" s="45">
        <f>AN60/SUM(AM60:AX60)*SUM(AM58:AX58)</f>
        <v>330091.96722844918</v>
      </c>
      <c r="AO61" s="45">
        <f>AO60/SUM(AM60:AX60)*SUM(AM58:AX58)</f>
        <v>558731.99851465027</v>
      </c>
      <c r="AP61" s="45">
        <f>AP60/SUM(AM60:AX60)*SUM(AM58:AX58)</f>
        <v>797616.39281868772</v>
      </c>
      <c r="AQ61" s="45">
        <f>AQ60/SUM(AM60:AX60)*SUM(AM58:AX58)</f>
        <v>900644.09279869101</v>
      </c>
      <c r="AR61" s="45">
        <f>AR60/SUM(AM60:AX60)*SUM(AM58:AX58)</f>
        <v>735963.14243017137</v>
      </c>
      <c r="AS61" s="45">
        <f>AS60/SUM(AM60:AX60)*SUM(AM58:AX58)</f>
        <v>609313.38070006936</v>
      </c>
      <c r="AT61" s="45">
        <f>AT60/SUM(AM60:AX60)*SUM(AM58:AX58)</f>
        <v>331385.21825925529</v>
      </c>
      <c r="AU61" s="45">
        <f>AU60/SUM(AM60:AX60)*SUM(AM58:AX58)</f>
        <v>204502.89264223626</v>
      </c>
      <c r="AV61" s="45">
        <f>AV60/SUM(AM60:AX60)*SUM(AM58:AX58)</f>
        <v>154715.5943048982</v>
      </c>
      <c r="AW61" s="45">
        <f>AW60/SUM(AM60:AX60)*SUM(AM58:AX58)</f>
        <v>152687.67849785314</v>
      </c>
      <c r="AX61" s="45">
        <f>AX60/SUM(AM60:AX60)*SUM(AM58:AX58)</f>
        <v>149731.97222363891</v>
      </c>
      <c r="AY61" s="45">
        <f>AY60/SUM(AY60:BJ60)*SUM(AY58:BJ58)</f>
        <v>167082.05278407631</v>
      </c>
      <c r="AZ61" s="45">
        <f>AZ60/SUM(AY60:BJ60)*SUM(AY58:BJ58)</f>
        <v>330091.96722844918</v>
      </c>
      <c r="BA61" s="45">
        <f>BA60/SUM(AY60:BJ60)*SUM(AY58:BJ58)</f>
        <v>558731.99851465027</v>
      </c>
      <c r="BB61" s="45">
        <f>BB60/SUM(AY60:BJ60)*SUM(AY58:BJ58)</f>
        <v>797616.39281868772</v>
      </c>
      <c r="BC61" s="45">
        <f>BC60/SUM(AY60:BJ60)*SUM(AY58:BJ58)</f>
        <v>900644.09279869101</v>
      </c>
      <c r="BD61" s="45">
        <f>BD60/SUM(AY60:BJ60)*SUM(AY58:BJ58)</f>
        <v>735963.14243017137</v>
      </c>
      <c r="BE61" s="45">
        <f>BE60/SUM(AY60:BJ60)*SUM(AY58:BJ58)</f>
        <v>609313.38070006936</v>
      </c>
      <c r="BF61" s="45">
        <f>BF60/SUM(AY60:BJ60)*SUM(AY58:BJ58)</f>
        <v>331385.21825925529</v>
      </c>
      <c r="BG61" s="45">
        <f>BG60/SUM(AY60:BJ60)*SUM(AY58:BJ58)</f>
        <v>204502.89264223626</v>
      </c>
      <c r="BH61" s="45">
        <f>BH60/SUM(AY60:BJ60)*SUM(AY58:BJ58)</f>
        <v>154715.5943048982</v>
      </c>
      <c r="BI61" s="45">
        <f>BI60/SUM(AY60:BJ60)*SUM(AY58:BJ58)</f>
        <v>152687.67849785314</v>
      </c>
      <c r="BJ61" s="45">
        <f>BJ60/SUM(AY60:BJ60)*SUM(AY58:BJ58)</f>
        <v>149731.97222363891</v>
      </c>
      <c r="BK61" s="45">
        <f>BK60/SUM(BK60:BV60)*SUM(BK58:BV58)</f>
        <v>167082.05278407631</v>
      </c>
      <c r="BL61" s="45">
        <f>BL60/SUM(BK60:BV60)*SUM(BK58:BV58)</f>
        <v>330091.96722844918</v>
      </c>
      <c r="BM61" s="45">
        <f>BM60/SUM(BK60:BV60)*SUM(BK58:BV58)</f>
        <v>558731.99851465027</v>
      </c>
      <c r="BN61" s="45">
        <f>BN60/SUM(BK60:BV60)*SUM(BK58:BV58)</f>
        <v>797616.39281868772</v>
      </c>
      <c r="BO61" s="45">
        <f>BO60/SUM(BK60:BV60)*SUM(BK58:BV58)</f>
        <v>900644.09279869101</v>
      </c>
      <c r="BP61" s="45">
        <f>BP60/SUM(BK60:BV60)*SUM(BK58:BV58)</f>
        <v>735963.14243017137</v>
      </c>
      <c r="BQ61" s="45">
        <f>BQ60/SUM(BK60:BV60)*SUM(BK58:BV58)</f>
        <v>609313.38070006936</v>
      </c>
      <c r="BR61" s="45">
        <f>BR60/SUM(BK60:BV60)*SUM(BK58:BV58)</f>
        <v>331385.21825925529</v>
      </c>
      <c r="BS61" s="45">
        <f>BS60/SUM(BK60:BV60)*SUM(BK58:BV58)</f>
        <v>204502.89264223626</v>
      </c>
      <c r="BT61" s="45">
        <f>BT60/SUM(BK60:BV60)*SUM(BK58:BV58)</f>
        <v>154715.5943048982</v>
      </c>
      <c r="BU61" s="45">
        <f>BU60/SUM(BK60:BV60)*SUM(BK58:BV58)</f>
        <v>152687.67849785314</v>
      </c>
      <c r="BV61" s="45">
        <f>BV60/SUM(BK60:BV60)*SUM(BK58:BV58)</f>
        <v>149731.97222363891</v>
      </c>
      <c r="BW61" s="45">
        <f>BW60/SUM(BW60:CH60)*SUM(BW58:CH58)</f>
        <v>167082.05278407631</v>
      </c>
      <c r="BX61" s="45">
        <f>BX60/SUM(BW60:CH60)*SUM(BW58:CH58)</f>
        <v>330091.96722844918</v>
      </c>
      <c r="BY61" s="45">
        <f>BY60/SUM(BW60:CH60)*SUM(BW58:CH58)</f>
        <v>558731.99851465027</v>
      </c>
      <c r="BZ61" s="45">
        <f>BZ60/SUM(BW60:CH60)*SUM(BW58:CH58)</f>
        <v>797616.39281868772</v>
      </c>
      <c r="CA61" s="45">
        <f>CA60/SUM(BW60:CH60)*SUM(BW58:CH58)</f>
        <v>900644.09279869101</v>
      </c>
      <c r="CB61" s="45">
        <f>CB60/SUM(BW60:CH60)*SUM(BW58:CH58)</f>
        <v>735963.14243017137</v>
      </c>
      <c r="CC61" s="45">
        <f>CC60/SUM(BW60:CH60)*SUM(BW58:CH58)</f>
        <v>609313.38070006936</v>
      </c>
      <c r="CD61" s="45">
        <f>CD60/SUM(BW60:CH60)*SUM(BW58:CH58)</f>
        <v>331385.21825925529</v>
      </c>
      <c r="CE61" s="45">
        <f>CE60/SUM(BW60:CH60)*SUM(BW58:CH58)</f>
        <v>204502.89264223626</v>
      </c>
      <c r="CF61" s="45">
        <f>CF60/SUM(BW60:CH60)*SUM(BW58:CH58)</f>
        <v>154715.5943048982</v>
      </c>
      <c r="CG61" s="45">
        <f>CG60/SUM(BW60:CH60)*SUM(BW58:CH58)</f>
        <v>152687.67849785314</v>
      </c>
      <c r="CH61" s="45">
        <f>CH60/SUM(BW60:CH60)*SUM(BW58:CH58)</f>
        <v>149731.97222363891</v>
      </c>
    </row>
    <row r="62" spans="1:86" x14ac:dyDescent="0.2">
      <c r="A62" s="613">
        <v>50</v>
      </c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34"/>
      <c r="N62" s="634"/>
    </row>
    <row r="63" spans="1:86" x14ac:dyDescent="0.2">
      <c r="A63" s="613">
        <v>51</v>
      </c>
      <c r="B63" s="41" t="s">
        <v>587</v>
      </c>
      <c r="C63" s="635">
        <f>ROUND(C58-C59,0)</f>
        <v>-30954</v>
      </c>
      <c r="D63" s="635">
        <f t="shared" ref="D63:N63" si="587">ROUND(D58-D59,0)</f>
        <v>-22486</v>
      </c>
      <c r="E63" s="635">
        <f t="shared" si="587"/>
        <v>56627</v>
      </c>
      <c r="F63" s="635">
        <f t="shared" si="587"/>
        <v>19478</v>
      </c>
      <c r="G63" s="635">
        <f t="shared" si="587"/>
        <v>-134970</v>
      </c>
      <c r="H63" s="635">
        <f t="shared" si="587"/>
        <v>-10558</v>
      </c>
      <c r="I63" s="635">
        <f t="shared" si="587"/>
        <v>-285363</v>
      </c>
      <c r="J63" s="635">
        <f t="shared" si="587"/>
        <v>44034</v>
      </c>
      <c r="K63" s="635">
        <f t="shared" si="587"/>
        <v>51488</v>
      </c>
      <c r="L63" s="635">
        <f t="shared" si="587"/>
        <v>21504</v>
      </c>
      <c r="M63" s="635">
        <f t="shared" si="587"/>
        <v>11393</v>
      </c>
      <c r="N63" s="635">
        <f t="shared" si="587"/>
        <v>-11393</v>
      </c>
      <c r="O63" s="608"/>
      <c r="P63" s="608"/>
      <c r="Q63" s="608"/>
      <c r="R63" s="608"/>
      <c r="S63" s="608"/>
      <c r="T63" s="608"/>
      <c r="U63" s="608"/>
      <c r="V63" s="608"/>
      <c r="W63" s="608"/>
      <c r="X63" s="608"/>
      <c r="Y63" s="608"/>
      <c r="Z63" s="608"/>
      <c r="AA63" s="608"/>
      <c r="AB63" s="608"/>
      <c r="AC63" s="608"/>
      <c r="AD63" s="608"/>
      <c r="AE63" s="608"/>
      <c r="AF63" s="608"/>
      <c r="AG63" s="608"/>
      <c r="AH63" s="608"/>
      <c r="AI63" s="608"/>
      <c r="AJ63" s="608"/>
      <c r="AK63" s="608"/>
      <c r="AL63" s="608"/>
      <c r="AM63" s="608"/>
      <c r="AN63" s="608"/>
      <c r="AO63" s="608"/>
      <c r="AP63" s="608"/>
      <c r="AQ63" s="608"/>
      <c r="AR63" s="608"/>
      <c r="AS63" s="608"/>
      <c r="AT63" s="608"/>
      <c r="AU63" s="608"/>
      <c r="AV63" s="608"/>
      <c r="AW63" s="608"/>
      <c r="AX63" s="608"/>
      <c r="AY63" s="608"/>
      <c r="AZ63" s="608"/>
      <c r="BA63" s="608"/>
      <c r="BB63" s="608"/>
      <c r="BC63" s="608"/>
      <c r="BD63" s="608"/>
      <c r="BE63" s="608"/>
      <c r="BF63" s="608"/>
      <c r="BG63" s="608"/>
      <c r="BH63" s="608"/>
      <c r="BI63" s="608"/>
      <c r="BJ63" s="608"/>
      <c r="BK63" s="608"/>
      <c r="BL63" s="608"/>
      <c r="BM63" s="608"/>
      <c r="BN63" s="608"/>
      <c r="BO63" s="608"/>
      <c r="BP63" s="608"/>
      <c r="BQ63" s="608"/>
      <c r="BR63" s="608"/>
      <c r="BS63" s="608"/>
      <c r="BT63" s="608"/>
      <c r="BU63" s="608"/>
      <c r="BV63" s="608"/>
      <c r="BW63" s="608"/>
      <c r="BX63" s="608"/>
      <c r="BY63" s="608"/>
      <c r="BZ63" s="608"/>
      <c r="CA63" s="608"/>
      <c r="CB63" s="608"/>
      <c r="CC63" s="608"/>
      <c r="CD63" s="608"/>
      <c r="CE63" s="608"/>
      <c r="CF63" s="608"/>
      <c r="CG63" s="608"/>
      <c r="CH63" s="608"/>
    </row>
    <row r="64" spans="1:86" x14ac:dyDescent="0.2">
      <c r="A64" s="613">
        <v>52</v>
      </c>
      <c r="B64" s="41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608"/>
      <c r="P64" s="608"/>
      <c r="Q64" s="608"/>
      <c r="R64" s="608"/>
      <c r="S64" s="608"/>
      <c r="T64" s="608"/>
      <c r="U64" s="608"/>
      <c r="V64" s="608"/>
      <c r="W64" s="608"/>
      <c r="X64" s="608"/>
      <c r="Y64" s="608"/>
      <c r="Z64" s="608"/>
      <c r="AA64" s="608"/>
      <c r="AB64" s="608"/>
      <c r="AC64" s="608"/>
      <c r="AD64" s="608"/>
      <c r="AE64" s="608"/>
      <c r="AF64" s="608"/>
      <c r="AG64" s="608"/>
      <c r="AH64" s="608"/>
      <c r="AI64" s="608"/>
      <c r="AJ64" s="608"/>
      <c r="AK64" s="608"/>
      <c r="AL64" s="608"/>
      <c r="AM64" s="608"/>
      <c r="AN64" s="608"/>
      <c r="AO64" s="608"/>
      <c r="AP64" s="608"/>
      <c r="AQ64" s="608"/>
      <c r="AR64" s="608"/>
      <c r="AS64" s="608"/>
      <c r="AT64" s="608"/>
      <c r="AU64" s="608"/>
      <c r="AV64" s="608"/>
      <c r="AW64" s="608"/>
      <c r="AX64" s="608"/>
      <c r="AY64" s="608"/>
      <c r="AZ64" s="608"/>
      <c r="BA64" s="608"/>
      <c r="BB64" s="608"/>
      <c r="BC64" s="608"/>
      <c r="BD64" s="608"/>
      <c r="BE64" s="608"/>
      <c r="BF64" s="608"/>
      <c r="BG64" s="608"/>
      <c r="BH64" s="608"/>
      <c r="BI64" s="608"/>
      <c r="BJ64" s="608"/>
      <c r="BK64" s="608"/>
      <c r="BL64" s="608"/>
      <c r="BM64" s="608"/>
      <c r="BN64" s="608"/>
      <c r="BO64" s="608"/>
      <c r="BP64" s="608"/>
      <c r="BQ64" s="608"/>
      <c r="BR64" s="608"/>
      <c r="BS64" s="608"/>
      <c r="BT64" s="608"/>
      <c r="BU64" s="608"/>
      <c r="BV64" s="608"/>
      <c r="BW64" s="608"/>
      <c r="BX64" s="608"/>
      <c r="BY64" s="608"/>
      <c r="BZ64" s="608"/>
      <c r="CA64" s="608"/>
      <c r="CB64" s="608"/>
      <c r="CC64" s="608"/>
      <c r="CD64" s="608"/>
      <c r="CE64" s="608"/>
      <c r="CF64" s="608"/>
      <c r="CG64" s="608"/>
      <c r="CH64" s="608"/>
    </row>
    <row r="65" spans="1:86" x14ac:dyDescent="0.2">
      <c r="A65" s="613">
        <v>53</v>
      </c>
      <c r="B65" s="41" t="s">
        <v>590</v>
      </c>
      <c r="C65" s="157">
        <f>C$63*'Bill Frequency'!C21/'Bill Frequency'!C$24</f>
        <v>-24544.433232023242</v>
      </c>
      <c r="D65" s="157">
        <f>D$63*'Bill Frequency'!D21/'Bill Frequency'!D$24</f>
        <v>-15645.172164606056</v>
      </c>
      <c r="E65" s="157">
        <f>E$63*'Bill Frequency'!E21/'Bill Frequency'!E$24</f>
        <v>50883.95686372702</v>
      </c>
      <c r="F65" s="157">
        <f>F$63*'Bill Frequency'!F21/'Bill Frequency'!F$24</f>
        <v>17319.147068771119</v>
      </c>
      <c r="G65" s="157">
        <f>G$63*'Bill Frequency'!G21/'Bill Frequency'!G$24</f>
        <v>-117431.72432594241</v>
      </c>
      <c r="H65" s="157">
        <f>H$63*'Bill Frequency'!H21/'Bill Frequency'!H$24</f>
        <v>-9244.6199099714886</v>
      </c>
      <c r="I65" s="157">
        <f>I$63*'Bill Frequency'!I21/'Bill Frequency'!I$24</f>
        <v>-248594.86975601435</v>
      </c>
      <c r="J65" s="157">
        <f>J$63*'Bill Frequency'!J21/'Bill Frequency'!J$24</f>
        <v>39066.035758336155</v>
      </c>
      <c r="K65" s="157">
        <f>K$63*'Bill Frequency'!K21/'Bill Frequency'!K$24</f>
        <v>45045.506130925372</v>
      </c>
      <c r="L65" s="157">
        <f>L$63*'Bill Frequency'!L21/'Bill Frequency'!L$24</f>
        <v>19702.039043047705</v>
      </c>
      <c r="M65" s="157">
        <f>M$63*'Bill Frequency'!M21/'Bill Frequency'!M$24</f>
        <v>10460.982903016473</v>
      </c>
      <c r="N65" s="157">
        <f>N$63*'Bill Frequency'!N21/'Bill Frequency'!N$24</f>
        <v>-9931.0830138883175</v>
      </c>
      <c r="O65" s="608"/>
      <c r="P65" s="608"/>
      <c r="Q65" s="608"/>
      <c r="R65" s="608"/>
      <c r="S65" s="608"/>
      <c r="T65" s="608"/>
      <c r="U65" s="608"/>
      <c r="V65" s="608"/>
      <c r="W65" s="608"/>
      <c r="X65" s="608"/>
      <c r="Y65" s="608"/>
      <c r="Z65" s="608"/>
      <c r="AA65" s="608"/>
      <c r="AB65" s="608"/>
      <c r="AC65" s="608"/>
      <c r="AD65" s="608"/>
      <c r="AE65" s="60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608"/>
      <c r="AT65" s="608"/>
      <c r="AU65" s="608"/>
      <c r="AV65" s="608"/>
      <c r="AW65" s="608"/>
      <c r="AX65" s="608"/>
      <c r="AY65" s="608"/>
      <c r="AZ65" s="608"/>
      <c r="BA65" s="608"/>
      <c r="BB65" s="608"/>
      <c r="BC65" s="608"/>
      <c r="BD65" s="608"/>
      <c r="BE65" s="608"/>
      <c r="BF65" s="608"/>
      <c r="BG65" s="608"/>
      <c r="BH65" s="608"/>
      <c r="BI65" s="608"/>
      <c r="BJ65" s="608"/>
      <c r="BK65" s="608"/>
      <c r="BL65" s="608"/>
      <c r="BM65" s="608"/>
      <c r="BN65" s="608"/>
      <c r="BO65" s="608"/>
      <c r="BP65" s="608"/>
      <c r="BQ65" s="608"/>
      <c r="BR65" s="608"/>
      <c r="BS65" s="608"/>
      <c r="BT65" s="608"/>
      <c r="BU65" s="608"/>
      <c r="BV65" s="608"/>
      <c r="BW65" s="608"/>
      <c r="BX65" s="608"/>
      <c r="BY65" s="608"/>
      <c r="BZ65" s="608"/>
      <c r="CA65" s="608"/>
      <c r="CB65" s="608"/>
      <c r="CC65" s="608"/>
      <c r="CD65" s="608"/>
      <c r="CE65" s="608"/>
      <c r="CF65" s="608"/>
      <c r="CG65" s="608"/>
      <c r="CH65" s="608"/>
    </row>
    <row r="66" spans="1:86" x14ac:dyDescent="0.2">
      <c r="A66" s="613">
        <v>54</v>
      </c>
      <c r="B66" s="41" t="s">
        <v>591</v>
      </c>
      <c r="C66" s="157">
        <f>C$63*'Bill Frequency'!C22/'Bill Frequency'!C$24</f>
        <v>-6409.566767976753</v>
      </c>
      <c r="D66" s="157">
        <f>D$63*'Bill Frequency'!D22/'Bill Frequency'!D$24</f>
        <v>-6840.827835393944</v>
      </c>
      <c r="E66" s="157">
        <f>E$63*'Bill Frequency'!E22/'Bill Frequency'!E$24</f>
        <v>5743.0431362729832</v>
      </c>
      <c r="F66" s="157">
        <f>F$63*'Bill Frequency'!F22/'Bill Frequency'!F$24</f>
        <v>2158.8529312288779</v>
      </c>
      <c r="G66" s="157">
        <f>G$63*'Bill Frequency'!G22/'Bill Frequency'!G$24</f>
        <v>-17538.275674057582</v>
      </c>
      <c r="H66" s="157">
        <f>H$63*'Bill Frequency'!H22/'Bill Frequency'!H$24</f>
        <v>-1313.380090028513</v>
      </c>
      <c r="I66" s="157">
        <f>I$63*'Bill Frequency'!I22/'Bill Frequency'!I$24</f>
        <v>-36768.130243985681</v>
      </c>
      <c r="J66" s="157">
        <f>J$63*'Bill Frequency'!J22/'Bill Frequency'!J$24</f>
        <v>4967.9642416638426</v>
      </c>
      <c r="K66" s="157">
        <f>K$63*'Bill Frequency'!K22/'Bill Frequency'!K$24</f>
        <v>6442.4938690746285</v>
      </c>
      <c r="L66" s="157">
        <f>L$63*'Bill Frequency'!L22/'Bill Frequency'!L$24</f>
        <v>1801.9609569522954</v>
      </c>
      <c r="M66" s="157">
        <f>M$63*'Bill Frequency'!M22/'Bill Frequency'!M$24</f>
        <v>932.0170969835267</v>
      </c>
      <c r="N66" s="157">
        <f>N$63*'Bill Frequency'!N22/'Bill Frequency'!N$24</f>
        <v>-1461.9169861116832</v>
      </c>
      <c r="O66" s="608"/>
      <c r="P66" s="608"/>
      <c r="Q66" s="608"/>
      <c r="R66" s="608"/>
      <c r="S66" s="608"/>
      <c r="T66" s="608"/>
      <c r="U66" s="608"/>
      <c r="V66" s="608"/>
      <c r="W66" s="608"/>
      <c r="X66" s="608"/>
      <c r="Y66" s="608"/>
      <c r="Z66" s="608"/>
      <c r="AA66" s="608"/>
      <c r="AB66" s="608"/>
      <c r="AC66" s="608"/>
      <c r="AD66" s="608"/>
      <c r="AE66" s="608"/>
      <c r="AF66" s="608"/>
      <c r="AG66" s="608"/>
      <c r="AH66" s="608"/>
      <c r="AI66" s="608"/>
      <c r="AJ66" s="608"/>
      <c r="AK66" s="608"/>
      <c r="AL66" s="608"/>
      <c r="AM66" s="608"/>
      <c r="AN66" s="608"/>
      <c r="AO66" s="608"/>
      <c r="AP66" s="608"/>
      <c r="AQ66" s="608"/>
      <c r="AR66" s="608"/>
      <c r="AS66" s="608"/>
      <c r="AT66" s="608"/>
      <c r="AU66" s="608"/>
      <c r="AV66" s="608"/>
      <c r="AW66" s="608"/>
      <c r="AX66" s="608"/>
      <c r="AY66" s="608"/>
      <c r="AZ66" s="608"/>
      <c r="BA66" s="608"/>
      <c r="BB66" s="608"/>
      <c r="BC66" s="608"/>
      <c r="BD66" s="608"/>
      <c r="BE66" s="608"/>
      <c r="BF66" s="608"/>
      <c r="BG66" s="608"/>
      <c r="BH66" s="608"/>
      <c r="BI66" s="608"/>
      <c r="BJ66" s="608"/>
      <c r="BK66" s="608"/>
      <c r="BL66" s="608"/>
      <c r="BM66" s="608"/>
      <c r="BN66" s="608"/>
      <c r="BO66" s="608"/>
      <c r="BP66" s="608"/>
      <c r="BQ66" s="608"/>
      <c r="BR66" s="608"/>
      <c r="BS66" s="608"/>
      <c r="BT66" s="608"/>
      <c r="BU66" s="608"/>
      <c r="BV66" s="608"/>
      <c r="BW66" s="608"/>
      <c r="BX66" s="608"/>
      <c r="BY66" s="608"/>
      <c r="BZ66" s="608"/>
      <c r="CA66" s="608"/>
      <c r="CB66" s="608"/>
      <c r="CC66" s="608"/>
      <c r="CD66" s="608"/>
      <c r="CE66" s="608"/>
      <c r="CF66" s="608"/>
      <c r="CG66" s="608"/>
      <c r="CH66" s="608"/>
    </row>
    <row r="67" spans="1:86" x14ac:dyDescent="0.2">
      <c r="A67" s="613">
        <v>55</v>
      </c>
      <c r="B67" s="41" t="s">
        <v>592</v>
      </c>
      <c r="C67" s="157">
        <f>C$63*'Bill Frequency'!C23/'Bill Frequency'!C$24</f>
        <v>0</v>
      </c>
      <c r="D67" s="157">
        <f>D$63*'Bill Frequency'!D23/'Bill Frequency'!D$24</f>
        <v>0</v>
      </c>
      <c r="E67" s="157">
        <f>E$63*'Bill Frequency'!E23/'Bill Frequency'!E$24</f>
        <v>0</v>
      </c>
      <c r="F67" s="157">
        <f>F$63*'Bill Frequency'!F23/'Bill Frequency'!F$24</f>
        <v>0</v>
      </c>
      <c r="G67" s="157">
        <f>G$63*'Bill Frequency'!G23/'Bill Frequency'!G$24</f>
        <v>0</v>
      </c>
      <c r="H67" s="157">
        <f>H$63*'Bill Frequency'!H23/'Bill Frequency'!H$24</f>
        <v>0</v>
      </c>
      <c r="I67" s="157">
        <f>I$63*'Bill Frequency'!I23/'Bill Frequency'!I$24</f>
        <v>0</v>
      </c>
      <c r="J67" s="157">
        <f>J$63*'Bill Frequency'!J23/'Bill Frequency'!J$24</f>
        <v>0</v>
      </c>
      <c r="K67" s="157">
        <f>K$63*'Bill Frequency'!K23/'Bill Frequency'!K$24</f>
        <v>0</v>
      </c>
      <c r="L67" s="157">
        <f>L$63*'Bill Frequency'!L23/'Bill Frequency'!L$24</f>
        <v>0</v>
      </c>
      <c r="M67" s="157">
        <f>M$63*'Bill Frequency'!M23/'Bill Frequency'!M$24</f>
        <v>0</v>
      </c>
      <c r="N67" s="157">
        <f>N$63*'Bill Frequency'!N23/'Bill Frequency'!N$24</f>
        <v>0</v>
      </c>
      <c r="O67" s="608"/>
      <c r="P67" s="608"/>
      <c r="Q67" s="608"/>
      <c r="R67" s="608"/>
      <c r="S67" s="608"/>
      <c r="T67" s="608"/>
      <c r="U67" s="608"/>
      <c r="V67" s="608"/>
      <c r="W67" s="608"/>
      <c r="X67" s="608"/>
      <c r="Y67" s="608"/>
      <c r="Z67" s="608"/>
      <c r="AA67" s="608"/>
      <c r="AB67" s="608"/>
      <c r="AC67" s="608"/>
      <c r="AD67" s="608"/>
      <c r="AE67" s="608"/>
      <c r="AF67" s="608"/>
      <c r="AG67" s="608"/>
      <c r="AH67" s="608"/>
      <c r="AI67" s="608"/>
      <c r="AJ67" s="608"/>
      <c r="AK67" s="608"/>
      <c r="AL67" s="608"/>
      <c r="AM67" s="608"/>
      <c r="AN67" s="608"/>
      <c r="AO67" s="608"/>
      <c r="AP67" s="608"/>
      <c r="AQ67" s="608"/>
      <c r="AR67" s="608"/>
      <c r="AS67" s="608"/>
      <c r="AT67" s="608"/>
      <c r="AU67" s="608"/>
      <c r="AV67" s="608"/>
      <c r="AW67" s="608"/>
      <c r="AX67" s="608"/>
      <c r="AY67" s="608"/>
      <c r="AZ67" s="608"/>
      <c r="BA67" s="608"/>
      <c r="BB67" s="608"/>
      <c r="BC67" s="608"/>
      <c r="BD67" s="608"/>
      <c r="BE67" s="608"/>
      <c r="BF67" s="608"/>
      <c r="BG67" s="608"/>
      <c r="BH67" s="608"/>
      <c r="BI67" s="608"/>
      <c r="BJ67" s="608"/>
      <c r="BK67" s="608"/>
      <c r="BL67" s="608"/>
      <c r="BM67" s="608"/>
      <c r="BN67" s="608"/>
      <c r="BO67" s="608"/>
      <c r="BP67" s="608"/>
      <c r="BQ67" s="608"/>
      <c r="BR67" s="608"/>
      <c r="BS67" s="608"/>
      <c r="BT67" s="608"/>
      <c r="BU67" s="608"/>
      <c r="BV67" s="608"/>
      <c r="BW67" s="608"/>
      <c r="BX67" s="608"/>
      <c r="BY67" s="608"/>
      <c r="BZ67" s="608"/>
      <c r="CA67" s="608"/>
      <c r="CB67" s="608"/>
      <c r="CC67" s="608"/>
      <c r="CD67" s="608"/>
      <c r="CE67" s="608"/>
      <c r="CF67" s="608"/>
      <c r="CG67" s="608"/>
      <c r="CH67" s="608"/>
    </row>
    <row r="68" spans="1:86" ht="13.5" thickBot="1" x14ac:dyDescent="0.25">
      <c r="A68" s="613">
        <v>56</v>
      </c>
      <c r="B68" s="41" t="s">
        <v>19</v>
      </c>
      <c r="C68" s="636">
        <f>SUM(C65:C67)</f>
        <v>-30953.999999999996</v>
      </c>
      <c r="D68" s="636">
        <f t="shared" ref="D68:N68" si="588">SUM(D65:D67)</f>
        <v>-22486</v>
      </c>
      <c r="E68" s="636">
        <f t="shared" si="588"/>
        <v>56627</v>
      </c>
      <c r="F68" s="636">
        <f t="shared" si="588"/>
        <v>19477.999999999996</v>
      </c>
      <c r="G68" s="636">
        <f t="shared" si="588"/>
        <v>-134970</v>
      </c>
      <c r="H68" s="636">
        <f t="shared" si="588"/>
        <v>-10558.000000000002</v>
      </c>
      <c r="I68" s="636">
        <f t="shared" si="588"/>
        <v>-285363</v>
      </c>
      <c r="J68" s="636">
        <f t="shared" si="588"/>
        <v>44034</v>
      </c>
      <c r="K68" s="636">
        <f t="shared" si="588"/>
        <v>51488</v>
      </c>
      <c r="L68" s="636">
        <f t="shared" si="588"/>
        <v>21504</v>
      </c>
      <c r="M68" s="636">
        <f t="shared" si="588"/>
        <v>11393</v>
      </c>
      <c r="N68" s="636">
        <f t="shared" si="588"/>
        <v>-11393</v>
      </c>
      <c r="O68" s="608"/>
      <c r="P68" s="608"/>
      <c r="Q68" s="608"/>
      <c r="R68" s="608"/>
      <c r="S68" s="608"/>
      <c r="T68" s="608"/>
      <c r="U68" s="608"/>
      <c r="V68" s="608"/>
      <c r="W68" s="608"/>
      <c r="X68" s="608"/>
      <c r="Y68" s="608"/>
      <c r="Z68" s="608"/>
      <c r="AA68" s="608"/>
      <c r="AB68" s="608"/>
      <c r="AC68" s="608"/>
      <c r="AD68" s="608"/>
      <c r="AE68" s="608"/>
      <c r="AF68" s="608"/>
      <c r="AG68" s="608"/>
      <c r="AH68" s="608"/>
      <c r="AI68" s="608"/>
      <c r="AJ68" s="608"/>
      <c r="AK68" s="608"/>
      <c r="AL68" s="608"/>
      <c r="AM68" s="608"/>
      <c r="AN68" s="608"/>
      <c r="AO68" s="608"/>
      <c r="AP68" s="608"/>
      <c r="AQ68" s="608"/>
      <c r="AR68" s="608"/>
      <c r="AS68" s="608"/>
      <c r="AT68" s="608"/>
      <c r="AU68" s="608"/>
      <c r="AV68" s="608"/>
      <c r="AW68" s="608"/>
      <c r="AX68" s="608"/>
      <c r="AY68" s="608"/>
      <c r="AZ68" s="608"/>
      <c r="BA68" s="608"/>
      <c r="BB68" s="608"/>
      <c r="BC68" s="608"/>
      <c r="BD68" s="608"/>
      <c r="BE68" s="608"/>
      <c r="BF68" s="608"/>
      <c r="BG68" s="608"/>
      <c r="BH68" s="608"/>
      <c r="BI68" s="608"/>
      <c r="BJ68" s="608"/>
      <c r="BK68" s="608"/>
      <c r="BL68" s="608"/>
      <c r="BM68" s="608"/>
      <c r="BN68" s="608"/>
      <c r="BO68" s="608"/>
      <c r="BP68" s="608"/>
      <c r="BQ68" s="608"/>
      <c r="BR68" s="608"/>
      <c r="BS68" s="608"/>
      <c r="BT68" s="608"/>
      <c r="BU68" s="608"/>
      <c r="BV68" s="608"/>
      <c r="BW68" s="608"/>
      <c r="BX68" s="608"/>
      <c r="BY68" s="608"/>
      <c r="BZ68" s="608"/>
      <c r="CA68" s="608"/>
      <c r="CB68" s="608"/>
      <c r="CC68" s="608"/>
      <c r="CD68" s="608"/>
      <c r="CE68" s="608"/>
      <c r="CF68" s="608"/>
      <c r="CG68" s="608"/>
      <c r="CH68" s="608"/>
    </row>
    <row r="69" spans="1:86" ht="13.5" thickTop="1" x14ac:dyDescent="0.2">
      <c r="A69" s="613">
        <v>57</v>
      </c>
    </row>
    <row r="70" spans="1:86" x14ac:dyDescent="0.2">
      <c r="A70" s="613">
        <v>58</v>
      </c>
      <c r="C70" s="209"/>
    </row>
    <row r="71" spans="1:86" x14ac:dyDescent="0.2">
      <c r="A71" s="613">
        <v>59</v>
      </c>
      <c r="B71" s="35" t="s">
        <v>82</v>
      </c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74"/>
    </row>
    <row r="72" spans="1:86" x14ac:dyDescent="0.2">
      <c r="A72" s="613">
        <v>60</v>
      </c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45"/>
    </row>
    <row r="73" spans="1:86" x14ac:dyDescent="0.2">
      <c r="A73" s="613">
        <v>61</v>
      </c>
      <c r="B73" s="210" t="s">
        <v>597</v>
      </c>
      <c r="C73" s="605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17">
        <f>'[3]PA Decline'!$C$44</f>
        <v>0</v>
      </c>
      <c r="P73" s="618">
        <f>O73</f>
        <v>0</v>
      </c>
      <c r="Q73" s="618">
        <f t="shared" ref="Q73:Q75" si="589">P73</f>
        <v>0</v>
      </c>
      <c r="R73" s="618">
        <f t="shared" ref="R73:R75" si="590">Q73</f>
        <v>0</v>
      </c>
      <c r="S73" s="618">
        <f t="shared" ref="S73:S75" si="591">R73</f>
        <v>0</v>
      </c>
      <c r="T73" s="618">
        <f t="shared" ref="T73:T75" si="592">S73</f>
        <v>0</v>
      </c>
      <c r="U73" s="618">
        <f t="shared" ref="U73:U75" si="593">T73</f>
        <v>0</v>
      </c>
      <c r="V73" s="618">
        <f t="shared" ref="V73:V75" si="594">U73</f>
        <v>0</v>
      </c>
      <c r="W73" s="618">
        <f t="shared" ref="W73:W75" si="595">V73</f>
        <v>0</v>
      </c>
      <c r="X73" s="618">
        <f t="shared" ref="X73:X75" si="596">W73</f>
        <v>0</v>
      </c>
      <c r="Y73" s="618">
        <f t="shared" ref="Y73:Y75" si="597">X73</f>
        <v>0</v>
      </c>
      <c r="Z73" s="618">
        <f t="shared" ref="Z73:Z75" si="598">Y73</f>
        <v>0</v>
      </c>
      <c r="AA73" s="618">
        <f t="shared" ref="AA73:AA75" si="599">Z73</f>
        <v>0</v>
      </c>
      <c r="AB73" s="618">
        <f t="shared" ref="AB73:AB75" si="600">AA73</f>
        <v>0</v>
      </c>
      <c r="AC73" s="618">
        <f t="shared" ref="AC73:AC75" si="601">AB73</f>
        <v>0</v>
      </c>
      <c r="AD73" s="618">
        <f t="shared" ref="AD73:AD75" si="602">AC73</f>
        <v>0</v>
      </c>
      <c r="AE73" s="618">
        <f t="shared" ref="AE73:AE75" si="603">AD73</f>
        <v>0</v>
      </c>
      <c r="AF73" s="618">
        <f t="shared" ref="AF73:AF75" si="604">AE73</f>
        <v>0</v>
      </c>
      <c r="AG73" s="618">
        <f t="shared" ref="AG73:AG75" si="605">AF73</f>
        <v>0</v>
      </c>
      <c r="AH73" s="618">
        <f t="shared" ref="AH73:AH75" si="606">AG73</f>
        <v>0</v>
      </c>
      <c r="AI73" s="618">
        <f t="shared" ref="AI73:AI75" si="607">AH73</f>
        <v>0</v>
      </c>
      <c r="AJ73" s="618">
        <f t="shared" ref="AJ73:AJ75" si="608">AI73</f>
        <v>0</v>
      </c>
      <c r="AK73" s="618">
        <f t="shared" ref="AK73:AK75" si="609">AJ73</f>
        <v>0</v>
      </c>
      <c r="AL73" s="618">
        <f t="shared" ref="AL73:AL75" si="610">AK73</f>
        <v>0</v>
      </c>
      <c r="AM73" s="618">
        <f t="shared" ref="AM73:AM75" si="611">AL73</f>
        <v>0</v>
      </c>
      <c r="AN73" s="618">
        <f t="shared" ref="AN73:AN75" si="612">AM73</f>
        <v>0</v>
      </c>
      <c r="AO73" s="618">
        <f t="shared" ref="AO73:AO75" si="613">AN73</f>
        <v>0</v>
      </c>
      <c r="AP73" s="618">
        <f t="shared" ref="AP73:AP75" si="614">AO73</f>
        <v>0</v>
      </c>
      <c r="AQ73" s="618">
        <f t="shared" ref="AQ73:AQ75" si="615">AP73</f>
        <v>0</v>
      </c>
      <c r="AR73" s="618">
        <f t="shared" ref="AR73:AR75" si="616">AQ73</f>
        <v>0</v>
      </c>
      <c r="AS73" s="618">
        <f t="shared" ref="AS73:AS75" si="617">AR73</f>
        <v>0</v>
      </c>
      <c r="AT73" s="618">
        <f t="shared" ref="AT73:AT75" si="618">AS73</f>
        <v>0</v>
      </c>
      <c r="AU73" s="618">
        <f t="shared" ref="AU73:AU75" si="619">AT73</f>
        <v>0</v>
      </c>
      <c r="AV73" s="618">
        <f t="shared" ref="AV73:AV75" si="620">AU73</f>
        <v>0</v>
      </c>
      <c r="AW73" s="618">
        <f t="shared" ref="AW73:AW75" si="621">AV73</f>
        <v>0</v>
      </c>
      <c r="AX73" s="618">
        <f t="shared" ref="AX73:AX75" si="622">AW73</f>
        <v>0</v>
      </c>
      <c r="AY73" s="618">
        <f t="shared" ref="AY73:AY75" si="623">AX73</f>
        <v>0</v>
      </c>
      <c r="AZ73" s="618">
        <f t="shared" ref="AZ73:AZ75" si="624">AY73</f>
        <v>0</v>
      </c>
      <c r="BA73" s="618">
        <f t="shared" ref="BA73:BA75" si="625">AZ73</f>
        <v>0</v>
      </c>
      <c r="BB73" s="618">
        <f t="shared" ref="BB73:BB75" si="626">BA73</f>
        <v>0</v>
      </c>
      <c r="BC73" s="618">
        <f t="shared" ref="BC73:BC75" si="627">BB73</f>
        <v>0</v>
      </c>
      <c r="BD73" s="618">
        <f t="shared" ref="BD73:BD75" si="628">BC73</f>
        <v>0</v>
      </c>
      <c r="BE73" s="618">
        <f t="shared" ref="BE73:BE75" si="629">BD73</f>
        <v>0</v>
      </c>
      <c r="BF73" s="618">
        <f t="shared" ref="BF73:BF75" si="630">BE73</f>
        <v>0</v>
      </c>
      <c r="BG73" s="618">
        <f t="shared" ref="BG73:BG75" si="631">BF73</f>
        <v>0</v>
      </c>
      <c r="BH73" s="618">
        <f t="shared" ref="BH73:BH75" si="632">BG73</f>
        <v>0</v>
      </c>
      <c r="BI73" s="618">
        <f t="shared" ref="BI73:BI75" si="633">BH73</f>
        <v>0</v>
      </c>
      <c r="BJ73" s="618">
        <f t="shared" ref="BJ73:BJ75" si="634">BI73</f>
        <v>0</v>
      </c>
      <c r="BK73" s="618">
        <f t="shared" ref="BK73:BK75" si="635">BJ73</f>
        <v>0</v>
      </c>
      <c r="BL73" s="618">
        <f t="shared" ref="BL73:BL75" si="636">BK73</f>
        <v>0</v>
      </c>
      <c r="BM73" s="618">
        <f t="shared" ref="BM73:BM75" si="637">BL73</f>
        <v>0</v>
      </c>
      <c r="BN73" s="618">
        <f t="shared" ref="BN73:BN75" si="638">BM73</f>
        <v>0</v>
      </c>
      <c r="BO73" s="618">
        <f t="shared" ref="BO73:BO75" si="639">BN73</f>
        <v>0</v>
      </c>
      <c r="BP73" s="618">
        <f t="shared" ref="BP73:BP75" si="640">BO73</f>
        <v>0</v>
      </c>
      <c r="BQ73" s="618">
        <f t="shared" ref="BQ73:BQ75" si="641">BP73</f>
        <v>0</v>
      </c>
      <c r="BR73" s="618">
        <f t="shared" ref="BR73:BR75" si="642">BQ73</f>
        <v>0</v>
      </c>
      <c r="BS73" s="618">
        <f t="shared" ref="BS73:BS75" si="643">BR73</f>
        <v>0</v>
      </c>
      <c r="BT73" s="618">
        <f t="shared" ref="BT73:BT75" si="644">BS73</f>
        <v>0</v>
      </c>
      <c r="BU73" s="618">
        <f t="shared" ref="BU73:BU75" si="645">BT73</f>
        <v>0</v>
      </c>
      <c r="BV73" s="618">
        <f t="shared" ref="BV73:BV75" si="646">BU73</f>
        <v>0</v>
      </c>
      <c r="BW73" s="618">
        <f t="shared" ref="BW73:BW75" si="647">BV73</f>
        <v>0</v>
      </c>
      <c r="BX73" s="618">
        <f t="shared" ref="BX73:BX75" si="648">BW73</f>
        <v>0</v>
      </c>
      <c r="BY73" s="618">
        <f t="shared" ref="BY73:BY75" si="649">BX73</f>
        <v>0</v>
      </c>
      <c r="BZ73" s="618">
        <f t="shared" ref="BZ73:BZ75" si="650">BY73</f>
        <v>0</v>
      </c>
      <c r="CA73" s="618">
        <f t="shared" ref="CA73:CA75" si="651">BZ73</f>
        <v>0</v>
      </c>
      <c r="CB73" s="618">
        <f t="shared" ref="CB73:CB75" si="652">CA73</f>
        <v>0</v>
      </c>
      <c r="CC73" s="618">
        <f t="shared" ref="CC73:CC75" si="653">CB73</f>
        <v>0</v>
      </c>
      <c r="CD73" s="618">
        <f t="shared" ref="CD73:CD75" si="654">CC73</f>
        <v>0</v>
      </c>
      <c r="CE73" s="618">
        <f t="shared" ref="CE73:CE75" si="655">CD73</f>
        <v>0</v>
      </c>
      <c r="CF73" s="618">
        <f t="shared" ref="CF73:CF75" si="656">CE73</f>
        <v>0</v>
      </c>
      <c r="CG73" s="618">
        <f t="shared" ref="CG73:CG75" si="657">CF73</f>
        <v>0</v>
      </c>
      <c r="CH73" s="618">
        <f t="shared" ref="CH73:CH75" si="658">CG73</f>
        <v>0</v>
      </c>
    </row>
    <row r="74" spans="1:86" x14ac:dyDescent="0.2">
      <c r="A74" s="613">
        <v>62</v>
      </c>
      <c r="B74" s="210" t="s">
        <v>598</v>
      </c>
      <c r="C74" s="605"/>
      <c r="D74" s="605"/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17">
        <f>'[3]PA Decline'!$P$24</f>
        <v>0</v>
      </c>
      <c r="P74" s="618">
        <f t="shared" ref="P74:P75" si="659">O74</f>
        <v>0</v>
      </c>
      <c r="Q74" s="618">
        <f t="shared" si="589"/>
        <v>0</v>
      </c>
      <c r="R74" s="618">
        <f t="shared" si="590"/>
        <v>0</v>
      </c>
      <c r="S74" s="618">
        <f t="shared" si="591"/>
        <v>0</v>
      </c>
      <c r="T74" s="618">
        <f t="shared" si="592"/>
        <v>0</v>
      </c>
      <c r="U74" s="618">
        <f t="shared" si="593"/>
        <v>0</v>
      </c>
      <c r="V74" s="618">
        <f t="shared" si="594"/>
        <v>0</v>
      </c>
      <c r="W74" s="618">
        <f t="shared" si="595"/>
        <v>0</v>
      </c>
      <c r="X74" s="618">
        <f t="shared" si="596"/>
        <v>0</v>
      </c>
      <c r="Y74" s="618">
        <f t="shared" si="597"/>
        <v>0</v>
      </c>
      <c r="Z74" s="618">
        <f t="shared" si="598"/>
        <v>0</v>
      </c>
      <c r="AA74" s="618">
        <f t="shared" si="599"/>
        <v>0</v>
      </c>
      <c r="AB74" s="618">
        <f t="shared" si="600"/>
        <v>0</v>
      </c>
      <c r="AC74" s="618">
        <f t="shared" si="601"/>
        <v>0</v>
      </c>
      <c r="AD74" s="618">
        <f t="shared" si="602"/>
        <v>0</v>
      </c>
      <c r="AE74" s="618">
        <f t="shared" si="603"/>
        <v>0</v>
      </c>
      <c r="AF74" s="618">
        <f t="shared" si="604"/>
        <v>0</v>
      </c>
      <c r="AG74" s="618">
        <f t="shared" si="605"/>
        <v>0</v>
      </c>
      <c r="AH74" s="618">
        <f t="shared" si="606"/>
        <v>0</v>
      </c>
      <c r="AI74" s="618">
        <f t="shared" si="607"/>
        <v>0</v>
      </c>
      <c r="AJ74" s="618">
        <f t="shared" si="608"/>
        <v>0</v>
      </c>
      <c r="AK74" s="618">
        <f t="shared" si="609"/>
        <v>0</v>
      </c>
      <c r="AL74" s="618">
        <f t="shared" si="610"/>
        <v>0</v>
      </c>
      <c r="AM74" s="618">
        <f t="shared" si="611"/>
        <v>0</v>
      </c>
      <c r="AN74" s="618">
        <f t="shared" si="612"/>
        <v>0</v>
      </c>
      <c r="AO74" s="618">
        <f t="shared" si="613"/>
        <v>0</v>
      </c>
      <c r="AP74" s="618">
        <f t="shared" si="614"/>
        <v>0</v>
      </c>
      <c r="AQ74" s="618">
        <f t="shared" si="615"/>
        <v>0</v>
      </c>
      <c r="AR74" s="618">
        <f t="shared" si="616"/>
        <v>0</v>
      </c>
      <c r="AS74" s="618">
        <f t="shared" si="617"/>
        <v>0</v>
      </c>
      <c r="AT74" s="618">
        <f t="shared" si="618"/>
        <v>0</v>
      </c>
      <c r="AU74" s="618">
        <f t="shared" si="619"/>
        <v>0</v>
      </c>
      <c r="AV74" s="618">
        <f t="shared" si="620"/>
        <v>0</v>
      </c>
      <c r="AW74" s="618">
        <f t="shared" si="621"/>
        <v>0</v>
      </c>
      <c r="AX74" s="618">
        <f t="shared" si="622"/>
        <v>0</v>
      </c>
      <c r="AY74" s="618">
        <f t="shared" si="623"/>
        <v>0</v>
      </c>
      <c r="AZ74" s="618">
        <f t="shared" si="624"/>
        <v>0</v>
      </c>
      <c r="BA74" s="618">
        <f t="shared" si="625"/>
        <v>0</v>
      </c>
      <c r="BB74" s="618">
        <f t="shared" si="626"/>
        <v>0</v>
      </c>
      <c r="BC74" s="618">
        <f t="shared" si="627"/>
        <v>0</v>
      </c>
      <c r="BD74" s="618">
        <f t="shared" si="628"/>
        <v>0</v>
      </c>
      <c r="BE74" s="618">
        <f t="shared" si="629"/>
        <v>0</v>
      </c>
      <c r="BF74" s="618">
        <f t="shared" si="630"/>
        <v>0</v>
      </c>
      <c r="BG74" s="618">
        <f t="shared" si="631"/>
        <v>0</v>
      </c>
      <c r="BH74" s="618">
        <f t="shared" si="632"/>
        <v>0</v>
      </c>
      <c r="BI74" s="618">
        <f t="shared" si="633"/>
        <v>0</v>
      </c>
      <c r="BJ74" s="618">
        <f t="shared" si="634"/>
        <v>0</v>
      </c>
      <c r="BK74" s="618">
        <f t="shared" si="635"/>
        <v>0</v>
      </c>
      <c r="BL74" s="618">
        <f t="shared" si="636"/>
        <v>0</v>
      </c>
      <c r="BM74" s="618">
        <f t="shared" si="637"/>
        <v>0</v>
      </c>
      <c r="BN74" s="618">
        <f t="shared" si="638"/>
        <v>0</v>
      </c>
      <c r="BO74" s="618">
        <f t="shared" si="639"/>
        <v>0</v>
      </c>
      <c r="BP74" s="618">
        <f t="shared" si="640"/>
        <v>0</v>
      </c>
      <c r="BQ74" s="618">
        <f t="shared" si="641"/>
        <v>0</v>
      </c>
      <c r="BR74" s="618">
        <f t="shared" si="642"/>
        <v>0</v>
      </c>
      <c r="BS74" s="618">
        <f t="shared" si="643"/>
        <v>0</v>
      </c>
      <c r="BT74" s="618">
        <f t="shared" si="644"/>
        <v>0</v>
      </c>
      <c r="BU74" s="618">
        <f t="shared" si="645"/>
        <v>0</v>
      </c>
      <c r="BV74" s="618">
        <f t="shared" si="646"/>
        <v>0</v>
      </c>
      <c r="BW74" s="618">
        <f t="shared" si="647"/>
        <v>0</v>
      </c>
      <c r="BX74" s="618">
        <f t="shared" si="648"/>
        <v>0</v>
      </c>
      <c r="BY74" s="618">
        <f t="shared" si="649"/>
        <v>0</v>
      </c>
      <c r="BZ74" s="618">
        <f t="shared" si="650"/>
        <v>0</v>
      </c>
      <c r="CA74" s="618">
        <f t="shared" si="651"/>
        <v>0</v>
      </c>
      <c r="CB74" s="618">
        <f t="shared" si="652"/>
        <v>0</v>
      </c>
      <c r="CC74" s="618">
        <f t="shared" si="653"/>
        <v>0</v>
      </c>
      <c r="CD74" s="618">
        <f t="shared" si="654"/>
        <v>0</v>
      </c>
      <c r="CE74" s="618">
        <f t="shared" si="655"/>
        <v>0</v>
      </c>
      <c r="CF74" s="618">
        <f t="shared" si="656"/>
        <v>0</v>
      </c>
      <c r="CG74" s="618">
        <f t="shared" si="657"/>
        <v>0</v>
      </c>
      <c r="CH74" s="618">
        <f t="shared" si="658"/>
        <v>0</v>
      </c>
    </row>
    <row r="75" spans="1:86" x14ac:dyDescent="0.2">
      <c r="A75" s="613">
        <v>63</v>
      </c>
      <c r="B75" s="210" t="s">
        <v>599</v>
      </c>
      <c r="C75" s="605"/>
      <c r="D75" s="605"/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17">
        <f>'[3]PA Decline'!$M$24</f>
        <v>0</v>
      </c>
      <c r="P75" s="618">
        <f t="shared" si="659"/>
        <v>0</v>
      </c>
      <c r="Q75" s="618">
        <f t="shared" si="589"/>
        <v>0</v>
      </c>
      <c r="R75" s="618">
        <f t="shared" si="590"/>
        <v>0</v>
      </c>
      <c r="S75" s="618">
        <f t="shared" si="591"/>
        <v>0</v>
      </c>
      <c r="T75" s="618">
        <f t="shared" si="592"/>
        <v>0</v>
      </c>
      <c r="U75" s="618">
        <f t="shared" si="593"/>
        <v>0</v>
      </c>
      <c r="V75" s="618">
        <f t="shared" si="594"/>
        <v>0</v>
      </c>
      <c r="W75" s="618">
        <f t="shared" si="595"/>
        <v>0</v>
      </c>
      <c r="X75" s="618">
        <f t="shared" si="596"/>
        <v>0</v>
      </c>
      <c r="Y75" s="618">
        <f t="shared" si="597"/>
        <v>0</v>
      </c>
      <c r="Z75" s="618">
        <f t="shared" si="598"/>
        <v>0</v>
      </c>
      <c r="AA75" s="618">
        <f t="shared" si="599"/>
        <v>0</v>
      </c>
      <c r="AB75" s="618">
        <f t="shared" si="600"/>
        <v>0</v>
      </c>
      <c r="AC75" s="618">
        <f t="shared" si="601"/>
        <v>0</v>
      </c>
      <c r="AD75" s="618">
        <f t="shared" si="602"/>
        <v>0</v>
      </c>
      <c r="AE75" s="618">
        <f t="shared" si="603"/>
        <v>0</v>
      </c>
      <c r="AF75" s="618">
        <f t="shared" si="604"/>
        <v>0</v>
      </c>
      <c r="AG75" s="618">
        <f t="shared" si="605"/>
        <v>0</v>
      </c>
      <c r="AH75" s="618">
        <f t="shared" si="606"/>
        <v>0</v>
      </c>
      <c r="AI75" s="618">
        <f t="shared" si="607"/>
        <v>0</v>
      </c>
      <c r="AJ75" s="618">
        <f t="shared" si="608"/>
        <v>0</v>
      </c>
      <c r="AK75" s="618">
        <f t="shared" si="609"/>
        <v>0</v>
      </c>
      <c r="AL75" s="618">
        <f t="shared" si="610"/>
        <v>0</v>
      </c>
      <c r="AM75" s="618">
        <f t="shared" si="611"/>
        <v>0</v>
      </c>
      <c r="AN75" s="618">
        <f t="shared" si="612"/>
        <v>0</v>
      </c>
      <c r="AO75" s="618">
        <f t="shared" si="613"/>
        <v>0</v>
      </c>
      <c r="AP75" s="618">
        <f t="shared" si="614"/>
        <v>0</v>
      </c>
      <c r="AQ75" s="618">
        <f t="shared" si="615"/>
        <v>0</v>
      </c>
      <c r="AR75" s="618">
        <f t="shared" si="616"/>
        <v>0</v>
      </c>
      <c r="AS75" s="618">
        <f t="shared" si="617"/>
        <v>0</v>
      </c>
      <c r="AT75" s="618">
        <f t="shared" si="618"/>
        <v>0</v>
      </c>
      <c r="AU75" s="618">
        <f t="shared" si="619"/>
        <v>0</v>
      </c>
      <c r="AV75" s="618">
        <f t="shared" si="620"/>
        <v>0</v>
      </c>
      <c r="AW75" s="618">
        <f t="shared" si="621"/>
        <v>0</v>
      </c>
      <c r="AX75" s="618">
        <f t="shared" si="622"/>
        <v>0</v>
      </c>
      <c r="AY75" s="618">
        <f t="shared" si="623"/>
        <v>0</v>
      </c>
      <c r="AZ75" s="618">
        <f t="shared" si="624"/>
        <v>0</v>
      </c>
      <c r="BA75" s="618">
        <f t="shared" si="625"/>
        <v>0</v>
      </c>
      <c r="BB75" s="618">
        <f t="shared" si="626"/>
        <v>0</v>
      </c>
      <c r="BC75" s="618">
        <f t="shared" si="627"/>
        <v>0</v>
      </c>
      <c r="BD75" s="618">
        <f t="shared" si="628"/>
        <v>0</v>
      </c>
      <c r="BE75" s="618">
        <f t="shared" si="629"/>
        <v>0</v>
      </c>
      <c r="BF75" s="618">
        <f t="shared" si="630"/>
        <v>0</v>
      </c>
      <c r="BG75" s="618">
        <f t="shared" si="631"/>
        <v>0</v>
      </c>
      <c r="BH75" s="618">
        <f t="shared" si="632"/>
        <v>0</v>
      </c>
      <c r="BI75" s="618">
        <f t="shared" si="633"/>
        <v>0</v>
      </c>
      <c r="BJ75" s="618">
        <f t="shared" si="634"/>
        <v>0</v>
      </c>
      <c r="BK75" s="618">
        <f t="shared" si="635"/>
        <v>0</v>
      </c>
      <c r="BL75" s="618">
        <f t="shared" si="636"/>
        <v>0</v>
      </c>
      <c r="BM75" s="618">
        <f t="shared" si="637"/>
        <v>0</v>
      </c>
      <c r="BN75" s="618">
        <f t="shared" si="638"/>
        <v>0</v>
      </c>
      <c r="BO75" s="618">
        <f t="shared" si="639"/>
        <v>0</v>
      </c>
      <c r="BP75" s="618">
        <f t="shared" si="640"/>
        <v>0</v>
      </c>
      <c r="BQ75" s="618">
        <f t="shared" si="641"/>
        <v>0</v>
      </c>
      <c r="BR75" s="618">
        <f t="shared" si="642"/>
        <v>0</v>
      </c>
      <c r="BS75" s="618">
        <f t="shared" si="643"/>
        <v>0</v>
      </c>
      <c r="BT75" s="618">
        <f t="shared" si="644"/>
        <v>0</v>
      </c>
      <c r="BU75" s="618">
        <f t="shared" si="645"/>
        <v>0</v>
      </c>
      <c r="BV75" s="618">
        <f t="shared" si="646"/>
        <v>0</v>
      </c>
      <c r="BW75" s="618">
        <f t="shared" si="647"/>
        <v>0</v>
      </c>
      <c r="BX75" s="618">
        <f t="shared" si="648"/>
        <v>0</v>
      </c>
      <c r="BY75" s="618">
        <f t="shared" si="649"/>
        <v>0</v>
      </c>
      <c r="BZ75" s="618">
        <f t="shared" si="650"/>
        <v>0</v>
      </c>
      <c r="CA75" s="618">
        <f t="shared" si="651"/>
        <v>0</v>
      </c>
      <c r="CB75" s="618">
        <f t="shared" si="652"/>
        <v>0</v>
      </c>
      <c r="CC75" s="618">
        <f t="shared" si="653"/>
        <v>0</v>
      </c>
      <c r="CD75" s="618">
        <f t="shared" si="654"/>
        <v>0</v>
      </c>
      <c r="CE75" s="618">
        <f t="shared" si="655"/>
        <v>0</v>
      </c>
      <c r="CF75" s="618">
        <f t="shared" si="656"/>
        <v>0</v>
      </c>
      <c r="CG75" s="618">
        <f t="shared" si="657"/>
        <v>0</v>
      </c>
      <c r="CH75" s="618">
        <f t="shared" si="658"/>
        <v>0</v>
      </c>
    </row>
    <row r="76" spans="1:86" x14ac:dyDescent="0.2">
      <c r="A76" s="613">
        <v>64</v>
      </c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</row>
    <row r="77" spans="1:86" x14ac:dyDescent="0.2">
      <c r="A77" s="613">
        <v>65</v>
      </c>
      <c r="B77" s="210" t="s">
        <v>593</v>
      </c>
      <c r="C77" s="44">
        <f t="shared" ref="C77:BN77" si="660">C82*C84</f>
        <v>27595.746988143321</v>
      </c>
      <c r="D77" s="44">
        <f t="shared" si="660"/>
        <v>28096.187995700326</v>
      </c>
      <c r="E77" s="44">
        <f t="shared" si="660"/>
        <v>27166.79755309446</v>
      </c>
      <c r="F77" s="44">
        <f t="shared" si="660"/>
        <v>27863.840385048858</v>
      </c>
      <c r="G77" s="44">
        <f t="shared" si="660"/>
        <v>28006.823530065147</v>
      </c>
      <c r="H77" s="44">
        <f t="shared" si="660"/>
        <v>24628.846729055374</v>
      </c>
      <c r="I77" s="44">
        <f t="shared" si="660"/>
        <v>31617.147941726384</v>
      </c>
      <c r="J77" s="44">
        <f t="shared" si="660"/>
        <v>27792.348812540717</v>
      </c>
      <c r="K77" s="44">
        <f t="shared" si="660"/>
        <v>27702.984346905538</v>
      </c>
      <c r="L77" s="44">
        <f t="shared" si="660"/>
        <v>27935.331957557002</v>
      </c>
      <c r="M77" s="44">
        <f t="shared" si="660"/>
        <v>27935.331957557002</v>
      </c>
      <c r="N77" s="44">
        <f t="shared" si="660"/>
        <v>26934.449942442996</v>
      </c>
      <c r="O77" s="44">
        <f t="shared" si="660"/>
        <v>27595.746988143321</v>
      </c>
      <c r="P77" s="44">
        <f t="shared" si="660"/>
        <v>28096.187995700326</v>
      </c>
      <c r="Q77" s="44">
        <f t="shared" si="660"/>
        <v>27166.79755309446</v>
      </c>
      <c r="R77" s="44">
        <f t="shared" si="660"/>
        <v>27863.840385048858</v>
      </c>
      <c r="S77" s="44">
        <f t="shared" si="660"/>
        <v>28006.823530065147</v>
      </c>
      <c r="T77" s="44">
        <f t="shared" si="660"/>
        <v>24628.846729055374</v>
      </c>
      <c r="U77" s="44">
        <f t="shared" si="660"/>
        <v>31617.147941726384</v>
      </c>
      <c r="V77" s="44">
        <f t="shared" si="660"/>
        <v>27792.348812540717</v>
      </c>
      <c r="W77" s="44">
        <f t="shared" si="660"/>
        <v>27702.984346905538</v>
      </c>
      <c r="X77" s="44">
        <f t="shared" si="660"/>
        <v>27935.331957557002</v>
      </c>
      <c r="Y77" s="44">
        <f t="shared" si="660"/>
        <v>27935.331957557002</v>
      </c>
      <c r="Z77" s="44">
        <f t="shared" si="660"/>
        <v>26934.449942442996</v>
      </c>
      <c r="AA77" s="44">
        <f t="shared" si="660"/>
        <v>27595.746988143321</v>
      </c>
      <c r="AB77" s="44">
        <f t="shared" si="660"/>
        <v>28096.187995700326</v>
      </c>
      <c r="AC77" s="44">
        <f t="shared" si="660"/>
        <v>27166.79755309446</v>
      </c>
      <c r="AD77" s="44">
        <f t="shared" si="660"/>
        <v>27863.840385048858</v>
      </c>
      <c r="AE77" s="44">
        <f t="shared" si="660"/>
        <v>28006.823530065147</v>
      </c>
      <c r="AF77" s="44">
        <f t="shared" si="660"/>
        <v>24628.846729055374</v>
      </c>
      <c r="AG77" s="44">
        <f t="shared" si="660"/>
        <v>31617.147941726384</v>
      </c>
      <c r="AH77" s="44">
        <f t="shared" si="660"/>
        <v>27792.348812540717</v>
      </c>
      <c r="AI77" s="44">
        <f t="shared" si="660"/>
        <v>27702.984346905538</v>
      </c>
      <c r="AJ77" s="44">
        <f t="shared" si="660"/>
        <v>27935.331957557002</v>
      </c>
      <c r="AK77" s="44">
        <f t="shared" si="660"/>
        <v>27935.331957557002</v>
      </c>
      <c r="AL77" s="44">
        <f t="shared" si="660"/>
        <v>26934.449942442996</v>
      </c>
      <c r="AM77" s="44">
        <f t="shared" si="660"/>
        <v>27595.746988143321</v>
      </c>
      <c r="AN77" s="44">
        <f t="shared" si="660"/>
        <v>28096.187995700326</v>
      </c>
      <c r="AO77" s="44">
        <f t="shared" si="660"/>
        <v>27166.79755309446</v>
      </c>
      <c r="AP77" s="44">
        <f t="shared" si="660"/>
        <v>27863.840385048858</v>
      </c>
      <c r="AQ77" s="44">
        <f t="shared" si="660"/>
        <v>28006.823530065147</v>
      </c>
      <c r="AR77" s="44">
        <f t="shared" si="660"/>
        <v>24628.846729055374</v>
      </c>
      <c r="AS77" s="44">
        <f t="shared" si="660"/>
        <v>31617.147941726384</v>
      </c>
      <c r="AT77" s="44">
        <f t="shared" si="660"/>
        <v>27792.348812540717</v>
      </c>
      <c r="AU77" s="44">
        <f t="shared" si="660"/>
        <v>27702.984346905538</v>
      </c>
      <c r="AV77" s="44">
        <f t="shared" si="660"/>
        <v>27935.331957557002</v>
      </c>
      <c r="AW77" s="44">
        <f t="shared" si="660"/>
        <v>27935.331957557002</v>
      </c>
      <c r="AX77" s="44">
        <f t="shared" si="660"/>
        <v>26934.449942442996</v>
      </c>
      <c r="AY77" s="44">
        <f t="shared" si="660"/>
        <v>27595.746988143321</v>
      </c>
      <c r="AZ77" s="44">
        <f t="shared" si="660"/>
        <v>28096.187995700326</v>
      </c>
      <c r="BA77" s="44">
        <f t="shared" si="660"/>
        <v>27166.79755309446</v>
      </c>
      <c r="BB77" s="44">
        <f t="shared" si="660"/>
        <v>27863.840385048858</v>
      </c>
      <c r="BC77" s="44">
        <f t="shared" si="660"/>
        <v>28006.823530065147</v>
      </c>
      <c r="BD77" s="44">
        <f t="shared" si="660"/>
        <v>24628.846729055374</v>
      </c>
      <c r="BE77" s="44">
        <f t="shared" si="660"/>
        <v>31617.147941726384</v>
      </c>
      <c r="BF77" s="44">
        <f t="shared" si="660"/>
        <v>27792.348812540717</v>
      </c>
      <c r="BG77" s="44">
        <f t="shared" si="660"/>
        <v>27702.984346905538</v>
      </c>
      <c r="BH77" s="44">
        <f t="shared" si="660"/>
        <v>27935.331957557002</v>
      </c>
      <c r="BI77" s="44">
        <f t="shared" si="660"/>
        <v>27935.331957557002</v>
      </c>
      <c r="BJ77" s="44">
        <f t="shared" si="660"/>
        <v>26934.449942442996</v>
      </c>
      <c r="BK77" s="44">
        <f t="shared" si="660"/>
        <v>27595.746988143321</v>
      </c>
      <c r="BL77" s="44">
        <f t="shared" si="660"/>
        <v>28096.187995700326</v>
      </c>
      <c r="BM77" s="44">
        <f t="shared" si="660"/>
        <v>27166.79755309446</v>
      </c>
      <c r="BN77" s="44">
        <f t="shared" si="660"/>
        <v>27863.840385048858</v>
      </c>
      <c r="BO77" s="44">
        <f t="shared" ref="BO77:CH77" si="661">BO82*BO84</f>
        <v>28006.823530065147</v>
      </c>
      <c r="BP77" s="44">
        <f t="shared" si="661"/>
        <v>24628.846729055374</v>
      </c>
      <c r="BQ77" s="44">
        <f t="shared" si="661"/>
        <v>31617.147941726384</v>
      </c>
      <c r="BR77" s="44">
        <f t="shared" si="661"/>
        <v>27792.348812540717</v>
      </c>
      <c r="BS77" s="44">
        <f t="shared" si="661"/>
        <v>27702.984346905538</v>
      </c>
      <c r="BT77" s="44">
        <f t="shared" si="661"/>
        <v>27935.331957557002</v>
      </c>
      <c r="BU77" s="44">
        <f t="shared" si="661"/>
        <v>27935.331957557002</v>
      </c>
      <c r="BV77" s="44">
        <f t="shared" si="661"/>
        <v>26934.449942442996</v>
      </c>
      <c r="BW77" s="44">
        <f t="shared" si="661"/>
        <v>27595.746988143321</v>
      </c>
      <c r="BX77" s="44">
        <f t="shared" si="661"/>
        <v>28096.187995700326</v>
      </c>
      <c r="BY77" s="44">
        <f t="shared" si="661"/>
        <v>27166.79755309446</v>
      </c>
      <c r="BZ77" s="44">
        <f t="shared" si="661"/>
        <v>27863.840385048858</v>
      </c>
      <c r="CA77" s="44">
        <f t="shared" si="661"/>
        <v>28006.823530065147</v>
      </c>
      <c r="CB77" s="44">
        <f t="shared" si="661"/>
        <v>24628.846729055374</v>
      </c>
      <c r="CC77" s="44">
        <f t="shared" si="661"/>
        <v>31617.147941726384</v>
      </c>
      <c r="CD77" s="44">
        <f t="shared" si="661"/>
        <v>27792.348812540717</v>
      </c>
      <c r="CE77" s="44">
        <f t="shared" si="661"/>
        <v>27702.984346905538</v>
      </c>
      <c r="CF77" s="44">
        <f t="shared" si="661"/>
        <v>27935.331957557002</v>
      </c>
      <c r="CG77" s="44">
        <f t="shared" si="661"/>
        <v>27935.331957557002</v>
      </c>
      <c r="CH77" s="44">
        <f t="shared" si="661"/>
        <v>26934.449942442996</v>
      </c>
    </row>
    <row r="78" spans="1:86" x14ac:dyDescent="0.2">
      <c r="A78" s="613">
        <v>66</v>
      </c>
      <c r="B78" s="210" t="s">
        <v>594</v>
      </c>
      <c r="C78" s="44">
        <f t="shared" ref="C78:N78" si="662">C86-C77</f>
        <v>6648.7099118566766</v>
      </c>
      <c r="D78" s="44">
        <f t="shared" si="662"/>
        <v>15678.972804299672</v>
      </c>
      <c r="E78" s="44">
        <f t="shared" si="662"/>
        <v>58635.833746905533</v>
      </c>
      <c r="F78" s="44">
        <f t="shared" si="662"/>
        <v>126039.87131495116</v>
      </c>
      <c r="G78" s="44">
        <f t="shared" si="662"/>
        <v>181586.94576993486</v>
      </c>
      <c r="H78" s="44">
        <f t="shared" si="662"/>
        <v>152077.19197094467</v>
      </c>
      <c r="I78" s="44">
        <f t="shared" si="662"/>
        <v>195211.63985827361</v>
      </c>
      <c r="J78" s="44">
        <f t="shared" si="662"/>
        <v>60116.949387459288</v>
      </c>
      <c r="K78" s="44">
        <f t="shared" si="662"/>
        <v>22327.728453094471</v>
      </c>
      <c r="L78" s="44">
        <f t="shared" si="662"/>
        <v>2837.5424424429984</v>
      </c>
      <c r="M78" s="44">
        <f t="shared" si="662"/>
        <v>-2071.0697575570048</v>
      </c>
      <c r="N78" s="44">
        <f t="shared" si="662"/>
        <v>2071.0697575570048</v>
      </c>
      <c r="O78" s="45">
        <f>O80*O84*O$14</f>
        <v>548.18658566675549</v>
      </c>
      <c r="P78" s="45">
        <f t="shared" ref="P78:Z78" si="663">P80*P84*P$14</f>
        <v>16185.706002186562</v>
      </c>
      <c r="Q78" s="45">
        <f t="shared" si="663"/>
        <v>69976.63306844543</v>
      </c>
      <c r="R78" s="45">
        <f t="shared" si="663"/>
        <v>130628.88688138299</v>
      </c>
      <c r="S78" s="45">
        <f t="shared" si="663"/>
        <v>157076.87772875984</v>
      </c>
      <c r="T78" s="45">
        <f t="shared" si="663"/>
        <v>152156.57174881696</v>
      </c>
      <c r="U78" s="45">
        <f t="shared" si="663"/>
        <v>132523.04195556187</v>
      </c>
      <c r="V78" s="45">
        <f t="shared" si="663"/>
        <v>65882.985832216349</v>
      </c>
      <c r="W78" s="45">
        <f t="shared" si="663"/>
        <v>22196.112724913644</v>
      </c>
      <c r="X78" s="45">
        <f t="shared" si="663"/>
        <v>4254.4817720496958</v>
      </c>
      <c r="Y78" s="45">
        <f t="shared" si="663"/>
        <v>0</v>
      </c>
      <c r="Z78" s="45">
        <f t="shared" si="663"/>
        <v>0</v>
      </c>
      <c r="AA78" s="45">
        <f>AA80*AA84*AA$14</f>
        <v>548.1867003480836</v>
      </c>
      <c r="AB78" s="45">
        <f t="shared" ref="AB78:AL78" si="664">AB80*AB84*AB$14</f>
        <v>16185.709388256761</v>
      </c>
      <c r="AC78" s="45">
        <f t="shared" si="664"/>
        <v>69976.647707645709</v>
      </c>
      <c r="AD78" s="45">
        <f t="shared" si="664"/>
        <v>130628.91420911161</v>
      </c>
      <c r="AE78" s="45">
        <f t="shared" si="664"/>
        <v>157076.91058944163</v>
      </c>
      <c r="AF78" s="45">
        <f t="shared" si="664"/>
        <v>152156.60358016452</v>
      </c>
      <c r="AG78" s="45">
        <f t="shared" si="664"/>
        <v>132523.0696795501</v>
      </c>
      <c r="AH78" s="45">
        <f t="shared" si="664"/>
        <v>65882.999615020453</v>
      </c>
      <c r="AI78" s="45">
        <f t="shared" si="664"/>
        <v>22196.117368368545</v>
      </c>
      <c r="AJ78" s="45">
        <f t="shared" si="664"/>
        <v>4254.4826620926724</v>
      </c>
      <c r="AK78" s="45">
        <f t="shared" si="664"/>
        <v>0</v>
      </c>
      <c r="AL78" s="45">
        <f t="shared" si="664"/>
        <v>0</v>
      </c>
      <c r="AM78" s="45">
        <f>AM80*AM84*AM$14</f>
        <v>548.1867003480836</v>
      </c>
      <c r="AN78" s="45">
        <f t="shared" ref="AN78:AX78" si="665">AN80*AN84*AN$14</f>
        <v>16185.709388256761</v>
      </c>
      <c r="AO78" s="45">
        <f t="shared" si="665"/>
        <v>69976.647707645709</v>
      </c>
      <c r="AP78" s="45">
        <f t="shared" si="665"/>
        <v>130628.91420911161</v>
      </c>
      <c r="AQ78" s="45">
        <f t="shared" si="665"/>
        <v>157076.91058944163</v>
      </c>
      <c r="AR78" s="45">
        <f t="shared" si="665"/>
        <v>152156.60358016452</v>
      </c>
      <c r="AS78" s="45">
        <f t="shared" si="665"/>
        <v>132523.0696795501</v>
      </c>
      <c r="AT78" s="45">
        <f t="shared" si="665"/>
        <v>65882.999615020453</v>
      </c>
      <c r="AU78" s="45">
        <f t="shared" si="665"/>
        <v>22196.117368368545</v>
      </c>
      <c r="AV78" s="45">
        <f t="shared" si="665"/>
        <v>4254.4826620926724</v>
      </c>
      <c r="AW78" s="45">
        <f t="shared" si="665"/>
        <v>0</v>
      </c>
      <c r="AX78" s="45">
        <f t="shared" si="665"/>
        <v>0</v>
      </c>
      <c r="AY78" s="45">
        <f>AY80*AY84*AY$14</f>
        <v>548.1867003480836</v>
      </c>
      <c r="AZ78" s="45">
        <f t="shared" ref="AZ78:BJ78" si="666">AZ80*AZ84*AZ$14</f>
        <v>16185.709388256761</v>
      </c>
      <c r="BA78" s="45">
        <f t="shared" si="666"/>
        <v>69976.647707645709</v>
      </c>
      <c r="BB78" s="45">
        <f t="shared" si="666"/>
        <v>130628.91420911161</v>
      </c>
      <c r="BC78" s="45">
        <f t="shared" si="666"/>
        <v>157076.91058944163</v>
      </c>
      <c r="BD78" s="45">
        <f t="shared" si="666"/>
        <v>152156.60358016452</v>
      </c>
      <c r="BE78" s="45">
        <f t="shared" si="666"/>
        <v>132523.0696795501</v>
      </c>
      <c r="BF78" s="45">
        <f t="shared" si="666"/>
        <v>65882.999615020453</v>
      </c>
      <c r="BG78" s="45">
        <f t="shared" si="666"/>
        <v>22196.117368368545</v>
      </c>
      <c r="BH78" s="45">
        <f t="shared" si="666"/>
        <v>4254.4826620926724</v>
      </c>
      <c r="BI78" s="45">
        <f t="shared" si="666"/>
        <v>0</v>
      </c>
      <c r="BJ78" s="45">
        <f t="shared" si="666"/>
        <v>0</v>
      </c>
      <c r="BK78" s="45">
        <f>BK80*BK84*BK$14</f>
        <v>548.1867003480836</v>
      </c>
      <c r="BL78" s="45">
        <f t="shared" ref="BL78:BV78" si="667">BL80*BL84*BL$14</f>
        <v>16185.709388256761</v>
      </c>
      <c r="BM78" s="45">
        <f t="shared" si="667"/>
        <v>69976.647707645709</v>
      </c>
      <c r="BN78" s="45">
        <f t="shared" si="667"/>
        <v>130628.91420911161</v>
      </c>
      <c r="BO78" s="45">
        <f t="shared" si="667"/>
        <v>157076.91058944163</v>
      </c>
      <c r="BP78" s="45">
        <f t="shared" si="667"/>
        <v>152156.60358016452</v>
      </c>
      <c r="BQ78" s="45">
        <f t="shared" si="667"/>
        <v>132523.0696795501</v>
      </c>
      <c r="BR78" s="45">
        <f t="shared" si="667"/>
        <v>65882.999615020453</v>
      </c>
      <c r="BS78" s="45">
        <f t="shared" si="667"/>
        <v>22196.117368368545</v>
      </c>
      <c r="BT78" s="45">
        <f t="shared" si="667"/>
        <v>4254.4826620926724</v>
      </c>
      <c r="BU78" s="45">
        <f t="shared" si="667"/>
        <v>0</v>
      </c>
      <c r="BV78" s="45">
        <f t="shared" si="667"/>
        <v>0</v>
      </c>
      <c r="BW78" s="45">
        <f>BW80*BW84*BW$14</f>
        <v>548.1867003480836</v>
      </c>
      <c r="BX78" s="45">
        <f t="shared" ref="BX78:CH78" si="668">BX80*BX84*BX$14</f>
        <v>16185.709388256761</v>
      </c>
      <c r="BY78" s="45">
        <f t="shared" si="668"/>
        <v>69976.647707645709</v>
      </c>
      <c r="BZ78" s="45">
        <f t="shared" si="668"/>
        <v>130628.91420911161</v>
      </c>
      <c r="CA78" s="45">
        <f t="shared" si="668"/>
        <v>157076.91058944163</v>
      </c>
      <c r="CB78" s="45">
        <f t="shared" si="668"/>
        <v>152156.60358016452</v>
      </c>
      <c r="CC78" s="45">
        <f t="shared" si="668"/>
        <v>132523.0696795501</v>
      </c>
      <c r="CD78" s="45">
        <f t="shared" si="668"/>
        <v>65882.999615020453</v>
      </c>
      <c r="CE78" s="45">
        <f t="shared" si="668"/>
        <v>22196.117368368545</v>
      </c>
      <c r="CF78" s="45">
        <f t="shared" si="668"/>
        <v>4254.4826620926724</v>
      </c>
      <c r="CG78" s="45">
        <f t="shared" si="668"/>
        <v>0</v>
      </c>
      <c r="CH78" s="45">
        <f t="shared" si="668"/>
        <v>0</v>
      </c>
    </row>
    <row r="79" spans="1:86" x14ac:dyDescent="0.2">
      <c r="A79" s="613">
        <v>67</v>
      </c>
      <c r="B79" s="210" t="s">
        <v>595</v>
      </c>
      <c r="C79" s="619">
        <f t="shared" ref="C79:N79" si="669">C78/C84</f>
        <v>4.3061592693372255</v>
      </c>
      <c r="D79" s="619">
        <f t="shared" si="669"/>
        <v>9.9739012749997915</v>
      </c>
      <c r="E79" s="619">
        <f t="shared" si="669"/>
        <v>38.576206412437848</v>
      </c>
      <c r="F79" s="619">
        <f t="shared" si="669"/>
        <v>80.846614057056556</v>
      </c>
      <c r="G79" s="619">
        <f t="shared" si="669"/>
        <v>115.88190540519136</v>
      </c>
      <c r="H79" s="619">
        <f t="shared" si="669"/>
        <v>110.36080694553314</v>
      </c>
      <c r="I79" s="619">
        <f t="shared" si="669"/>
        <v>110.35140749478441</v>
      </c>
      <c r="J79" s="619">
        <f t="shared" si="669"/>
        <v>38.66041761251401</v>
      </c>
      <c r="K79" s="619">
        <f t="shared" si="669"/>
        <v>14.404986098770626</v>
      </c>
      <c r="L79" s="619">
        <f t="shared" si="669"/>
        <v>1.8154462203729997</v>
      </c>
      <c r="M79" s="619">
        <f t="shared" si="669"/>
        <v>-1.3250606254363435</v>
      </c>
      <c r="N79" s="619">
        <f t="shared" si="669"/>
        <v>1.3742997727650994</v>
      </c>
      <c r="O79" s="620">
        <f>O78/O84</f>
        <v>0.35504312543183647</v>
      </c>
      <c r="P79" s="620">
        <f t="shared" ref="P79:Z79" si="670">P78/P84</f>
        <v>10.296250637523258</v>
      </c>
      <c r="Q79" s="620">
        <f t="shared" si="670"/>
        <v>46.03725859766147</v>
      </c>
      <c r="R79" s="620">
        <f t="shared" si="670"/>
        <v>83.790177601913399</v>
      </c>
      <c r="S79" s="620">
        <f t="shared" si="670"/>
        <v>100.24050908025517</v>
      </c>
      <c r="T79" s="620">
        <f t="shared" si="670"/>
        <v>110.41841200930114</v>
      </c>
      <c r="U79" s="620">
        <f t="shared" si="670"/>
        <v>74.914099466117506</v>
      </c>
      <c r="V79" s="620">
        <f t="shared" si="670"/>
        <v>42.368479634865821</v>
      </c>
      <c r="W79" s="620">
        <f t="shared" si="670"/>
        <v>14.320072725750737</v>
      </c>
      <c r="X79" s="620">
        <f t="shared" si="670"/>
        <v>2.7219972949774127</v>
      </c>
      <c r="Y79" s="620">
        <f t="shared" si="670"/>
        <v>0</v>
      </c>
      <c r="Z79" s="620">
        <f t="shared" si="670"/>
        <v>0</v>
      </c>
      <c r="AA79" s="620">
        <f>AA78/AA84</f>
        <v>0.35504319970730802</v>
      </c>
      <c r="AB79" s="620">
        <f t="shared" ref="AB79:AL79" si="671">AB78/AB84</f>
        <v>10.296252791511934</v>
      </c>
      <c r="AC79" s="620">
        <f t="shared" si="671"/>
        <v>46.037268228714282</v>
      </c>
      <c r="AD79" s="620">
        <f t="shared" si="671"/>
        <v>83.790195130924701</v>
      </c>
      <c r="AE79" s="620">
        <f t="shared" si="671"/>
        <v>100.24053005069663</v>
      </c>
      <c r="AF79" s="620">
        <f t="shared" si="671"/>
        <v>110.4184351089728</v>
      </c>
      <c r="AG79" s="620">
        <f t="shared" si="671"/>
        <v>74.914115138241996</v>
      </c>
      <c r="AH79" s="620">
        <f t="shared" si="671"/>
        <v>42.368488498405434</v>
      </c>
      <c r="AI79" s="620">
        <f t="shared" si="671"/>
        <v>14.320075721528093</v>
      </c>
      <c r="AJ79" s="620">
        <f t="shared" si="671"/>
        <v>2.7219978644226952</v>
      </c>
      <c r="AK79" s="620">
        <f t="shared" si="671"/>
        <v>0</v>
      </c>
      <c r="AL79" s="620">
        <f t="shared" si="671"/>
        <v>0</v>
      </c>
      <c r="AM79" s="620">
        <f>AM78/AM84</f>
        <v>0.35504319970730802</v>
      </c>
      <c r="AN79" s="620">
        <f t="shared" ref="AN79:AX79" si="672">AN78/AN84</f>
        <v>10.296252791511934</v>
      </c>
      <c r="AO79" s="620">
        <f t="shared" si="672"/>
        <v>46.037268228714282</v>
      </c>
      <c r="AP79" s="620">
        <f t="shared" si="672"/>
        <v>83.790195130924701</v>
      </c>
      <c r="AQ79" s="620">
        <f t="shared" si="672"/>
        <v>100.24053005069663</v>
      </c>
      <c r="AR79" s="620">
        <f t="shared" si="672"/>
        <v>110.4184351089728</v>
      </c>
      <c r="AS79" s="620">
        <f t="shared" si="672"/>
        <v>74.914115138241996</v>
      </c>
      <c r="AT79" s="620">
        <f t="shared" si="672"/>
        <v>42.368488498405434</v>
      </c>
      <c r="AU79" s="620">
        <f t="shared" si="672"/>
        <v>14.320075721528093</v>
      </c>
      <c r="AV79" s="620">
        <f t="shared" si="672"/>
        <v>2.7219978644226952</v>
      </c>
      <c r="AW79" s="620">
        <f t="shared" si="672"/>
        <v>0</v>
      </c>
      <c r="AX79" s="620">
        <f t="shared" si="672"/>
        <v>0</v>
      </c>
      <c r="AY79" s="620">
        <f>AY78/AY84</f>
        <v>0.35504319970730802</v>
      </c>
      <c r="AZ79" s="620">
        <f t="shared" ref="AZ79:BJ79" si="673">AZ78/AZ84</f>
        <v>10.296252791511934</v>
      </c>
      <c r="BA79" s="620">
        <f t="shared" si="673"/>
        <v>46.037268228714282</v>
      </c>
      <c r="BB79" s="620">
        <f t="shared" si="673"/>
        <v>83.790195130924701</v>
      </c>
      <c r="BC79" s="620">
        <f t="shared" si="673"/>
        <v>100.24053005069663</v>
      </c>
      <c r="BD79" s="620">
        <f t="shared" si="673"/>
        <v>110.4184351089728</v>
      </c>
      <c r="BE79" s="620">
        <f t="shared" si="673"/>
        <v>74.914115138241996</v>
      </c>
      <c r="BF79" s="620">
        <f t="shared" si="673"/>
        <v>42.368488498405434</v>
      </c>
      <c r="BG79" s="620">
        <f t="shared" si="673"/>
        <v>14.320075721528093</v>
      </c>
      <c r="BH79" s="620">
        <f t="shared" si="673"/>
        <v>2.7219978644226952</v>
      </c>
      <c r="BI79" s="620">
        <f t="shared" si="673"/>
        <v>0</v>
      </c>
      <c r="BJ79" s="620">
        <f t="shared" si="673"/>
        <v>0</v>
      </c>
      <c r="BK79" s="620">
        <f>BK78/BK84</f>
        <v>0.35504319970730802</v>
      </c>
      <c r="BL79" s="620">
        <f t="shared" ref="BL79:BV79" si="674">BL78/BL84</f>
        <v>10.296252791511934</v>
      </c>
      <c r="BM79" s="620">
        <f t="shared" si="674"/>
        <v>46.037268228714282</v>
      </c>
      <c r="BN79" s="620">
        <f t="shared" si="674"/>
        <v>83.790195130924701</v>
      </c>
      <c r="BO79" s="620">
        <f t="shared" si="674"/>
        <v>100.24053005069663</v>
      </c>
      <c r="BP79" s="620">
        <f t="shared" si="674"/>
        <v>110.4184351089728</v>
      </c>
      <c r="BQ79" s="620">
        <f t="shared" si="674"/>
        <v>74.914115138241996</v>
      </c>
      <c r="BR79" s="620">
        <f t="shared" si="674"/>
        <v>42.368488498405434</v>
      </c>
      <c r="BS79" s="620">
        <f t="shared" si="674"/>
        <v>14.320075721528093</v>
      </c>
      <c r="BT79" s="620">
        <f t="shared" si="674"/>
        <v>2.7219978644226952</v>
      </c>
      <c r="BU79" s="620">
        <f t="shared" si="674"/>
        <v>0</v>
      </c>
      <c r="BV79" s="620">
        <f t="shared" si="674"/>
        <v>0</v>
      </c>
      <c r="BW79" s="620">
        <f>BW78/BW84</f>
        <v>0.35504319970730802</v>
      </c>
      <c r="BX79" s="620">
        <f t="shared" ref="BX79:CH79" si="675">BX78/BX84</f>
        <v>10.296252791511934</v>
      </c>
      <c r="BY79" s="620">
        <f t="shared" si="675"/>
        <v>46.037268228714282</v>
      </c>
      <c r="BZ79" s="620">
        <f t="shared" si="675"/>
        <v>83.790195130924701</v>
      </c>
      <c r="CA79" s="620">
        <f t="shared" si="675"/>
        <v>100.24053005069663</v>
      </c>
      <c r="CB79" s="620">
        <f t="shared" si="675"/>
        <v>110.4184351089728</v>
      </c>
      <c r="CC79" s="620">
        <f t="shared" si="675"/>
        <v>74.914115138241996</v>
      </c>
      <c r="CD79" s="620">
        <f t="shared" si="675"/>
        <v>42.368488498405434</v>
      </c>
      <c r="CE79" s="620">
        <f t="shared" si="675"/>
        <v>14.320075721528093</v>
      </c>
      <c r="CF79" s="620">
        <f t="shared" si="675"/>
        <v>2.7219978644226952</v>
      </c>
      <c r="CG79" s="620">
        <f t="shared" si="675"/>
        <v>0</v>
      </c>
      <c r="CH79" s="620">
        <f t="shared" si="675"/>
        <v>0</v>
      </c>
    </row>
    <row r="80" spans="1:86" x14ac:dyDescent="0.2">
      <c r="A80" s="613">
        <v>68</v>
      </c>
      <c r="B80" s="210" t="s">
        <v>588</v>
      </c>
      <c r="C80" s="621">
        <f>SUM(C79:N79)/SUM(C$13:N$13)</f>
        <v>0.1183476994002539</v>
      </c>
      <c r="D80" s="621">
        <f>C80</f>
        <v>0.1183476994002539</v>
      </c>
      <c r="E80" s="621">
        <f t="shared" ref="E80" si="676">D80</f>
        <v>0.1183476994002539</v>
      </c>
      <c r="F80" s="621">
        <f t="shared" ref="F80" si="677">E80</f>
        <v>0.1183476994002539</v>
      </c>
      <c r="G80" s="621">
        <f t="shared" ref="G80" si="678">F80</f>
        <v>0.1183476994002539</v>
      </c>
      <c r="H80" s="621">
        <f t="shared" ref="H80" si="679">G80</f>
        <v>0.1183476994002539</v>
      </c>
      <c r="I80" s="621">
        <f t="shared" ref="I80" si="680">H80</f>
        <v>0.1183476994002539</v>
      </c>
      <c r="J80" s="621">
        <f t="shared" ref="J80" si="681">I80</f>
        <v>0.1183476994002539</v>
      </c>
      <c r="K80" s="621">
        <f t="shared" ref="K80" si="682">J80</f>
        <v>0.1183476994002539</v>
      </c>
      <c r="L80" s="621">
        <f t="shared" ref="L80" si="683">K80</f>
        <v>0.1183476994002539</v>
      </c>
      <c r="M80" s="621">
        <f t="shared" ref="M80" si="684">L80</f>
        <v>0.1183476994002539</v>
      </c>
      <c r="N80" s="621">
        <f t="shared" ref="N80" si="685">M80</f>
        <v>0.1183476994002539</v>
      </c>
      <c r="O80" s="622">
        <f>((SUM(C85:N85)/AVERAGE(C84:N84)+O75)*AVERAGE(O84:Z84)-SUM(O77:Z77))/(O84*O$14+P84*P$14+Q84*Q$14+R84*R$14+S84*S$14+T84*T$14+U84*U$14+V84*V$14+W84*W$14+X84*X$14+Y84*Y$14+Z84*Z$14)</f>
        <v>0.11834770847727882</v>
      </c>
      <c r="P80" s="623">
        <f>O80</f>
        <v>0.11834770847727882</v>
      </c>
      <c r="Q80" s="623">
        <f t="shared" ref="Q80" si="686">P80</f>
        <v>0.11834770847727882</v>
      </c>
      <c r="R80" s="623">
        <f t="shared" ref="R80" si="687">Q80</f>
        <v>0.11834770847727882</v>
      </c>
      <c r="S80" s="623">
        <f t="shared" ref="S80" si="688">R80</f>
        <v>0.11834770847727882</v>
      </c>
      <c r="T80" s="623">
        <f t="shared" ref="T80" si="689">S80</f>
        <v>0.11834770847727882</v>
      </c>
      <c r="U80" s="623">
        <f t="shared" ref="U80" si="690">T80</f>
        <v>0.11834770847727882</v>
      </c>
      <c r="V80" s="623">
        <f t="shared" ref="V80" si="691">U80</f>
        <v>0.11834770847727882</v>
      </c>
      <c r="W80" s="623">
        <f t="shared" ref="W80" si="692">V80</f>
        <v>0.11834770847727882</v>
      </c>
      <c r="X80" s="623">
        <f t="shared" ref="X80" si="693">W80</f>
        <v>0.11834770847727882</v>
      </c>
      <c r="Y80" s="623">
        <f t="shared" ref="Y80" si="694">X80</f>
        <v>0.11834770847727882</v>
      </c>
      <c r="Z80" s="623">
        <f t="shared" ref="Z80" si="695">Y80</f>
        <v>0.11834770847727882</v>
      </c>
      <c r="AA80" s="622">
        <f>((SUM(O85:Z85)/AVERAGE(O84:Z84)+AA75)*AVERAGE(AA84:AL84)-SUM(AA77:AL77))/(AA84*AA$14+AB84*AB$14+AC84*AC$14+AD84*AD$14+AE84*AE$14+AF84*AF$14+AG84*AG$14+AH84*AH$14+AI84*AI$14+AJ84*AJ$14+AK84*AK$14+AL84*AL$14)</f>
        <v>0.11834773323576936</v>
      </c>
      <c r="AB80" s="623">
        <f>AA80</f>
        <v>0.11834773323576936</v>
      </c>
      <c r="AC80" s="623">
        <f t="shared" ref="AC80" si="696">AB80</f>
        <v>0.11834773323576936</v>
      </c>
      <c r="AD80" s="623">
        <f t="shared" ref="AD80" si="697">AC80</f>
        <v>0.11834773323576936</v>
      </c>
      <c r="AE80" s="623">
        <f t="shared" ref="AE80" si="698">AD80</f>
        <v>0.11834773323576936</v>
      </c>
      <c r="AF80" s="623">
        <f t="shared" ref="AF80" si="699">AE80</f>
        <v>0.11834773323576936</v>
      </c>
      <c r="AG80" s="623">
        <f t="shared" ref="AG80" si="700">AF80</f>
        <v>0.11834773323576936</v>
      </c>
      <c r="AH80" s="623">
        <f t="shared" ref="AH80" si="701">AG80</f>
        <v>0.11834773323576936</v>
      </c>
      <c r="AI80" s="623">
        <f t="shared" ref="AI80" si="702">AH80</f>
        <v>0.11834773323576936</v>
      </c>
      <c r="AJ80" s="623">
        <f t="shared" ref="AJ80" si="703">AI80</f>
        <v>0.11834773323576936</v>
      </c>
      <c r="AK80" s="623">
        <f t="shared" ref="AK80" si="704">AJ80</f>
        <v>0.11834773323576936</v>
      </c>
      <c r="AL80" s="623">
        <f t="shared" ref="AL80" si="705">AK80</f>
        <v>0.11834773323576936</v>
      </c>
      <c r="AM80" s="622">
        <f>((SUM(AA85:AL85)/AVERAGE(AA84:AL84)+AM75)*AVERAGE(AM84:AX84)-SUM(AM77:AX77))/(AM84*AM$14+AN84*AN$14+AO84*AO$14+AP84*AP$14+AQ84*AQ$14+AR84*AR$14+AS84*AS$14+AT84*AT$14+AU84*AU$14+AV84*AV$14+AW84*AW$14+AX84*AX$14)</f>
        <v>0.11834773323576936</v>
      </c>
      <c r="AN80" s="623">
        <f>AM80</f>
        <v>0.11834773323576936</v>
      </c>
      <c r="AO80" s="623">
        <f t="shared" ref="AO80" si="706">AN80</f>
        <v>0.11834773323576936</v>
      </c>
      <c r="AP80" s="623">
        <f t="shared" ref="AP80" si="707">AO80</f>
        <v>0.11834773323576936</v>
      </c>
      <c r="AQ80" s="623">
        <f t="shared" ref="AQ80" si="708">AP80</f>
        <v>0.11834773323576936</v>
      </c>
      <c r="AR80" s="623">
        <f t="shared" ref="AR80" si="709">AQ80</f>
        <v>0.11834773323576936</v>
      </c>
      <c r="AS80" s="623">
        <f t="shared" ref="AS80" si="710">AR80</f>
        <v>0.11834773323576936</v>
      </c>
      <c r="AT80" s="623">
        <f t="shared" ref="AT80" si="711">AS80</f>
        <v>0.11834773323576936</v>
      </c>
      <c r="AU80" s="623">
        <f t="shared" ref="AU80" si="712">AT80</f>
        <v>0.11834773323576936</v>
      </c>
      <c r="AV80" s="623">
        <f t="shared" ref="AV80" si="713">AU80</f>
        <v>0.11834773323576936</v>
      </c>
      <c r="AW80" s="623">
        <f t="shared" ref="AW80" si="714">AV80</f>
        <v>0.11834773323576936</v>
      </c>
      <c r="AX80" s="623">
        <f t="shared" ref="AX80" si="715">AW80</f>
        <v>0.11834773323576936</v>
      </c>
      <c r="AY80" s="622">
        <f>((SUM(AM85:AX85)/AVERAGE(AM84:AX84)+AY75)*AVERAGE(AY84:BJ84)-SUM(AY77:BJ77))/(AY84*AY$14+AZ84*AZ$14+BA84*BA$14+BB84*BB$14+BC84*BC$14+BD84*BD$14+BE84*BE$14+BF84*BF$14+BG84*BG$14+BH84*BH$14+BI84*BI$14+BJ84*BJ$14)</f>
        <v>0.11834773323576936</v>
      </c>
      <c r="AZ80" s="623">
        <f>AY80</f>
        <v>0.11834773323576936</v>
      </c>
      <c r="BA80" s="623">
        <f t="shared" ref="BA80" si="716">AZ80</f>
        <v>0.11834773323576936</v>
      </c>
      <c r="BB80" s="623">
        <f t="shared" ref="BB80" si="717">BA80</f>
        <v>0.11834773323576936</v>
      </c>
      <c r="BC80" s="623">
        <f t="shared" ref="BC80" si="718">BB80</f>
        <v>0.11834773323576936</v>
      </c>
      <c r="BD80" s="623">
        <f t="shared" ref="BD80" si="719">BC80</f>
        <v>0.11834773323576936</v>
      </c>
      <c r="BE80" s="623">
        <f t="shared" ref="BE80" si="720">BD80</f>
        <v>0.11834773323576936</v>
      </c>
      <c r="BF80" s="623">
        <f t="shared" ref="BF80" si="721">BE80</f>
        <v>0.11834773323576936</v>
      </c>
      <c r="BG80" s="623">
        <f t="shared" ref="BG80" si="722">BF80</f>
        <v>0.11834773323576936</v>
      </c>
      <c r="BH80" s="623">
        <f t="shared" ref="BH80" si="723">BG80</f>
        <v>0.11834773323576936</v>
      </c>
      <c r="BI80" s="623">
        <f t="shared" ref="BI80" si="724">BH80</f>
        <v>0.11834773323576936</v>
      </c>
      <c r="BJ80" s="623">
        <f t="shared" ref="BJ80" si="725">BI80</f>
        <v>0.11834773323576936</v>
      </c>
      <c r="BK80" s="622">
        <f>((SUM(AY85:BJ85)/AVERAGE(AY84:BJ84)+BK75)*AVERAGE(BK84:BV84)-SUM(BK77:BV77))/(BK84*BK$14+BL84*BL$14+BM84*BM$14+BN84*BN$14+BO84*BO$14+BP84*BP$14+BQ84*BQ$14+BR84*BR$14+BS84*BS$14+BT84*BT$14+BU84*BU$14+BV84*BV$14)</f>
        <v>0.11834773323576936</v>
      </c>
      <c r="BL80" s="623">
        <f>BK80</f>
        <v>0.11834773323576936</v>
      </c>
      <c r="BM80" s="623">
        <f t="shared" ref="BM80" si="726">BL80</f>
        <v>0.11834773323576936</v>
      </c>
      <c r="BN80" s="623">
        <f t="shared" ref="BN80" si="727">BM80</f>
        <v>0.11834773323576936</v>
      </c>
      <c r="BO80" s="623">
        <f t="shared" ref="BO80" si="728">BN80</f>
        <v>0.11834773323576936</v>
      </c>
      <c r="BP80" s="623">
        <f t="shared" ref="BP80" si="729">BO80</f>
        <v>0.11834773323576936</v>
      </c>
      <c r="BQ80" s="623">
        <f t="shared" ref="BQ80" si="730">BP80</f>
        <v>0.11834773323576936</v>
      </c>
      <c r="BR80" s="623">
        <f t="shared" ref="BR80" si="731">BQ80</f>
        <v>0.11834773323576936</v>
      </c>
      <c r="BS80" s="623">
        <f t="shared" ref="BS80" si="732">BR80</f>
        <v>0.11834773323576936</v>
      </c>
      <c r="BT80" s="623">
        <f t="shared" ref="BT80" si="733">BS80</f>
        <v>0.11834773323576936</v>
      </c>
      <c r="BU80" s="623">
        <f t="shared" ref="BU80" si="734">BT80</f>
        <v>0.11834773323576936</v>
      </c>
      <c r="BV80" s="623">
        <f t="shared" ref="BV80" si="735">BU80</f>
        <v>0.11834773323576936</v>
      </c>
      <c r="BW80" s="622">
        <f>((SUM(BK85:BV85)/AVERAGE(BK84:BV84)+BW75)*AVERAGE(BW84:CH84)-SUM(BW77:CH77))/(BW84*BW$14+BX84*BX$14+BY84*BY$14+BZ84*BZ$14+CA84*CA$14+CB84*CB$14+CC84*CC$14+CD84*CD$14+CE84*CE$14+CF84*CF$14+CG84*CG$14+CH84*CH$14)</f>
        <v>0.11834773323576936</v>
      </c>
      <c r="BX80" s="623">
        <f>BW80</f>
        <v>0.11834773323576936</v>
      </c>
      <c r="BY80" s="623">
        <f t="shared" ref="BY80" si="736">BX80</f>
        <v>0.11834773323576936</v>
      </c>
      <c r="BZ80" s="623">
        <f t="shared" ref="BZ80" si="737">BY80</f>
        <v>0.11834773323576936</v>
      </c>
      <c r="CA80" s="623">
        <f t="shared" ref="CA80" si="738">BZ80</f>
        <v>0.11834773323576936</v>
      </c>
      <c r="CB80" s="623">
        <f t="shared" ref="CB80" si="739">CA80</f>
        <v>0.11834773323576936</v>
      </c>
      <c r="CC80" s="623">
        <f t="shared" ref="CC80" si="740">CB80</f>
        <v>0.11834773323576936</v>
      </c>
      <c r="CD80" s="623">
        <f t="shared" ref="CD80" si="741">CC80</f>
        <v>0.11834773323576936</v>
      </c>
      <c r="CE80" s="623">
        <f t="shared" ref="CE80" si="742">CD80</f>
        <v>0.11834773323576936</v>
      </c>
      <c r="CF80" s="623">
        <f t="shared" ref="CF80" si="743">CE80</f>
        <v>0.11834773323576936</v>
      </c>
      <c r="CG80" s="623">
        <f t="shared" ref="CG80" si="744">CF80</f>
        <v>0.11834773323576936</v>
      </c>
      <c r="CH80" s="623">
        <f t="shared" ref="CH80" si="745">CG80</f>
        <v>0.11834773323576936</v>
      </c>
    </row>
    <row r="81" spans="1:86" x14ac:dyDescent="0.2">
      <c r="A81" s="613">
        <v>69</v>
      </c>
      <c r="B81" s="210" t="s">
        <v>104</v>
      </c>
      <c r="C81" s="41">
        <f>ROUND(C80*C$14,4)</f>
        <v>0.35499999999999998</v>
      </c>
      <c r="D81" s="41">
        <f t="shared" ref="D81:BO81" si="746">ROUND(D80*D$14,4)</f>
        <v>10.296200000000001</v>
      </c>
      <c r="E81" s="41">
        <f t="shared" si="746"/>
        <v>46.037300000000002</v>
      </c>
      <c r="F81" s="41">
        <f t="shared" si="746"/>
        <v>83.790199999999999</v>
      </c>
      <c r="G81" s="41">
        <f t="shared" si="746"/>
        <v>100.2405</v>
      </c>
      <c r="H81" s="41">
        <f t="shared" si="746"/>
        <v>110.41840000000001</v>
      </c>
      <c r="I81" s="41">
        <f t="shared" si="746"/>
        <v>74.914100000000005</v>
      </c>
      <c r="J81" s="41">
        <f t="shared" si="746"/>
        <v>42.368499999999997</v>
      </c>
      <c r="K81" s="41">
        <f t="shared" si="746"/>
        <v>14.3201</v>
      </c>
      <c r="L81" s="41">
        <f t="shared" si="746"/>
        <v>2.722</v>
      </c>
      <c r="M81" s="41">
        <f t="shared" si="746"/>
        <v>0</v>
      </c>
      <c r="N81" s="41">
        <f t="shared" si="746"/>
        <v>0</v>
      </c>
      <c r="O81" s="41">
        <f t="shared" si="746"/>
        <v>0.35499999999999998</v>
      </c>
      <c r="P81" s="41">
        <f t="shared" si="746"/>
        <v>10.2963</v>
      </c>
      <c r="Q81" s="41">
        <f t="shared" si="746"/>
        <v>46.037300000000002</v>
      </c>
      <c r="R81" s="41">
        <f t="shared" si="746"/>
        <v>83.790199999999999</v>
      </c>
      <c r="S81" s="41">
        <f t="shared" si="746"/>
        <v>100.2405</v>
      </c>
      <c r="T81" s="41">
        <f t="shared" si="746"/>
        <v>110.41840000000001</v>
      </c>
      <c r="U81" s="41">
        <f t="shared" si="746"/>
        <v>74.914100000000005</v>
      </c>
      <c r="V81" s="41">
        <f t="shared" si="746"/>
        <v>42.368499999999997</v>
      </c>
      <c r="W81" s="41">
        <f t="shared" si="746"/>
        <v>14.3201</v>
      </c>
      <c r="X81" s="41">
        <f t="shared" si="746"/>
        <v>2.722</v>
      </c>
      <c r="Y81" s="41">
        <f t="shared" si="746"/>
        <v>0</v>
      </c>
      <c r="Z81" s="41">
        <f t="shared" si="746"/>
        <v>0</v>
      </c>
      <c r="AA81" s="41">
        <f t="shared" si="746"/>
        <v>0.35499999999999998</v>
      </c>
      <c r="AB81" s="41">
        <f t="shared" si="746"/>
        <v>10.2963</v>
      </c>
      <c r="AC81" s="41">
        <f t="shared" si="746"/>
        <v>46.037300000000002</v>
      </c>
      <c r="AD81" s="41">
        <f t="shared" si="746"/>
        <v>83.790199999999999</v>
      </c>
      <c r="AE81" s="41">
        <f t="shared" si="746"/>
        <v>100.2405</v>
      </c>
      <c r="AF81" s="41">
        <f t="shared" si="746"/>
        <v>110.41840000000001</v>
      </c>
      <c r="AG81" s="41">
        <f t="shared" si="746"/>
        <v>74.914100000000005</v>
      </c>
      <c r="AH81" s="41">
        <f t="shared" si="746"/>
        <v>42.368499999999997</v>
      </c>
      <c r="AI81" s="41">
        <f t="shared" si="746"/>
        <v>14.3201</v>
      </c>
      <c r="AJ81" s="41">
        <f t="shared" si="746"/>
        <v>2.722</v>
      </c>
      <c r="AK81" s="41">
        <f t="shared" si="746"/>
        <v>0</v>
      </c>
      <c r="AL81" s="41">
        <f t="shared" si="746"/>
        <v>0</v>
      </c>
      <c r="AM81" s="41">
        <f t="shared" si="746"/>
        <v>0.35499999999999998</v>
      </c>
      <c r="AN81" s="41">
        <f t="shared" si="746"/>
        <v>10.2963</v>
      </c>
      <c r="AO81" s="41">
        <f t="shared" si="746"/>
        <v>46.037300000000002</v>
      </c>
      <c r="AP81" s="41">
        <f t="shared" si="746"/>
        <v>83.790199999999999</v>
      </c>
      <c r="AQ81" s="41">
        <f t="shared" si="746"/>
        <v>100.2405</v>
      </c>
      <c r="AR81" s="41">
        <f t="shared" si="746"/>
        <v>110.41840000000001</v>
      </c>
      <c r="AS81" s="41">
        <f t="shared" si="746"/>
        <v>74.914100000000005</v>
      </c>
      <c r="AT81" s="41">
        <f t="shared" si="746"/>
        <v>42.368499999999997</v>
      </c>
      <c r="AU81" s="41">
        <f t="shared" si="746"/>
        <v>14.3201</v>
      </c>
      <c r="AV81" s="41">
        <f t="shared" si="746"/>
        <v>2.722</v>
      </c>
      <c r="AW81" s="41">
        <f t="shared" si="746"/>
        <v>0</v>
      </c>
      <c r="AX81" s="41">
        <f t="shared" si="746"/>
        <v>0</v>
      </c>
      <c r="AY81" s="41">
        <f t="shared" si="746"/>
        <v>0.35499999999999998</v>
      </c>
      <c r="AZ81" s="41">
        <f t="shared" si="746"/>
        <v>10.2963</v>
      </c>
      <c r="BA81" s="41">
        <f t="shared" si="746"/>
        <v>46.037300000000002</v>
      </c>
      <c r="BB81" s="41">
        <f t="shared" si="746"/>
        <v>83.790199999999999</v>
      </c>
      <c r="BC81" s="41">
        <f t="shared" si="746"/>
        <v>100.2405</v>
      </c>
      <c r="BD81" s="41">
        <f t="shared" si="746"/>
        <v>110.41840000000001</v>
      </c>
      <c r="BE81" s="41">
        <f t="shared" si="746"/>
        <v>74.914100000000005</v>
      </c>
      <c r="BF81" s="41">
        <f t="shared" si="746"/>
        <v>42.368499999999997</v>
      </c>
      <c r="BG81" s="41">
        <f t="shared" si="746"/>
        <v>14.3201</v>
      </c>
      <c r="BH81" s="41">
        <f t="shared" si="746"/>
        <v>2.722</v>
      </c>
      <c r="BI81" s="41">
        <f t="shared" si="746"/>
        <v>0</v>
      </c>
      <c r="BJ81" s="41">
        <f t="shared" si="746"/>
        <v>0</v>
      </c>
      <c r="BK81" s="41">
        <f t="shared" si="746"/>
        <v>0.35499999999999998</v>
      </c>
      <c r="BL81" s="41">
        <f t="shared" si="746"/>
        <v>10.2963</v>
      </c>
      <c r="BM81" s="41">
        <f t="shared" si="746"/>
        <v>46.037300000000002</v>
      </c>
      <c r="BN81" s="41">
        <f t="shared" si="746"/>
        <v>83.790199999999999</v>
      </c>
      <c r="BO81" s="41">
        <f t="shared" si="746"/>
        <v>100.2405</v>
      </c>
      <c r="BP81" s="41">
        <f t="shared" ref="BP81:CH81" si="747">ROUND(BP80*BP$14,4)</f>
        <v>110.41840000000001</v>
      </c>
      <c r="BQ81" s="41">
        <f t="shared" si="747"/>
        <v>74.914100000000005</v>
      </c>
      <c r="BR81" s="41">
        <f t="shared" si="747"/>
        <v>42.368499999999997</v>
      </c>
      <c r="BS81" s="41">
        <f t="shared" si="747"/>
        <v>14.3201</v>
      </c>
      <c r="BT81" s="41">
        <f t="shared" si="747"/>
        <v>2.722</v>
      </c>
      <c r="BU81" s="41">
        <f t="shared" si="747"/>
        <v>0</v>
      </c>
      <c r="BV81" s="41">
        <f t="shared" si="747"/>
        <v>0</v>
      </c>
      <c r="BW81" s="41">
        <f t="shared" si="747"/>
        <v>0.35499999999999998</v>
      </c>
      <c r="BX81" s="41">
        <f t="shared" si="747"/>
        <v>10.2963</v>
      </c>
      <c r="BY81" s="41">
        <f t="shared" si="747"/>
        <v>46.037300000000002</v>
      </c>
      <c r="BZ81" s="41">
        <f t="shared" si="747"/>
        <v>83.790199999999999</v>
      </c>
      <c r="CA81" s="41">
        <f t="shared" si="747"/>
        <v>100.2405</v>
      </c>
      <c r="CB81" s="41">
        <f t="shared" si="747"/>
        <v>110.41840000000001</v>
      </c>
      <c r="CC81" s="41">
        <f t="shared" si="747"/>
        <v>74.914100000000005</v>
      </c>
      <c r="CD81" s="41">
        <f t="shared" si="747"/>
        <v>42.368499999999997</v>
      </c>
      <c r="CE81" s="41">
        <f t="shared" si="747"/>
        <v>14.3201</v>
      </c>
      <c r="CF81" s="41">
        <f t="shared" si="747"/>
        <v>2.722</v>
      </c>
      <c r="CG81" s="41">
        <f t="shared" si="747"/>
        <v>0</v>
      </c>
      <c r="CH81" s="41">
        <f t="shared" si="747"/>
        <v>0</v>
      </c>
    </row>
    <row r="82" spans="1:86" x14ac:dyDescent="0.2">
      <c r="A82" s="613">
        <v>70</v>
      </c>
      <c r="B82" s="210" t="s">
        <v>589</v>
      </c>
      <c r="C82" s="624">
        <f>(M86+N86)/(M84+N84)</f>
        <v>17.87289312703583</v>
      </c>
      <c r="D82" s="625">
        <f t="shared" ref="D82" si="748">C82</f>
        <v>17.87289312703583</v>
      </c>
      <c r="E82" s="625">
        <f t="shared" ref="E82" si="749">D82</f>
        <v>17.87289312703583</v>
      </c>
      <c r="F82" s="625">
        <f t="shared" ref="F82" si="750">E82</f>
        <v>17.87289312703583</v>
      </c>
      <c r="G82" s="625">
        <f t="shared" ref="G82" si="751">F82</f>
        <v>17.87289312703583</v>
      </c>
      <c r="H82" s="625">
        <f t="shared" ref="H82" si="752">G82</f>
        <v>17.87289312703583</v>
      </c>
      <c r="I82" s="625">
        <f t="shared" ref="I82" si="753">H82</f>
        <v>17.87289312703583</v>
      </c>
      <c r="J82" s="625">
        <f t="shared" ref="J82" si="754">I82</f>
        <v>17.87289312703583</v>
      </c>
      <c r="K82" s="625">
        <f t="shared" ref="K82" si="755">J82</f>
        <v>17.87289312703583</v>
      </c>
      <c r="L82" s="625">
        <f t="shared" ref="L82" si="756">K82</f>
        <v>17.87289312703583</v>
      </c>
      <c r="M82" s="625">
        <f t="shared" ref="M82" si="757">L82</f>
        <v>17.87289312703583</v>
      </c>
      <c r="N82" s="625">
        <f t="shared" ref="N82" si="758">M82</f>
        <v>17.87289312703583</v>
      </c>
      <c r="O82" s="626">
        <f>C82+O74</f>
        <v>17.87289312703583</v>
      </c>
      <c r="P82" s="626">
        <f t="shared" ref="P82" si="759">D82+P74</f>
        <v>17.87289312703583</v>
      </c>
      <c r="Q82" s="626">
        <f t="shared" ref="Q82" si="760">E82+Q74</f>
        <v>17.87289312703583</v>
      </c>
      <c r="R82" s="626">
        <f t="shared" ref="R82" si="761">F82+R74</f>
        <v>17.87289312703583</v>
      </c>
      <c r="S82" s="626">
        <f t="shared" ref="S82" si="762">G82+S74</f>
        <v>17.87289312703583</v>
      </c>
      <c r="T82" s="626">
        <f t="shared" ref="T82" si="763">H82+T74</f>
        <v>17.87289312703583</v>
      </c>
      <c r="U82" s="626">
        <f t="shared" ref="U82" si="764">I82+U74</f>
        <v>17.87289312703583</v>
      </c>
      <c r="V82" s="626">
        <f t="shared" ref="V82" si="765">J82+V74</f>
        <v>17.87289312703583</v>
      </c>
      <c r="W82" s="626">
        <f t="shared" ref="W82" si="766">K82+W74</f>
        <v>17.87289312703583</v>
      </c>
      <c r="X82" s="626">
        <f t="shared" ref="X82" si="767">L82+X74</f>
        <v>17.87289312703583</v>
      </c>
      <c r="Y82" s="626">
        <f t="shared" ref="Y82" si="768">M82+Y74</f>
        <v>17.87289312703583</v>
      </c>
      <c r="Z82" s="626">
        <f t="shared" ref="Z82" si="769">N82+Z74</f>
        <v>17.87289312703583</v>
      </c>
      <c r="AA82" s="626">
        <f>O82+AA74</f>
        <v>17.87289312703583</v>
      </c>
      <c r="AB82" s="626">
        <f t="shared" ref="AB82" si="770">P82+AB74</f>
        <v>17.87289312703583</v>
      </c>
      <c r="AC82" s="626">
        <f t="shared" ref="AC82" si="771">Q82+AC74</f>
        <v>17.87289312703583</v>
      </c>
      <c r="AD82" s="626">
        <f t="shared" ref="AD82" si="772">R82+AD74</f>
        <v>17.87289312703583</v>
      </c>
      <c r="AE82" s="626">
        <f t="shared" ref="AE82" si="773">S82+AE74</f>
        <v>17.87289312703583</v>
      </c>
      <c r="AF82" s="626">
        <f t="shared" ref="AF82" si="774">T82+AF74</f>
        <v>17.87289312703583</v>
      </c>
      <c r="AG82" s="626">
        <f t="shared" ref="AG82" si="775">U82+AG74</f>
        <v>17.87289312703583</v>
      </c>
      <c r="AH82" s="626">
        <f t="shared" ref="AH82" si="776">V82+AH74</f>
        <v>17.87289312703583</v>
      </c>
      <c r="AI82" s="626">
        <f t="shared" ref="AI82" si="777">W82+AI74</f>
        <v>17.87289312703583</v>
      </c>
      <c r="AJ82" s="626">
        <f t="shared" ref="AJ82" si="778">X82+AJ74</f>
        <v>17.87289312703583</v>
      </c>
      <c r="AK82" s="626">
        <f t="shared" ref="AK82" si="779">Y82+AK74</f>
        <v>17.87289312703583</v>
      </c>
      <c r="AL82" s="626">
        <f t="shared" ref="AL82" si="780">Z82+AL74</f>
        <v>17.87289312703583</v>
      </c>
      <c r="AM82" s="626">
        <f>AA82+AM74</f>
        <v>17.87289312703583</v>
      </c>
      <c r="AN82" s="626">
        <f t="shared" ref="AN82" si="781">AB82+AN74</f>
        <v>17.87289312703583</v>
      </c>
      <c r="AO82" s="626">
        <f t="shared" ref="AO82" si="782">AC82+AO74</f>
        <v>17.87289312703583</v>
      </c>
      <c r="AP82" s="626">
        <f t="shared" ref="AP82" si="783">AD82+AP74</f>
        <v>17.87289312703583</v>
      </c>
      <c r="AQ82" s="626">
        <f t="shared" ref="AQ82" si="784">AE82+AQ74</f>
        <v>17.87289312703583</v>
      </c>
      <c r="AR82" s="626">
        <f t="shared" ref="AR82" si="785">AF82+AR74</f>
        <v>17.87289312703583</v>
      </c>
      <c r="AS82" s="626">
        <f t="shared" ref="AS82" si="786">AG82+AS74</f>
        <v>17.87289312703583</v>
      </c>
      <c r="AT82" s="626">
        <f t="shared" ref="AT82" si="787">AH82+AT74</f>
        <v>17.87289312703583</v>
      </c>
      <c r="AU82" s="626">
        <f t="shared" ref="AU82" si="788">AI82+AU74</f>
        <v>17.87289312703583</v>
      </c>
      <c r="AV82" s="626">
        <f t="shared" ref="AV82" si="789">AJ82+AV74</f>
        <v>17.87289312703583</v>
      </c>
      <c r="AW82" s="626">
        <f t="shared" ref="AW82" si="790">AK82+AW74</f>
        <v>17.87289312703583</v>
      </c>
      <c r="AX82" s="626">
        <f t="shared" ref="AX82" si="791">AL82+AX74</f>
        <v>17.87289312703583</v>
      </c>
      <c r="AY82" s="626">
        <f>AM82+AY74</f>
        <v>17.87289312703583</v>
      </c>
      <c r="AZ82" s="626">
        <f t="shared" ref="AZ82" si="792">AN82+AZ74</f>
        <v>17.87289312703583</v>
      </c>
      <c r="BA82" s="626">
        <f t="shared" ref="BA82" si="793">AO82+BA74</f>
        <v>17.87289312703583</v>
      </c>
      <c r="BB82" s="626">
        <f t="shared" ref="BB82" si="794">AP82+BB74</f>
        <v>17.87289312703583</v>
      </c>
      <c r="BC82" s="626">
        <f t="shared" ref="BC82" si="795">AQ82+BC74</f>
        <v>17.87289312703583</v>
      </c>
      <c r="BD82" s="626">
        <f t="shared" ref="BD82" si="796">AR82+BD74</f>
        <v>17.87289312703583</v>
      </c>
      <c r="BE82" s="626">
        <f t="shared" ref="BE82" si="797">AS82+BE74</f>
        <v>17.87289312703583</v>
      </c>
      <c r="BF82" s="626">
        <f t="shared" ref="BF82" si="798">AT82+BF74</f>
        <v>17.87289312703583</v>
      </c>
      <c r="BG82" s="626">
        <f t="shared" ref="BG82" si="799">AU82+BG74</f>
        <v>17.87289312703583</v>
      </c>
      <c r="BH82" s="626">
        <f t="shared" ref="BH82" si="800">AV82+BH74</f>
        <v>17.87289312703583</v>
      </c>
      <c r="BI82" s="626">
        <f t="shared" ref="BI82" si="801">AW82+BI74</f>
        <v>17.87289312703583</v>
      </c>
      <c r="BJ82" s="626">
        <f t="shared" ref="BJ82" si="802">AX82+BJ74</f>
        <v>17.87289312703583</v>
      </c>
      <c r="BK82" s="626">
        <f>AY82+BK74</f>
        <v>17.87289312703583</v>
      </c>
      <c r="BL82" s="626">
        <f t="shared" ref="BL82" si="803">AZ82+BL74</f>
        <v>17.87289312703583</v>
      </c>
      <c r="BM82" s="626">
        <f t="shared" ref="BM82" si="804">BA82+BM74</f>
        <v>17.87289312703583</v>
      </c>
      <c r="BN82" s="626">
        <f t="shared" ref="BN82" si="805">BB82+BN74</f>
        <v>17.87289312703583</v>
      </c>
      <c r="BO82" s="626">
        <f t="shared" ref="BO82" si="806">BC82+BO74</f>
        <v>17.87289312703583</v>
      </c>
      <c r="BP82" s="626">
        <f t="shared" ref="BP82" si="807">BD82+BP74</f>
        <v>17.87289312703583</v>
      </c>
      <c r="BQ82" s="626">
        <f t="shared" ref="BQ82" si="808">BE82+BQ74</f>
        <v>17.87289312703583</v>
      </c>
      <c r="BR82" s="626">
        <f t="shared" ref="BR82" si="809">BF82+BR74</f>
        <v>17.87289312703583</v>
      </c>
      <c r="BS82" s="626">
        <f t="shared" ref="BS82" si="810">BG82+BS74</f>
        <v>17.87289312703583</v>
      </c>
      <c r="BT82" s="626">
        <f t="shared" ref="BT82" si="811">BH82+BT74</f>
        <v>17.87289312703583</v>
      </c>
      <c r="BU82" s="626">
        <f t="shared" ref="BU82" si="812">BI82+BU74</f>
        <v>17.87289312703583</v>
      </c>
      <c r="BV82" s="626">
        <f t="shared" ref="BV82" si="813">BJ82+BV74</f>
        <v>17.87289312703583</v>
      </c>
      <c r="BW82" s="626">
        <f>BK82+BW74</f>
        <v>17.87289312703583</v>
      </c>
      <c r="BX82" s="626">
        <f t="shared" ref="BX82" si="814">BL82+BX74</f>
        <v>17.87289312703583</v>
      </c>
      <c r="BY82" s="626">
        <f t="shared" ref="BY82" si="815">BM82+BY74</f>
        <v>17.87289312703583</v>
      </c>
      <c r="BZ82" s="626">
        <f t="shared" ref="BZ82" si="816">BN82+BZ74</f>
        <v>17.87289312703583</v>
      </c>
      <c r="CA82" s="626">
        <f t="shared" ref="CA82" si="817">BO82+CA74</f>
        <v>17.87289312703583</v>
      </c>
      <c r="CB82" s="626">
        <f t="shared" ref="CB82" si="818">BP82+CB74</f>
        <v>17.87289312703583</v>
      </c>
      <c r="CC82" s="626">
        <f t="shared" ref="CC82" si="819">BQ82+CC74</f>
        <v>17.87289312703583</v>
      </c>
      <c r="CD82" s="626">
        <f t="shared" ref="CD82" si="820">BR82+CD74</f>
        <v>17.87289312703583</v>
      </c>
      <c r="CE82" s="626">
        <f t="shared" ref="CE82" si="821">BS82+CE74</f>
        <v>17.87289312703583</v>
      </c>
      <c r="CF82" s="626">
        <f t="shared" ref="CF82" si="822">BT82+CF74</f>
        <v>17.87289312703583</v>
      </c>
      <c r="CG82" s="626">
        <f t="shared" ref="CG82" si="823">BU82+CG74</f>
        <v>17.87289312703583</v>
      </c>
      <c r="CH82" s="626">
        <f t="shared" ref="CH82" si="824">BV82+CH74</f>
        <v>17.87289312703583</v>
      </c>
    </row>
    <row r="83" spans="1:86" x14ac:dyDescent="0.2">
      <c r="A83" s="613">
        <v>71</v>
      </c>
      <c r="B83" s="210" t="s">
        <v>602</v>
      </c>
      <c r="C83" s="625">
        <f t="shared" ref="C83:BN83" si="825">C82+C81</f>
        <v>18.227893127035831</v>
      </c>
      <c r="D83" s="625">
        <f t="shared" si="825"/>
        <v>28.169093127035829</v>
      </c>
      <c r="E83" s="625">
        <f t="shared" si="825"/>
        <v>63.910193127035832</v>
      </c>
      <c r="F83" s="625">
        <f t="shared" si="825"/>
        <v>101.66309312703584</v>
      </c>
      <c r="G83" s="625">
        <f t="shared" si="825"/>
        <v>118.11339312703583</v>
      </c>
      <c r="H83" s="625">
        <f t="shared" si="825"/>
        <v>128.29129312703583</v>
      </c>
      <c r="I83" s="625">
        <f t="shared" si="825"/>
        <v>92.786993127035828</v>
      </c>
      <c r="J83" s="625">
        <f t="shared" si="825"/>
        <v>60.241393127035828</v>
      </c>
      <c r="K83" s="625">
        <f t="shared" si="825"/>
        <v>32.192993127035834</v>
      </c>
      <c r="L83" s="625">
        <f t="shared" si="825"/>
        <v>20.594893127035832</v>
      </c>
      <c r="M83" s="625">
        <f t="shared" si="825"/>
        <v>17.87289312703583</v>
      </c>
      <c r="N83" s="625">
        <f t="shared" si="825"/>
        <v>17.87289312703583</v>
      </c>
      <c r="O83" s="625">
        <f t="shared" si="825"/>
        <v>18.227893127035831</v>
      </c>
      <c r="P83" s="625">
        <f t="shared" si="825"/>
        <v>28.169193127035832</v>
      </c>
      <c r="Q83" s="625">
        <f t="shared" si="825"/>
        <v>63.910193127035832</v>
      </c>
      <c r="R83" s="625">
        <f t="shared" si="825"/>
        <v>101.66309312703584</v>
      </c>
      <c r="S83" s="625">
        <f t="shared" si="825"/>
        <v>118.11339312703583</v>
      </c>
      <c r="T83" s="625">
        <f t="shared" si="825"/>
        <v>128.29129312703583</v>
      </c>
      <c r="U83" s="625">
        <f t="shared" si="825"/>
        <v>92.786993127035828</v>
      </c>
      <c r="V83" s="625">
        <f t="shared" si="825"/>
        <v>60.241393127035828</v>
      </c>
      <c r="W83" s="625">
        <f t="shared" si="825"/>
        <v>32.192993127035834</v>
      </c>
      <c r="X83" s="625">
        <f t="shared" si="825"/>
        <v>20.594893127035832</v>
      </c>
      <c r="Y83" s="625">
        <f t="shared" si="825"/>
        <v>17.87289312703583</v>
      </c>
      <c r="Z83" s="625">
        <f t="shared" si="825"/>
        <v>17.87289312703583</v>
      </c>
      <c r="AA83" s="625">
        <f t="shared" si="825"/>
        <v>18.227893127035831</v>
      </c>
      <c r="AB83" s="625">
        <f t="shared" si="825"/>
        <v>28.169193127035832</v>
      </c>
      <c r="AC83" s="625">
        <f t="shared" si="825"/>
        <v>63.910193127035832</v>
      </c>
      <c r="AD83" s="625">
        <f t="shared" si="825"/>
        <v>101.66309312703584</v>
      </c>
      <c r="AE83" s="625">
        <f t="shared" si="825"/>
        <v>118.11339312703583</v>
      </c>
      <c r="AF83" s="625">
        <f t="shared" si="825"/>
        <v>128.29129312703583</v>
      </c>
      <c r="AG83" s="625">
        <f t="shared" si="825"/>
        <v>92.786993127035828</v>
      </c>
      <c r="AH83" s="625">
        <f t="shared" si="825"/>
        <v>60.241393127035828</v>
      </c>
      <c r="AI83" s="625">
        <f t="shared" si="825"/>
        <v>32.192993127035834</v>
      </c>
      <c r="AJ83" s="625">
        <f t="shared" si="825"/>
        <v>20.594893127035832</v>
      </c>
      <c r="AK83" s="625">
        <f t="shared" si="825"/>
        <v>17.87289312703583</v>
      </c>
      <c r="AL83" s="625">
        <f t="shared" si="825"/>
        <v>17.87289312703583</v>
      </c>
      <c r="AM83" s="625">
        <f t="shared" si="825"/>
        <v>18.227893127035831</v>
      </c>
      <c r="AN83" s="625">
        <f t="shared" si="825"/>
        <v>28.169193127035832</v>
      </c>
      <c r="AO83" s="625">
        <f t="shared" si="825"/>
        <v>63.910193127035832</v>
      </c>
      <c r="AP83" s="625">
        <f t="shared" si="825"/>
        <v>101.66309312703584</v>
      </c>
      <c r="AQ83" s="625">
        <f t="shared" si="825"/>
        <v>118.11339312703583</v>
      </c>
      <c r="AR83" s="625">
        <f t="shared" si="825"/>
        <v>128.29129312703583</v>
      </c>
      <c r="AS83" s="625">
        <f t="shared" si="825"/>
        <v>92.786993127035828</v>
      </c>
      <c r="AT83" s="625">
        <f t="shared" si="825"/>
        <v>60.241393127035828</v>
      </c>
      <c r="AU83" s="625">
        <f t="shared" si="825"/>
        <v>32.192993127035834</v>
      </c>
      <c r="AV83" s="625">
        <f t="shared" si="825"/>
        <v>20.594893127035832</v>
      </c>
      <c r="AW83" s="625">
        <f t="shared" si="825"/>
        <v>17.87289312703583</v>
      </c>
      <c r="AX83" s="625">
        <f t="shared" si="825"/>
        <v>17.87289312703583</v>
      </c>
      <c r="AY83" s="625">
        <f t="shared" si="825"/>
        <v>18.227893127035831</v>
      </c>
      <c r="AZ83" s="625">
        <f t="shared" si="825"/>
        <v>28.169193127035832</v>
      </c>
      <c r="BA83" s="625">
        <f t="shared" si="825"/>
        <v>63.910193127035832</v>
      </c>
      <c r="BB83" s="625">
        <f t="shared" si="825"/>
        <v>101.66309312703584</v>
      </c>
      <c r="BC83" s="625">
        <f t="shared" si="825"/>
        <v>118.11339312703583</v>
      </c>
      <c r="BD83" s="625">
        <f t="shared" si="825"/>
        <v>128.29129312703583</v>
      </c>
      <c r="BE83" s="625">
        <f t="shared" si="825"/>
        <v>92.786993127035828</v>
      </c>
      <c r="BF83" s="625">
        <f t="shared" si="825"/>
        <v>60.241393127035828</v>
      </c>
      <c r="BG83" s="625">
        <f t="shared" si="825"/>
        <v>32.192993127035834</v>
      </c>
      <c r="BH83" s="625">
        <f t="shared" si="825"/>
        <v>20.594893127035832</v>
      </c>
      <c r="BI83" s="625">
        <f t="shared" si="825"/>
        <v>17.87289312703583</v>
      </c>
      <c r="BJ83" s="625">
        <f t="shared" si="825"/>
        <v>17.87289312703583</v>
      </c>
      <c r="BK83" s="625">
        <f t="shared" si="825"/>
        <v>18.227893127035831</v>
      </c>
      <c r="BL83" s="625">
        <f t="shared" si="825"/>
        <v>28.169193127035832</v>
      </c>
      <c r="BM83" s="625">
        <f t="shared" si="825"/>
        <v>63.910193127035832</v>
      </c>
      <c r="BN83" s="625">
        <f t="shared" si="825"/>
        <v>101.66309312703584</v>
      </c>
      <c r="BO83" s="625">
        <f t="shared" ref="BO83:CH83" si="826">BO82+BO81</f>
        <v>118.11339312703583</v>
      </c>
      <c r="BP83" s="625">
        <f t="shared" si="826"/>
        <v>128.29129312703583</v>
      </c>
      <c r="BQ83" s="625">
        <f t="shared" si="826"/>
        <v>92.786993127035828</v>
      </c>
      <c r="BR83" s="625">
        <f t="shared" si="826"/>
        <v>60.241393127035828</v>
      </c>
      <c r="BS83" s="625">
        <f t="shared" si="826"/>
        <v>32.192993127035834</v>
      </c>
      <c r="BT83" s="625">
        <f t="shared" si="826"/>
        <v>20.594893127035832</v>
      </c>
      <c r="BU83" s="625">
        <f t="shared" si="826"/>
        <v>17.87289312703583</v>
      </c>
      <c r="BV83" s="625">
        <f t="shared" si="826"/>
        <v>17.87289312703583</v>
      </c>
      <c r="BW83" s="625">
        <f t="shared" si="826"/>
        <v>18.227893127035831</v>
      </c>
      <c r="BX83" s="625">
        <f t="shared" si="826"/>
        <v>28.169193127035832</v>
      </c>
      <c r="BY83" s="625">
        <f t="shared" si="826"/>
        <v>63.910193127035832</v>
      </c>
      <c r="BZ83" s="625">
        <f t="shared" si="826"/>
        <v>101.66309312703584</v>
      </c>
      <c r="CA83" s="625">
        <f t="shared" si="826"/>
        <v>118.11339312703583</v>
      </c>
      <c r="CB83" s="625">
        <f t="shared" si="826"/>
        <v>128.29129312703583</v>
      </c>
      <c r="CC83" s="625">
        <f t="shared" si="826"/>
        <v>92.786993127035828</v>
      </c>
      <c r="CD83" s="625">
        <f t="shared" si="826"/>
        <v>60.241393127035828</v>
      </c>
      <c r="CE83" s="625">
        <f t="shared" si="826"/>
        <v>32.192993127035834</v>
      </c>
      <c r="CF83" s="625">
        <f t="shared" si="826"/>
        <v>20.594893127035832</v>
      </c>
      <c r="CG83" s="625">
        <f t="shared" si="826"/>
        <v>17.87289312703583</v>
      </c>
      <c r="CH83" s="625">
        <f t="shared" si="826"/>
        <v>17.87289312703583</v>
      </c>
    </row>
    <row r="84" spans="1:86" x14ac:dyDescent="0.2">
      <c r="A84" s="613">
        <v>72</v>
      </c>
      <c r="B84" s="210" t="s">
        <v>584</v>
      </c>
      <c r="C84" s="627">
        <f>'Bill Frequency'!C$34</f>
        <v>1544</v>
      </c>
      <c r="D84" s="628">
        <f>'Bill Frequency'!D$34</f>
        <v>1572</v>
      </c>
      <c r="E84" s="628">
        <f>'Bill Frequency'!E$34</f>
        <v>1520</v>
      </c>
      <c r="F84" s="628">
        <f>'Bill Frequency'!F$34</f>
        <v>1559</v>
      </c>
      <c r="G84" s="628">
        <f>'Bill Frequency'!G$34</f>
        <v>1567</v>
      </c>
      <c r="H84" s="628">
        <f>'Bill Frequency'!H$34</f>
        <v>1378</v>
      </c>
      <c r="I84" s="628">
        <f>'Bill Frequency'!I$34</f>
        <v>1769</v>
      </c>
      <c r="J84" s="628">
        <f>'Bill Frequency'!J$34</f>
        <v>1555</v>
      </c>
      <c r="K84" s="628">
        <f>'Bill Frequency'!K$34</f>
        <v>1550</v>
      </c>
      <c r="L84" s="628">
        <f>'Bill Frequency'!L$34</f>
        <v>1563</v>
      </c>
      <c r="M84" s="628">
        <f>'Bill Frequency'!M$34</f>
        <v>1563</v>
      </c>
      <c r="N84" s="629">
        <f>'Bill Frequency'!N$34</f>
        <v>1507</v>
      </c>
      <c r="O84" s="630">
        <f>C84+O73</f>
        <v>1544</v>
      </c>
      <c r="P84" s="630">
        <f t="shared" ref="P84" si="827">D84+P73</f>
        <v>1572</v>
      </c>
      <c r="Q84" s="630">
        <f t="shared" ref="Q84" si="828">E84+Q73</f>
        <v>1520</v>
      </c>
      <c r="R84" s="630">
        <f t="shared" ref="R84" si="829">F84+R73</f>
        <v>1559</v>
      </c>
      <c r="S84" s="630">
        <f t="shared" ref="S84" si="830">G84+S73</f>
        <v>1567</v>
      </c>
      <c r="T84" s="630">
        <f t="shared" ref="T84" si="831">H84+T73</f>
        <v>1378</v>
      </c>
      <c r="U84" s="630">
        <f t="shared" ref="U84" si="832">I84+U73</f>
        <v>1769</v>
      </c>
      <c r="V84" s="630">
        <f t="shared" ref="V84" si="833">J84+V73</f>
        <v>1555</v>
      </c>
      <c r="W84" s="630">
        <f t="shared" ref="W84" si="834">K84+W73</f>
        <v>1550</v>
      </c>
      <c r="X84" s="630">
        <f t="shared" ref="X84" si="835">L84+X73</f>
        <v>1563</v>
      </c>
      <c r="Y84" s="630">
        <f t="shared" ref="Y84" si="836">M84+Y73</f>
        <v>1563</v>
      </c>
      <c r="Z84" s="630">
        <f t="shared" ref="Z84" si="837">N84+Z73</f>
        <v>1507</v>
      </c>
      <c r="AA84" s="630">
        <f>O84+AA73</f>
        <v>1544</v>
      </c>
      <c r="AB84" s="630">
        <f t="shared" ref="AB84" si="838">P84+AB73</f>
        <v>1572</v>
      </c>
      <c r="AC84" s="630">
        <f t="shared" ref="AC84" si="839">Q84+AC73</f>
        <v>1520</v>
      </c>
      <c r="AD84" s="630">
        <f t="shared" ref="AD84" si="840">R84+AD73</f>
        <v>1559</v>
      </c>
      <c r="AE84" s="630">
        <f t="shared" ref="AE84" si="841">S84+AE73</f>
        <v>1567</v>
      </c>
      <c r="AF84" s="630">
        <f t="shared" ref="AF84" si="842">T84+AF73</f>
        <v>1378</v>
      </c>
      <c r="AG84" s="630">
        <f t="shared" ref="AG84" si="843">U84+AG73</f>
        <v>1769</v>
      </c>
      <c r="AH84" s="630">
        <f t="shared" ref="AH84" si="844">V84+AH73</f>
        <v>1555</v>
      </c>
      <c r="AI84" s="630">
        <f t="shared" ref="AI84" si="845">W84+AI73</f>
        <v>1550</v>
      </c>
      <c r="AJ84" s="630">
        <f t="shared" ref="AJ84" si="846">X84+AJ73</f>
        <v>1563</v>
      </c>
      <c r="AK84" s="630">
        <f t="shared" ref="AK84" si="847">Y84+AK73</f>
        <v>1563</v>
      </c>
      <c r="AL84" s="630">
        <f t="shared" ref="AL84" si="848">Z84+AL73</f>
        <v>1507</v>
      </c>
      <c r="AM84" s="630">
        <f>AA84+AM73</f>
        <v>1544</v>
      </c>
      <c r="AN84" s="630">
        <f t="shared" ref="AN84" si="849">AB84+AN73</f>
        <v>1572</v>
      </c>
      <c r="AO84" s="630">
        <f t="shared" ref="AO84" si="850">AC84+AO73</f>
        <v>1520</v>
      </c>
      <c r="AP84" s="630">
        <f t="shared" ref="AP84" si="851">AD84+AP73</f>
        <v>1559</v>
      </c>
      <c r="AQ84" s="630">
        <f t="shared" ref="AQ84" si="852">AE84+AQ73</f>
        <v>1567</v>
      </c>
      <c r="AR84" s="630">
        <f t="shared" ref="AR84" si="853">AF84+AR73</f>
        <v>1378</v>
      </c>
      <c r="AS84" s="630">
        <f t="shared" ref="AS84" si="854">AG84+AS73</f>
        <v>1769</v>
      </c>
      <c r="AT84" s="630">
        <f t="shared" ref="AT84" si="855">AH84+AT73</f>
        <v>1555</v>
      </c>
      <c r="AU84" s="630">
        <f t="shared" ref="AU84" si="856">AI84+AU73</f>
        <v>1550</v>
      </c>
      <c r="AV84" s="630">
        <f t="shared" ref="AV84" si="857">AJ84+AV73</f>
        <v>1563</v>
      </c>
      <c r="AW84" s="630">
        <f t="shared" ref="AW84" si="858">AK84+AW73</f>
        <v>1563</v>
      </c>
      <c r="AX84" s="630">
        <f t="shared" ref="AX84" si="859">AL84+AX73</f>
        <v>1507</v>
      </c>
      <c r="AY84" s="630">
        <f>AM84+AY73</f>
        <v>1544</v>
      </c>
      <c r="AZ84" s="630">
        <f t="shared" ref="AZ84" si="860">AN84+AZ73</f>
        <v>1572</v>
      </c>
      <c r="BA84" s="630">
        <f t="shared" ref="BA84" si="861">AO84+BA73</f>
        <v>1520</v>
      </c>
      <c r="BB84" s="630">
        <f t="shared" ref="BB84" si="862">AP84+BB73</f>
        <v>1559</v>
      </c>
      <c r="BC84" s="630">
        <f t="shared" ref="BC84" si="863">AQ84+BC73</f>
        <v>1567</v>
      </c>
      <c r="BD84" s="630">
        <f t="shared" ref="BD84" si="864">AR84+BD73</f>
        <v>1378</v>
      </c>
      <c r="BE84" s="630">
        <f t="shared" ref="BE84" si="865">AS84+BE73</f>
        <v>1769</v>
      </c>
      <c r="BF84" s="630">
        <f t="shared" ref="BF84" si="866">AT84+BF73</f>
        <v>1555</v>
      </c>
      <c r="BG84" s="630">
        <f t="shared" ref="BG84" si="867">AU84+BG73</f>
        <v>1550</v>
      </c>
      <c r="BH84" s="630">
        <f t="shared" ref="BH84" si="868">AV84+BH73</f>
        <v>1563</v>
      </c>
      <c r="BI84" s="630">
        <f t="shared" ref="BI84" si="869">AW84+BI73</f>
        <v>1563</v>
      </c>
      <c r="BJ84" s="630">
        <f t="shared" ref="BJ84" si="870">AX84+BJ73</f>
        <v>1507</v>
      </c>
      <c r="BK84" s="630">
        <f>AY84+BK73</f>
        <v>1544</v>
      </c>
      <c r="BL84" s="630">
        <f t="shared" ref="BL84" si="871">AZ84+BL73</f>
        <v>1572</v>
      </c>
      <c r="BM84" s="630">
        <f t="shared" ref="BM84" si="872">BA84+BM73</f>
        <v>1520</v>
      </c>
      <c r="BN84" s="630">
        <f t="shared" ref="BN84" si="873">BB84+BN73</f>
        <v>1559</v>
      </c>
      <c r="BO84" s="630">
        <f t="shared" ref="BO84" si="874">BC84+BO73</f>
        <v>1567</v>
      </c>
      <c r="BP84" s="630">
        <f t="shared" ref="BP84" si="875">BD84+BP73</f>
        <v>1378</v>
      </c>
      <c r="BQ84" s="630">
        <f t="shared" ref="BQ84" si="876">BE84+BQ73</f>
        <v>1769</v>
      </c>
      <c r="BR84" s="630">
        <f t="shared" ref="BR84" si="877">BF84+BR73</f>
        <v>1555</v>
      </c>
      <c r="BS84" s="630">
        <f t="shared" ref="BS84" si="878">BG84+BS73</f>
        <v>1550</v>
      </c>
      <c r="BT84" s="630">
        <f t="shared" ref="BT84" si="879">BH84+BT73</f>
        <v>1563</v>
      </c>
      <c r="BU84" s="630">
        <f t="shared" ref="BU84" si="880">BI84+BU73</f>
        <v>1563</v>
      </c>
      <c r="BV84" s="630">
        <f t="shared" ref="BV84" si="881">BJ84+BV73</f>
        <v>1507</v>
      </c>
      <c r="BW84" s="630">
        <f>BK84+BW73</f>
        <v>1544</v>
      </c>
      <c r="BX84" s="630">
        <f t="shared" ref="BX84" si="882">BL84+BX73</f>
        <v>1572</v>
      </c>
      <c r="BY84" s="630">
        <f t="shared" ref="BY84" si="883">BM84+BY73</f>
        <v>1520</v>
      </c>
      <c r="BZ84" s="630">
        <f t="shared" ref="BZ84" si="884">BN84+BZ73</f>
        <v>1559</v>
      </c>
      <c r="CA84" s="630">
        <f t="shared" ref="CA84" si="885">BO84+CA73</f>
        <v>1567</v>
      </c>
      <c r="CB84" s="630">
        <f t="shared" ref="CB84" si="886">BP84+CB73</f>
        <v>1378</v>
      </c>
      <c r="CC84" s="630">
        <f t="shared" ref="CC84" si="887">BQ84+CC73</f>
        <v>1769</v>
      </c>
      <c r="CD84" s="630">
        <f t="shared" ref="CD84" si="888">BR84+CD73</f>
        <v>1555</v>
      </c>
      <c r="CE84" s="630">
        <f t="shared" ref="CE84" si="889">BS84+CE73</f>
        <v>1550</v>
      </c>
      <c r="CF84" s="630">
        <f t="shared" ref="CF84" si="890">BT84+CF73</f>
        <v>1563</v>
      </c>
      <c r="CG84" s="630">
        <f t="shared" ref="CG84" si="891">BU84+CG73</f>
        <v>1563</v>
      </c>
      <c r="CH84" s="630">
        <f t="shared" ref="CH84" si="892">BV84+CH73</f>
        <v>1507</v>
      </c>
    </row>
    <row r="85" spans="1:86" x14ac:dyDescent="0.2">
      <c r="A85" s="613">
        <v>73</v>
      </c>
      <c r="B85" s="210" t="s">
        <v>585</v>
      </c>
      <c r="C85" s="44">
        <f t="shared" ref="C85:N85" si="893">C84*C83</f>
        <v>28143.866988143323</v>
      </c>
      <c r="D85" s="44">
        <f t="shared" si="893"/>
        <v>44281.814395700327</v>
      </c>
      <c r="E85" s="44">
        <f t="shared" si="893"/>
        <v>97143.493553094464</v>
      </c>
      <c r="F85" s="44">
        <f t="shared" si="893"/>
        <v>158492.76218504886</v>
      </c>
      <c r="G85" s="44">
        <f t="shared" si="893"/>
        <v>185083.68703006516</v>
      </c>
      <c r="H85" s="44">
        <f t="shared" si="893"/>
        <v>176785.40192905537</v>
      </c>
      <c r="I85" s="44">
        <f t="shared" si="893"/>
        <v>164140.19084172638</v>
      </c>
      <c r="J85" s="44">
        <f t="shared" si="893"/>
        <v>93675.366312540718</v>
      </c>
      <c r="K85" s="44">
        <f t="shared" si="893"/>
        <v>49899.13934690554</v>
      </c>
      <c r="L85" s="44">
        <f t="shared" si="893"/>
        <v>32189.817957557003</v>
      </c>
      <c r="M85" s="44">
        <f t="shared" si="893"/>
        <v>27935.331957557002</v>
      </c>
      <c r="N85" s="44">
        <f t="shared" si="893"/>
        <v>26934.449942442996</v>
      </c>
      <c r="O85" s="474">
        <f>O84*O83</f>
        <v>28143.866988143323</v>
      </c>
      <c r="P85" s="474">
        <f t="shared" ref="P85:Z85" si="894">P84*P83</f>
        <v>44281.971595700328</v>
      </c>
      <c r="Q85" s="474">
        <f t="shared" si="894"/>
        <v>97143.493553094464</v>
      </c>
      <c r="R85" s="474">
        <f t="shared" si="894"/>
        <v>158492.76218504886</v>
      </c>
      <c r="S85" s="474">
        <f t="shared" si="894"/>
        <v>185083.68703006516</v>
      </c>
      <c r="T85" s="474">
        <f t="shared" si="894"/>
        <v>176785.40192905537</v>
      </c>
      <c r="U85" s="474">
        <f t="shared" si="894"/>
        <v>164140.19084172638</v>
      </c>
      <c r="V85" s="474">
        <f t="shared" si="894"/>
        <v>93675.366312540718</v>
      </c>
      <c r="W85" s="474">
        <f t="shared" si="894"/>
        <v>49899.13934690554</v>
      </c>
      <c r="X85" s="474">
        <f t="shared" si="894"/>
        <v>32189.817957557003</v>
      </c>
      <c r="Y85" s="474">
        <f t="shared" si="894"/>
        <v>27935.331957557002</v>
      </c>
      <c r="Z85" s="474">
        <f t="shared" si="894"/>
        <v>26934.449942442996</v>
      </c>
      <c r="AA85" s="474">
        <f>AA84*AA83</f>
        <v>28143.866988143323</v>
      </c>
      <c r="AB85" s="474">
        <f t="shared" ref="AB85:AL85" si="895">AB84*AB83</f>
        <v>44281.971595700328</v>
      </c>
      <c r="AC85" s="474">
        <f t="shared" si="895"/>
        <v>97143.493553094464</v>
      </c>
      <c r="AD85" s="474">
        <f t="shared" si="895"/>
        <v>158492.76218504886</v>
      </c>
      <c r="AE85" s="474">
        <f t="shared" si="895"/>
        <v>185083.68703006516</v>
      </c>
      <c r="AF85" s="474">
        <f t="shared" si="895"/>
        <v>176785.40192905537</v>
      </c>
      <c r="AG85" s="474">
        <f t="shared" si="895"/>
        <v>164140.19084172638</v>
      </c>
      <c r="AH85" s="474">
        <f t="shared" si="895"/>
        <v>93675.366312540718</v>
      </c>
      <c r="AI85" s="474">
        <f t="shared" si="895"/>
        <v>49899.13934690554</v>
      </c>
      <c r="AJ85" s="474">
        <f t="shared" si="895"/>
        <v>32189.817957557003</v>
      </c>
      <c r="AK85" s="474">
        <f t="shared" si="895"/>
        <v>27935.331957557002</v>
      </c>
      <c r="AL85" s="474">
        <f t="shared" si="895"/>
        <v>26934.449942442996</v>
      </c>
      <c r="AM85" s="474">
        <f>AM84*AM83</f>
        <v>28143.866988143323</v>
      </c>
      <c r="AN85" s="474">
        <f t="shared" ref="AN85:AX85" si="896">AN84*AN83</f>
        <v>44281.971595700328</v>
      </c>
      <c r="AO85" s="474">
        <f t="shared" si="896"/>
        <v>97143.493553094464</v>
      </c>
      <c r="AP85" s="474">
        <f t="shared" si="896"/>
        <v>158492.76218504886</v>
      </c>
      <c r="AQ85" s="474">
        <f t="shared" si="896"/>
        <v>185083.68703006516</v>
      </c>
      <c r="AR85" s="474">
        <f t="shared" si="896"/>
        <v>176785.40192905537</v>
      </c>
      <c r="AS85" s="474">
        <f t="shared" si="896"/>
        <v>164140.19084172638</v>
      </c>
      <c r="AT85" s="474">
        <f t="shared" si="896"/>
        <v>93675.366312540718</v>
      </c>
      <c r="AU85" s="474">
        <f t="shared" si="896"/>
        <v>49899.13934690554</v>
      </c>
      <c r="AV85" s="474">
        <f t="shared" si="896"/>
        <v>32189.817957557003</v>
      </c>
      <c r="AW85" s="474">
        <f t="shared" si="896"/>
        <v>27935.331957557002</v>
      </c>
      <c r="AX85" s="474">
        <f t="shared" si="896"/>
        <v>26934.449942442996</v>
      </c>
      <c r="AY85" s="474">
        <f>AY84*AY83</f>
        <v>28143.866988143323</v>
      </c>
      <c r="AZ85" s="474">
        <f t="shared" ref="AZ85:BJ85" si="897">AZ84*AZ83</f>
        <v>44281.971595700328</v>
      </c>
      <c r="BA85" s="474">
        <f t="shared" si="897"/>
        <v>97143.493553094464</v>
      </c>
      <c r="BB85" s="474">
        <f t="shared" si="897"/>
        <v>158492.76218504886</v>
      </c>
      <c r="BC85" s="474">
        <f t="shared" si="897"/>
        <v>185083.68703006516</v>
      </c>
      <c r="BD85" s="474">
        <f t="shared" si="897"/>
        <v>176785.40192905537</v>
      </c>
      <c r="BE85" s="474">
        <f t="shared" si="897"/>
        <v>164140.19084172638</v>
      </c>
      <c r="BF85" s="474">
        <f t="shared" si="897"/>
        <v>93675.366312540718</v>
      </c>
      <c r="BG85" s="474">
        <f t="shared" si="897"/>
        <v>49899.13934690554</v>
      </c>
      <c r="BH85" s="474">
        <f t="shared" si="897"/>
        <v>32189.817957557003</v>
      </c>
      <c r="BI85" s="474">
        <f t="shared" si="897"/>
        <v>27935.331957557002</v>
      </c>
      <c r="BJ85" s="474">
        <f t="shared" si="897"/>
        <v>26934.449942442996</v>
      </c>
      <c r="BK85" s="474">
        <f>BK84*BK83</f>
        <v>28143.866988143323</v>
      </c>
      <c r="BL85" s="474">
        <f t="shared" ref="BL85:BV85" si="898">BL84*BL83</f>
        <v>44281.971595700328</v>
      </c>
      <c r="BM85" s="474">
        <f t="shared" si="898"/>
        <v>97143.493553094464</v>
      </c>
      <c r="BN85" s="474">
        <f t="shared" si="898"/>
        <v>158492.76218504886</v>
      </c>
      <c r="BO85" s="474">
        <f t="shared" si="898"/>
        <v>185083.68703006516</v>
      </c>
      <c r="BP85" s="474">
        <f t="shared" si="898"/>
        <v>176785.40192905537</v>
      </c>
      <c r="BQ85" s="474">
        <f t="shared" si="898"/>
        <v>164140.19084172638</v>
      </c>
      <c r="BR85" s="474">
        <f t="shared" si="898"/>
        <v>93675.366312540718</v>
      </c>
      <c r="BS85" s="474">
        <f t="shared" si="898"/>
        <v>49899.13934690554</v>
      </c>
      <c r="BT85" s="474">
        <f t="shared" si="898"/>
        <v>32189.817957557003</v>
      </c>
      <c r="BU85" s="474">
        <f t="shared" si="898"/>
        <v>27935.331957557002</v>
      </c>
      <c r="BV85" s="474">
        <f t="shared" si="898"/>
        <v>26934.449942442996</v>
      </c>
      <c r="BW85" s="474">
        <f>BW84*BW83</f>
        <v>28143.866988143323</v>
      </c>
      <c r="BX85" s="474">
        <f t="shared" ref="BX85:CH85" si="899">BX84*BX83</f>
        <v>44281.971595700328</v>
      </c>
      <c r="BY85" s="474">
        <f t="shared" si="899"/>
        <v>97143.493553094464</v>
      </c>
      <c r="BZ85" s="474">
        <f t="shared" si="899"/>
        <v>158492.76218504886</v>
      </c>
      <c r="CA85" s="474">
        <f t="shared" si="899"/>
        <v>185083.68703006516</v>
      </c>
      <c r="CB85" s="474">
        <f t="shared" si="899"/>
        <v>176785.40192905537</v>
      </c>
      <c r="CC85" s="474">
        <f t="shared" si="899"/>
        <v>164140.19084172638</v>
      </c>
      <c r="CD85" s="474">
        <f t="shared" si="899"/>
        <v>93675.366312540718</v>
      </c>
      <c r="CE85" s="474">
        <f t="shared" si="899"/>
        <v>49899.13934690554</v>
      </c>
      <c r="CF85" s="474">
        <f t="shared" si="899"/>
        <v>32189.817957557003</v>
      </c>
      <c r="CG85" s="474">
        <f t="shared" si="899"/>
        <v>27935.331957557002</v>
      </c>
      <c r="CH85" s="474">
        <f t="shared" si="899"/>
        <v>26934.449942442996</v>
      </c>
    </row>
    <row r="86" spans="1:86" x14ac:dyDescent="0.2">
      <c r="A86" s="613">
        <v>74</v>
      </c>
      <c r="B86" s="210" t="s">
        <v>586</v>
      </c>
      <c r="C86" s="631">
        <f>'Bill Frequency'!C$38+'Contract &amp; Vol Adj'!C38</f>
        <v>34244.456899999997</v>
      </c>
      <c r="D86" s="632">
        <f>'Bill Frequency'!D$38+'Contract &amp; Vol Adj'!D38</f>
        <v>43775.160799999998</v>
      </c>
      <c r="E86" s="632">
        <f>'Bill Frequency'!E$38+'Contract &amp; Vol Adj'!E38</f>
        <v>85802.631299999994</v>
      </c>
      <c r="F86" s="632">
        <f>'Bill Frequency'!F$38+'Contract &amp; Vol Adj'!F38</f>
        <v>153903.71170000001</v>
      </c>
      <c r="G86" s="632">
        <f>'Bill Frequency'!G$38+'Contract &amp; Vol Adj'!G38</f>
        <v>209593.76930000001</v>
      </c>
      <c r="H86" s="632">
        <f>'Bill Frequency'!H$38+'Contract &amp; Vol Adj'!H38</f>
        <v>176706.03870000003</v>
      </c>
      <c r="I86" s="632">
        <f>'Bill Frequency'!I$38+'Contract &amp; Vol Adj'!I38</f>
        <v>226828.78779999999</v>
      </c>
      <c r="J86" s="632">
        <f>'Bill Frequency'!J$38+'Contract &amp; Vol Adj'!J38</f>
        <v>87909.298200000005</v>
      </c>
      <c r="K86" s="632">
        <f>'Bill Frequency'!K$38+'Contract &amp; Vol Adj'!K38</f>
        <v>50030.712800000008</v>
      </c>
      <c r="L86" s="632">
        <f>'Bill Frequency'!L$38+'Contract &amp; Vol Adj'!L38</f>
        <v>30772.874400000001</v>
      </c>
      <c r="M86" s="632">
        <f>'Bill Frequency'!M$38+'Contract &amp; Vol Adj'!M38</f>
        <v>25864.262199999997</v>
      </c>
      <c r="N86" s="633">
        <f>'Bill Frequency'!N$38+'Contract &amp; Vol Adj'!N38</f>
        <v>29005.519700000001</v>
      </c>
      <c r="O86" s="605" t="s">
        <v>596</v>
      </c>
      <c r="P86" s="605" t="s">
        <v>596</v>
      </c>
      <c r="Q86" s="605" t="s">
        <v>596</v>
      </c>
      <c r="R86" s="605" t="s">
        <v>596</v>
      </c>
      <c r="S86" s="605" t="s">
        <v>596</v>
      </c>
      <c r="T86" s="605" t="s">
        <v>596</v>
      </c>
      <c r="U86" s="605" t="s">
        <v>596</v>
      </c>
      <c r="V86" s="605" t="s">
        <v>596</v>
      </c>
      <c r="W86" s="605" t="s">
        <v>596</v>
      </c>
      <c r="X86" s="605" t="s">
        <v>596</v>
      </c>
      <c r="Y86" s="605" t="s">
        <v>596</v>
      </c>
      <c r="Z86" s="605" t="s">
        <v>596</v>
      </c>
      <c r="AA86" s="605" t="s">
        <v>596</v>
      </c>
      <c r="AB86" s="605" t="s">
        <v>596</v>
      </c>
      <c r="AC86" s="605" t="s">
        <v>596</v>
      </c>
      <c r="AD86" s="605" t="s">
        <v>596</v>
      </c>
      <c r="AE86" s="605" t="s">
        <v>596</v>
      </c>
      <c r="AF86" s="605" t="s">
        <v>596</v>
      </c>
      <c r="AG86" s="605" t="s">
        <v>596</v>
      </c>
      <c r="AH86" s="605" t="s">
        <v>596</v>
      </c>
      <c r="AI86" s="605" t="s">
        <v>596</v>
      </c>
      <c r="AJ86" s="605" t="s">
        <v>596</v>
      </c>
      <c r="AK86" s="605" t="s">
        <v>596</v>
      </c>
      <c r="AL86" s="605" t="s">
        <v>596</v>
      </c>
      <c r="AM86" s="605" t="s">
        <v>596</v>
      </c>
      <c r="AN86" s="605" t="s">
        <v>596</v>
      </c>
      <c r="AO86" s="605" t="s">
        <v>596</v>
      </c>
      <c r="AP86" s="605" t="s">
        <v>596</v>
      </c>
      <c r="AQ86" s="605" t="s">
        <v>596</v>
      </c>
      <c r="AR86" s="605" t="s">
        <v>596</v>
      </c>
      <c r="AS86" s="605" t="s">
        <v>596</v>
      </c>
      <c r="AT86" s="605" t="s">
        <v>596</v>
      </c>
      <c r="AU86" s="605" t="s">
        <v>596</v>
      </c>
      <c r="AV86" s="605" t="s">
        <v>596</v>
      </c>
      <c r="AW86" s="605" t="s">
        <v>596</v>
      </c>
      <c r="AX86" s="605" t="s">
        <v>596</v>
      </c>
      <c r="AY86" s="605" t="s">
        <v>596</v>
      </c>
      <c r="AZ86" s="605" t="s">
        <v>596</v>
      </c>
      <c r="BA86" s="605" t="s">
        <v>596</v>
      </c>
      <c r="BB86" s="605" t="s">
        <v>596</v>
      </c>
      <c r="BC86" s="605" t="s">
        <v>596</v>
      </c>
      <c r="BD86" s="605" t="s">
        <v>596</v>
      </c>
      <c r="BE86" s="605" t="s">
        <v>596</v>
      </c>
      <c r="BF86" s="605" t="s">
        <v>596</v>
      </c>
      <c r="BG86" s="605" t="s">
        <v>596</v>
      </c>
      <c r="BH86" s="605" t="s">
        <v>596</v>
      </c>
      <c r="BI86" s="605" t="s">
        <v>596</v>
      </c>
      <c r="BJ86" s="605" t="s">
        <v>596</v>
      </c>
      <c r="BK86" s="605" t="s">
        <v>596</v>
      </c>
      <c r="BL86" s="605" t="s">
        <v>596</v>
      </c>
      <c r="BM86" s="605" t="s">
        <v>596</v>
      </c>
      <c r="BN86" s="605" t="s">
        <v>596</v>
      </c>
      <c r="BO86" s="605" t="s">
        <v>596</v>
      </c>
      <c r="BP86" s="605" t="s">
        <v>596</v>
      </c>
      <c r="BQ86" s="605" t="s">
        <v>596</v>
      </c>
      <c r="BR86" s="605" t="s">
        <v>596</v>
      </c>
      <c r="BS86" s="605" t="s">
        <v>596</v>
      </c>
      <c r="BT86" s="605" t="s">
        <v>596</v>
      </c>
      <c r="BU86" s="605" t="s">
        <v>596</v>
      </c>
      <c r="BV86" s="605" t="s">
        <v>596</v>
      </c>
      <c r="BW86" s="605" t="s">
        <v>596</v>
      </c>
      <c r="BX86" s="605" t="s">
        <v>596</v>
      </c>
      <c r="BY86" s="605" t="s">
        <v>596</v>
      </c>
      <c r="BZ86" s="605" t="s">
        <v>596</v>
      </c>
      <c r="CA86" s="605" t="s">
        <v>596</v>
      </c>
      <c r="CB86" s="605" t="s">
        <v>596</v>
      </c>
      <c r="CC86" s="605" t="s">
        <v>596</v>
      </c>
      <c r="CD86" s="605" t="s">
        <v>596</v>
      </c>
      <c r="CE86" s="605" t="s">
        <v>596</v>
      </c>
      <c r="CF86" s="605" t="s">
        <v>596</v>
      </c>
      <c r="CG86" s="605" t="s">
        <v>596</v>
      </c>
      <c r="CH86" s="605" t="s">
        <v>596</v>
      </c>
    </row>
    <row r="87" spans="1:86" x14ac:dyDescent="0.2">
      <c r="A87" s="613">
        <v>75</v>
      </c>
      <c r="B87" s="210" t="s">
        <v>601</v>
      </c>
      <c r="C87" s="45">
        <f>C84*(C80*C$15+C82)</f>
        <v>31798.510489245138</v>
      </c>
      <c r="D87" s="45">
        <f t="shared" ref="D87:BO87" si="900">D84*(D80*D$15+D82)</f>
        <v>71816.195108142128</v>
      </c>
      <c r="E87" s="45">
        <f t="shared" si="900"/>
        <v>123227.25820229255</v>
      </c>
      <c r="F87" s="45">
        <f t="shared" si="900"/>
        <v>175651.59514041053</v>
      </c>
      <c r="G87" s="45">
        <f t="shared" si="900"/>
        <v>199177.95342832778</v>
      </c>
      <c r="H87" s="45">
        <f t="shared" si="900"/>
        <v>155258.43367766883</v>
      </c>
      <c r="I87" s="45">
        <f t="shared" si="900"/>
        <v>137342.47346244619</v>
      </c>
      <c r="J87" s="45">
        <f t="shared" si="900"/>
        <v>67542.974087098002</v>
      </c>
      <c r="K87" s="45">
        <f t="shared" si="900"/>
        <v>39259.637193340335</v>
      </c>
      <c r="L87" s="45">
        <f t="shared" si="900"/>
        <v>28120.309411719598</v>
      </c>
      <c r="M87" s="45">
        <f t="shared" si="900"/>
        <v>27935.331957557002</v>
      </c>
      <c r="N87" s="45">
        <f t="shared" si="900"/>
        <v>26934.449942442996</v>
      </c>
      <c r="O87" s="45">
        <f t="shared" si="900"/>
        <v>31798.510811588447</v>
      </c>
      <c r="P87" s="45">
        <f t="shared" si="900"/>
        <v>71816.198461376654</v>
      </c>
      <c r="Q87" s="45">
        <f t="shared" si="900"/>
        <v>123227.26556993213</v>
      </c>
      <c r="R87" s="45">
        <f t="shared" si="900"/>
        <v>175651.60647542708</v>
      </c>
      <c r="S87" s="45">
        <f t="shared" si="900"/>
        <v>199177.96655680108</v>
      </c>
      <c r="T87" s="45">
        <f t="shared" si="900"/>
        <v>155258.44369668924</v>
      </c>
      <c r="U87" s="45">
        <f t="shared" si="900"/>
        <v>137342.48157136104</v>
      </c>
      <c r="V87" s="45">
        <f t="shared" si="900"/>
        <v>67542.97713588913</v>
      </c>
      <c r="W87" s="45">
        <f t="shared" si="900"/>
        <v>39259.638079711811</v>
      </c>
      <c r="X87" s="45">
        <f t="shared" si="900"/>
        <v>28120.309425906991</v>
      </c>
      <c r="Y87" s="45">
        <f t="shared" si="900"/>
        <v>27935.331957557002</v>
      </c>
      <c r="Z87" s="45">
        <f t="shared" si="900"/>
        <v>26934.449942442996</v>
      </c>
      <c r="AA87" s="45">
        <f t="shared" si="900"/>
        <v>31798.511690811967</v>
      </c>
      <c r="AB87" s="45">
        <f t="shared" si="900"/>
        <v>71816.207607658245</v>
      </c>
      <c r="AC87" s="45">
        <f t="shared" si="900"/>
        <v>123227.28566590375</v>
      </c>
      <c r="AD87" s="45">
        <f t="shared" si="900"/>
        <v>175651.63739281497</v>
      </c>
      <c r="AE87" s="45">
        <f t="shared" si="900"/>
        <v>199178.00236602104</v>
      </c>
      <c r="AF87" s="45">
        <f t="shared" si="900"/>
        <v>155258.47102456642</v>
      </c>
      <c r="AG87" s="45">
        <f t="shared" si="900"/>
        <v>137342.50368923479</v>
      </c>
      <c r="AH87" s="45">
        <f t="shared" si="900"/>
        <v>67542.985451770932</v>
      </c>
      <c r="AI87" s="45">
        <f t="shared" si="900"/>
        <v>39259.640497378416</v>
      </c>
      <c r="AJ87" s="45">
        <f t="shared" si="900"/>
        <v>28120.30946460451</v>
      </c>
      <c r="AK87" s="45">
        <f t="shared" si="900"/>
        <v>27935.331957557002</v>
      </c>
      <c r="AL87" s="45">
        <f t="shared" si="900"/>
        <v>26934.449942442996</v>
      </c>
      <c r="AM87" s="45">
        <f t="shared" si="900"/>
        <v>31798.511690811967</v>
      </c>
      <c r="AN87" s="45">
        <f t="shared" si="900"/>
        <v>71816.207607658245</v>
      </c>
      <c r="AO87" s="45">
        <f t="shared" si="900"/>
        <v>123227.28566590375</v>
      </c>
      <c r="AP87" s="45">
        <f t="shared" si="900"/>
        <v>175651.63739281497</v>
      </c>
      <c r="AQ87" s="45">
        <f t="shared" si="900"/>
        <v>199178.00236602104</v>
      </c>
      <c r="AR87" s="45">
        <f t="shared" si="900"/>
        <v>155258.47102456642</v>
      </c>
      <c r="AS87" s="45">
        <f t="shared" si="900"/>
        <v>137342.50368923479</v>
      </c>
      <c r="AT87" s="45">
        <f t="shared" si="900"/>
        <v>67542.985451770932</v>
      </c>
      <c r="AU87" s="45">
        <f t="shared" si="900"/>
        <v>39259.640497378416</v>
      </c>
      <c r="AV87" s="45">
        <f t="shared" si="900"/>
        <v>28120.30946460451</v>
      </c>
      <c r="AW87" s="45">
        <f t="shared" si="900"/>
        <v>27935.331957557002</v>
      </c>
      <c r="AX87" s="45">
        <f t="shared" si="900"/>
        <v>26934.449942442996</v>
      </c>
      <c r="AY87" s="45">
        <f t="shared" si="900"/>
        <v>31798.511690811967</v>
      </c>
      <c r="AZ87" s="45">
        <f t="shared" si="900"/>
        <v>71816.207607658245</v>
      </c>
      <c r="BA87" s="45">
        <f t="shared" si="900"/>
        <v>123227.28566590375</v>
      </c>
      <c r="BB87" s="45">
        <f t="shared" si="900"/>
        <v>175651.63739281497</v>
      </c>
      <c r="BC87" s="45">
        <f t="shared" si="900"/>
        <v>199178.00236602104</v>
      </c>
      <c r="BD87" s="45">
        <f t="shared" si="900"/>
        <v>155258.47102456642</v>
      </c>
      <c r="BE87" s="45">
        <f t="shared" si="900"/>
        <v>137342.50368923479</v>
      </c>
      <c r="BF87" s="45">
        <f t="shared" si="900"/>
        <v>67542.985451770932</v>
      </c>
      <c r="BG87" s="45">
        <f t="shared" si="900"/>
        <v>39259.640497378416</v>
      </c>
      <c r="BH87" s="45">
        <f t="shared" si="900"/>
        <v>28120.30946460451</v>
      </c>
      <c r="BI87" s="45">
        <f t="shared" si="900"/>
        <v>27935.331957557002</v>
      </c>
      <c r="BJ87" s="45">
        <f t="shared" si="900"/>
        <v>26934.449942442996</v>
      </c>
      <c r="BK87" s="45">
        <f t="shared" si="900"/>
        <v>31798.511690811967</v>
      </c>
      <c r="BL87" s="45">
        <f t="shared" si="900"/>
        <v>71816.207607658245</v>
      </c>
      <c r="BM87" s="45">
        <f t="shared" si="900"/>
        <v>123227.28566590375</v>
      </c>
      <c r="BN87" s="45">
        <f t="shared" si="900"/>
        <v>175651.63739281497</v>
      </c>
      <c r="BO87" s="45">
        <f t="shared" si="900"/>
        <v>199178.00236602104</v>
      </c>
      <c r="BP87" s="45">
        <f t="shared" ref="BP87:CH87" si="901">BP84*(BP80*BP$15+BP82)</f>
        <v>155258.47102456642</v>
      </c>
      <c r="BQ87" s="45">
        <f t="shared" si="901"/>
        <v>137342.50368923479</v>
      </c>
      <c r="BR87" s="45">
        <f t="shared" si="901"/>
        <v>67542.985451770932</v>
      </c>
      <c r="BS87" s="45">
        <f t="shared" si="901"/>
        <v>39259.640497378416</v>
      </c>
      <c r="BT87" s="45">
        <f t="shared" si="901"/>
        <v>28120.30946460451</v>
      </c>
      <c r="BU87" s="45">
        <f t="shared" si="901"/>
        <v>27935.331957557002</v>
      </c>
      <c r="BV87" s="45">
        <f t="shared" si="901"/>
        <v>26934.449942442996</v>
      </c>
      <c r="BW87" s="45">
        <f t="shared" si="901"/>
        <v>31798.511690811967</v>
      </c>
      <c r="BX87" s="45">
        <f t="shared" si="901"/>
        <v>71816.207607658245</v>
      </c>
      <c r="BY87" s="45">
        <f t="shared" si="901"/>
        <v>123227.28566590375</v>
      </c>
      <c r="BZ87" s="45">
        <f t="shared" si="901"/>
        <v>175651.63739281497</v>
      </c>
      <c r="CA87" s="45">
        <f t="shared" si="901"/>
        <v>199178.00236602104</v>
      </c>
      <c r="CB87" s="45">
        <f t="shared" si="901"/>
        <v>155258.47102456642</v>
      </c>
      <c r="CC87" s="45">
        <f t="shared" si="901"/>
        <v>137342.50368923479</v>
      </c>
      <c r="CD87" s="45">
        <f t="shared" si="901"/>
        <v>67542.985451770932</v>
      </c>
      <c r="CE87" s="45">
        <f t="shared" si="901"/>
        <v>39259.640497378416</v>
      </c>
      <c r="CF87" s="45">
        <f t="shared" si="901"/>
        <v>28120.30946460451</v>
      </c>
      <c r="CG87" s="45">
        <f t="shared" si="901"/>
        <v>27935.331957557002</v>
      </c>
      <c r="CH87" s="45">
        <f t="shared" si="901"/>
        <v>26934.449942442996</v>
      </c>
    </row>
    <row r="88" spans="1:86" x14ac:dyDescent="0.2">
      <c r="A88" s="613">
        <v>76</v>
      </c>
      <c r="B88" s="210" t="s">
        <v>603</v>
      </c>
      <c r="C88" s="45">
        <f>C87/SUM(C87:N87)*SUM(C85:N85)</f>
        <v>31817.28926626188</v>
      </c>
      <c r="D88" s="45">
        <f>D87/SUM(C87:N87)*SUM(C85:N85)</f>
        <v>71858.606538532331</v>
      </c>
      <c r="E88" s="45">
        <f>E87/SUM(C87:N87)*SUM(C85:N85)</f>
        <v>123300.03070542436</v>
      </c>
      <c r="F88" s="45">
        <f>F87/SUM(C87:N87)*SUM(C85:N85)</f>
        <v>175755.32711046279</v>
      </c>
      <c r="G88" s="45">
        <f>G87/SUM(C87:N87)*SUM(C85:N85)</f>
        <v>199295.57901256223</v>
      </c>
      <c r="H88" s="45">
        <f>H87/SUM(C87:N87)*SUM(C85:N85)</f>
        <v>155350.1223593443</v>
      </c>
      <c r="I88" s="45">
        <f>I87/SUM(C87:N87)*SUM(C85:N85)</f>
        <v>137423.58177992387</v>
      </c>
      <c r="J88" s="45">
        <f>J87/SUM(C87:N87)*SUM(C85:N85)</f>
        <v>67582.861944419434</v>
      </c>
      <c r="K88" s="45">
        <f>K87/SUM(C87:N87)*SUM(C85:N85)</f>
        <v>39282.822177833907</v>
      </c>
      <c r="L88" s="45">
        <f>L87/SUM(C87:N87)*SUM(C85:N85)</f>
        <v>28136.916007813557</v>
      </c>
      <c r="M88" s="45">
        <f>M87/SUM(C87:N87)*SUM(C85:N85)</f>
        <v>27951.829314245992</v>
      </c>
      <c r="N88" s="45">
        <f>N87/SUM(C87:N87)*SUM(C85:N85)</f>
        <v>26950.356223012608</v>
      </c>
      <c r="O88" s="45">
        <f>O87/SUM(O87:Z87)*SUM(O85:Z85)</f>
        <v>31817.292509800114</v>
      </c>
      <c r="P88" s="45">
        <f>P87/SUM(O87:Z87)*SUM(O85:Z85)</f>
        <v>71858.616490768123</v>
      </c>
      <c r="Q88" s="45">
        <f>Q87/SUM(O87:Z87)*SUM(O85:Z85)</f>
        <v>123300.0493970458</v>
      </c>
      <c r="R88" s="45">
        <f>R87/SUM(O87:Z87)*SUM(O85:Z85)</f>
        <v>175755.35458749317</v>
      </c>
      <c r="S88" s="45">
        <f>S87/SUM(O87:Z87)*SUM(O85:Z85)</f>
        <v>199295.61044523498</v>
      </c>
      <c r="T88" s="45">
        <f>T87/SUM(O87:Z87)*SUM(O85:Z85)</f>
        <v>155350.14664628968</v>
      </c>
      <c r="U88" s="45">
        <f>U87/SUM(O87:Z87)*SUM(O85:Z85)</f>
        <v>137423.60250987916</v>
      </c>
      <c r="V88" s="45">
        <f>V87/SUM(O87:Z87)*SUM(O85:Z85)</f>
        <v>67582.871199494824</v>
      </c>
      <c r="W88" s="45">
        <f>W87/SUM(O87:Z87)*SUM(O85:Z85)</f>
        <v>39282.82667111099</v>
      </c>
      <c r="X88" s="45">
        <f>X87/SUM(O87:Z87)*SUM(O85:Z85)</f>
        <v>28136.918605135081</v>
      </c>
      <c r="Y88" s="45">
        <f>Y87/SUM(O87:Z87)*SUM(O85:Z85)</f>
        <v>27951.831880379748</v>
      </c>
      <c r="Z88" s="45">
        <f>Z87/SUM(O87:Z87)*SUM(O85:Z85)</f>
        <v>26950.358697205556</v>
      </c>
      <c r="AA88" s="45">
        <f>AA87/SUM(AA87:AL87)*SUM(AA85:AL85)</f>
        <v>31817.288779656967</v>
      </c>
      <c r="AB88" s="45">
        <f>AB87/SUM(AA87:AL87)*SUM(AA85:AL85)</f>
        <v>71858.615231130432</v>
      </c>
      <c r="AC88" s="45">
        <f>AC87/SUM(AA87:AL87)*SUM(AA85:AL85)</f>
        <v>123300.05164041146</v>
      </c>
      <c r="AD88" s="45">
        <f>AD87/SUM(AA87:AL87)*SUM(AA85:AL85)</f>
        <v>175755.36005861658</v>
      </c>
      <c r="AE88" s="45">
        <f>AE87/SUM(AA87:AL87)*SUM(AA85:AL85)</f>
        <v>199295.61740042144</v>
      </c>
      <c r="AF88" s="45">
        <f>AF87/SUM(AA87:AL87)*SUM(AA85:AL85)</f>
        <v>155350.1514822153</v>
      </c>
      <c r="AG88" s="45">
        <f>AG87/SUM(AA87:AL87)*SUM(AA85:AL85)</f>
        <v>137423.60473003326</v>
      </c>
      <c r="AH88" s="45">
        <f>AH87/SUM(AA87:AL87)*SUM(AA85:AL85)</f>
        <v>67582.869728463382</v>
      </c>
      <c r="AI88" s="45">
        <f>AI87/SUM(AA87:AL87)*SUM(AA85:AL85)</f>
        <v>39282.823398666689</v>
      </c>
      <c r="AJ88" s="45">
        <f>AJ87/SUM(AA87:AL87)*SUM(AA85:AL85)</f>
        <v>28136.914567204905</v>
      </c>
      <c r="AK88" s="45">
        <f>AK87/SUM(AA87:AL87)*SUM(AA85:AL85)</f>
        <v>27951.82783054571</v>
      </c>
      <c r="AL88" s="45">
        <f>AL87/SUM(AA87:AL87)*SUM(AA85:AL85)</f>
        <v>26950.354792471138</v>
      </c>
      <c r="AM88" s="45">
        <f>AM87/SUM(AM87:AX87)*SUM(AM85:AX85)</f>
        <v>31817.288779656967</v>
      </c>
      <c r="AN88" s="45">
        <f>AN87/SUM(AM87:AX87)*SUM(AM85:AX85)</f>
        <v>71858.615231130432</v>
      </c>
      <c r="AO88" s="45">
        <f>AO87/SUM(AM87:AX87)*SUM(AM85:AX85)</f>
        <v>123300.05164041146</v>
      </c>
      <c r="AP88" s="45">
        <f>AP87/SUM(AM87:AX87)*SUM(AM85:AX85)</f>
        <v>175755.36005861658</v>
      </c>
      <c r="AQ88" s="45">
        <f>AQ87/SUM(AM87:AX87)*SUM(AM85:AX85)</f>
        <v>199295.61740042144</v>
      </c>
      <c r="AR88" s="45">
        <f>AR87/SUM(AM87:AX87)*SUM(AM85:AX85)</f>
        <v>155350.1514822153</v>
      </c>
      <c r="AS88" s="45">
        <f>AS87/SUM(AM87:AX87)*SUM(AM85:AX85)</f>
        <v>137423.60473003326</v>
      </c>
      <c r="AT88" s="45">
        <f>AT87/SUM(AM87:AX87)*SUM(AM85:AX85)</f>
        <v>67582.869728463382</v>
      </c>
      <c r="AU88" s="45">
        <f>AU87/SUM(AM87:AX87)*SUM(AM85:AX85)</f>
        <v>39282.823398666689</v>
      </c>
      <c r="AV88" s="45">
        <f>AV87/SUM(AM87:AX87)*SUM(AM85:AX85)</f>
        <v>28136.914567204905</v>
      </c>
      <c r="AW88" s="45">
        <f>AW87/SUM(AM87:AX87)*SUM(AM85:AX85)</f>
        <v>27951.82783054571</v>
      </c>
      <c r="AX88" s="45">
        <f>AX87/SUM(AM87:AX87)*SUM(AM85:AX85)</f>
        <v>26950.354792471138</v>
      </c>
      <c r="AY88" s="45">
        <f>AY87/SUM(AY87:BJ87)*SUM(AY85:BJ85)</f>
        <v>31817.288779656967</v>
      </c>
      <c r="AZ88" s="45">
        <f>AZ87/SUM(AY87:BJ87)*SUM(AY85:BJ85)</f>
        <v>71858.615231130432</v>
      </c>
      <c r="BA88" s="45">
        <f>BA87/SUM(AY87:BJ87)*SUM(AY85:BJ85)</f>
        <v>123300.05164041146</v>
      </c>
      <c r="BB88" s="45">
        <f>BB87/SUM(AY87:BJ87)*SUM(AY85:BJ85)</f>
        <v>175755.36005861658</v>
      </c>
      <c r="BC88" s="45">
        <f>BC87/SUM(AY87:BJ87)*SUM(AY85:BJ85)</f>
        <v>199295.61740042144</v>
      </c>
      <c r="BD88" s="45">
        <f>BD87/SUM(AY87:BJ87)*SUM(AY85:BJ85)</f>
        <v>155350.1514822153</v>
      </c>
      <c r="BE88" s="45">
        <f>BE87/SUM(AY87:BJ87)*SUM(AY85:BJ85)</f>
        <v>137423.60473003326</v>
      </c>
      <c r="BF88" s="45">
        <f>BF87/SUM(AY87:BJ87)*SUM(AY85:BJ85)</f>
        <v>67582.869728463382</v>
      </c>
      <c r="BG88" s="45">
        <f>BG87/SUM(AY87:BJ87)*SUM(AY85:BJ85)</f>
        <v>39282.823398666689</v>
      </c>
      <c r="BH88" s="45">
        <f>BH87/SUM(AY87:BJ87)*SUM(AY85:BJ85)</f>
        <v>28136.914567204905</v>
      </c>
      <c r="BI88" s="45">
        <f>BI87/SUM(AY87:BJ87)*SUM(AY85:BJ85)</f>
        <v>27951.82783054571</v>
      </c>
      <c r="BJ88" s="45">
        <f>BJ87/SUM(AY87:BJ87)*SUM(AY85:BJ85)</f>
        <v>26950.354792471138</v>
      </c>
      <c r="BK88" s="45">
        <f>BK87/SUM(BK87:BV87)*SUM(BK85:BV85)</f>
        <v>31817.288779656967</v>
      </c>
      <c r="BL88" s="45">
        <f>BL87/SUM(BK87:BV87)*SUM(BK85:BV85)</f>
        <v>71858.615231130432</v>
      </c>
      <c r="BM88" s="45">
        <f>BM87/SUM(BK87:BV87)*SUM(BK85:BV85)</f>
        <v>123300.05164041146</v>
      </c>
      <c r="BN88" s="45">
        <f>BN87/SUM(BK87:BV87)*SUM(BK85:BV85)</f>
        <v>175755.36005861658</v>
      </c>
      <c r="BO88" s="45">
        <f>BO87/SUM(BK87:BV87)*SUM(BK85:BV85)</f>
        <v>199295.61740042144</v>
      </c>
      <c r="BP88" s="45">
        <f>BP87/SUM(BK87:BV87)*SUM(BK85:BV85)</f>
        <v>155350.1514822153</v>
      </c>
      <c r="BQ88" s="45">
        <f>BQ87/SUM(BK87:BV87)*SUM(BK85:BV85)</f>
        <v>137423.60473003326</v>
      </c>
      <c r="BR88" s="45">
        <f>BR87/SUM(BK87:BV87)*SUM(BK85:BV85)</f>
        <v>67582.869728463382</v>
      </c>
      <c r="BS88" s="45">
        <f>BS87/SUM(BK87:BV87)*SUM(BK85:BV85)</f>
        <v>39282.823398666689</v>
      </c>
      <c r="BT88" s="45">
        <f>BT87/SUM(BK87:BV87)*SUM(BK85:BV85)</f>
        <v>28136.914567204905</v>
      </c>
      <c r="BU88" s="45">
        <f>BU87/SUM(BK87:BV87)*SUM(BK85:BV85)</f>
        <v>27951.82783054571</v>
      </c>
      <c r="BV88" s="45">
        <f>BV87/SUM(BK87:BV87)*SUM(BK85:BV85)</f>
        <v>26950.354792471138</v>
      </c>
      <c r="BW88" s="45">
        <f>BW87/SUM(BW87:CH87)*SUM(BW85:CH85)</f>
        <v>31817.288779656967</v>
      </c>
      <c r="BX88" s="45">
        <f>BX87/SUM(BW87:CH87)*SUM(BW85:CH85)</f>
        <v>71858.615231130432</v>
      </c>
      <c r="BY88" s="45">
        <f>BY87/SUM(BW87:CH87)*SUM(BW85:CH85)</f>
        <v>123300.05164041146</v>
      </c>
      <c r="BZ88" s="45">
        <f>BZ87/SUM(BW87:CH87)*SUM(BW85:CH85)</f>
        <v>175755.36005861658</v>
      </c>
      <c r="CA88" s="45">
        <f>CA87/SUM(BW87:CH87)*SUM(BW85:CH85)</f>
        <v>199295.61740042144</v>
      </c>
      <c r="CB88" s="45">
        <f>CB87/SUM(BW87:CH87)*SUM(BW85:CH85)</f>
        <v>155350.1514822153</v>
      </c>
      <c r="CC88" s="45">
        <f>CC87/SUM(BW87:CH87)*SUM(BW85:CH85)</f>
        <v>137423.60473003326</v>
      </c>
      <c r="CD88" s="45">
        <f>CD87/SUM(BW87:CH87)*SUM(BW85:CH85)</f>
        <v>67582.869728463382</v>
      </c>
      <c r="CE88" s="45">
        <f>CE87/SUM(BW87:CH87)*SUM(BW85:CH85)</f>
        <v>39282.823398666689</v>
      </c>
      <c r="CF88" s="45">
        <f>CF87/SUM(BW87:CH87)*SUM(BW85:CH85)</f>
        <v>28136.914567204905</v>
      </c>
      <c r="CG88" s="45">
        <f>CG87/SUM(BW87:CH87)*SUM(BW85:CH85)</f>
        <v>27951.82783054571</v>
      </c>
      <c r="CH88" s="45">
        <f>CH87/SUM(BW87:CH87)*SUM(BW85:CH85)</f>
        <v>26950.354792471138</v>
      </c>
    </row>
    <row r="89" spans="1:86" x14ac:dyDescent="0.2">
      <c r="A89" s="613">
        <v>77</v>
      </c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4"/>
      <c r="N89" s="634"/>
    </row>
    <row r="90" spans="1:86" x14ac:dyDescent="0.2">
      <c r="A90" s="613">
        <v>78</v>
      </c>
      <c r="B90" s="41" t="s">
        <v>587</v>
      </c>
      <c r="C90" s="635">
        <f t="shared" ref="C90:N90" si="902">ROUND(C85-C86,0)</f>
        <v>-6101</v>
      </c>
      <c r="D90" s="635">
        <f t="shared" si="902"/>
        <v>507</v>
      </c>
      <c r="E90" s="635">
        <f t="shared" si="902"/>
        <v>11341</v>
      </c>
      <c r="F90" s="635">
        <f t="shared" si="902"/>
        <v>4589</v>
      </c>
      <c r="G90" s="635">
        <f t="shared" si="902"/>
        <v>-24510</v>
      </c>
      <c r="H90" s="635">
        <f t="shared" si="902"/>
        <v>79</v>
      </c>
      <c r="I90" s="635">
        <f t="shared" si="902"/>
        <v>-62689</v>
      </c>
      <c r="J90" s="635">
        <f t="shared" si="902"/>
        <v>5766</v>
      </c>
      <c r="K90" s="635">
        <f t="shared" si="902"/>
        <v>-132</v>
      </c>
      <c r="L90" s="635">
        <f t="shared" si="902"/>
        <v>1417</v>
      </c>
      <c r="M90" s="635">
        <f t="shared" si="902"/>
        <v>2071</v>
      </c>
      <c r="N90" s="635">
        <f t="shared" si="902"/>
        <v>-2071</v>
      </c>
      <c r="O90" s="608"/>
      <c r="P90" s="608"/>
      <c r="Q90" s="608"/>
      <c r="R90" s="608"/>
      <c r="S90" s="608"/>
      <c r="T90" s="608"/>
      <c r="U90" s="608"/>
      <c r="V90" s="608"/>
      <c r="W90" s="608"/>
      <c r="X90" s="608"/>
      <c r="Y90" s="608"/>
      <c r="Z90" s="608"/>
      <c r="AA90" s="608"/>
      <c r="AB90" s="608"/>
      <c r="AC90" s="608"/>
      <c r="AD90" s="608"/>
      <c r="AE90" s="608"/>
      <c r="AF90" s="608"/>
      <c r="AG90" s="608"/>
      <c r="AH90" s="608"/>
      <c r="AI90" s="608"/>
      <c r="AJ90" s="608"/>
      <c r="AK90" s="608"/>
      <c r="AL90" s="608"/>
      <c r="AM90" s="608"/>
      <c r="AN90" s="608"/>
      <c r="AO90" s="608"/>
      <c r="AP90" s="608"/>
      <c r="AQ90" s="608"/>
      <c r="AR90" s="608"/>
      <c r="AS90" s="608"/>
      <c r="AT90" s="608"/>
      <c r="AU90" s="608"/>
      <c r="AV90" s="608"/>
      <c r="AW90" s="608"/>
      <c r="AX90" s="608"/>
      <c r="AY90" s="608"/>
      <c r="AZ90" s="608"/>
      <c r="BA90" s="608"/>
      <c r="BB90" s="608"/>
      <c r="BC90" s="608"/>
      <c r="BD90" s="608"/>
      <c r="BE90" s="608"/>
      <c r="BF90" s="608"/>
      <c r="BG90" s="608"/>
      <c r="BH90" s="608"/>
      <c r="BI90" s="608"/>
      <c r="BJ90" s="608"/>
      <c r="BK90" s="608"/>
      <c r="BL90" s="608"/>
      <c r="BM90" s="608"/>
      <c r="BN90" s="608"/>
      <c r="BO90" s="608"/>
      <c r="BP90" s="608"/>
      <c r="BQ90" s="608"/>
      <c r="BR90" s="608"/>
      <c r="BS90" s="608"/>
      <c r="BT90" s="608"/>
      <c r="BU90" s="608"/>
      <c r="BV90" s="608"/>
      <c r="BW90" s="608"/>
      <c r="BX90" s="608"/>
      <c r="BY90" s="608"/>
      <c r="BZ90" s="608"/>
      <c r="CA90" s="608"/>
      <c r="CB90" s="608"/>
      <c r="CC90" s="608"/>
      <c r="CD90" s="608"/>
      <c r="CE90" s="608"/>
      <c r="CF90" s="608"/>
      <c r="CG90" s="608"/>
      <c r="CH90" s="608"/>
    </row>
    <row r="91" spans="1:86" x14ac:dyDescent="0.2">
      <c r="A91" s="613">
        <v>79</v>
      </c>
      <c r="B91" s="41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608"/>
      <c r="P91" s="608"/>
      <c r="Q91" s="608"/>
      <c r="R91" s="608"/>
      <c r="S91" s="608"/>
      <c r="T91" s="608"/>
      <c r="U91" s="608"/>
      <c r="V91" s="608"/>
      <c r="W91" s="608"/>
      <c r="X91" s="608"/>
      <c r="Y91" s="608"/>
      <c r="Z91" s="608"/>
      <c r="AA91" s="608"/>
      <c r="AB91" s="608"/>
      <c r="AC91" s="608"/>
      <c r="AD91" s="608"/>
      <c r="AE91" s="608"/>
      <c r="AF91" s="608"/>
      <c r="AG91" s="608"/>
      <c r="AH91" s="608"/>
      <c r="AI91" s="608"/>
      <c r="AJ91" s="608"/>
      <c r="AK91" s="608"/>
      <c r="AL91" s="608"/>
      <c r="AM91" s="608"/>
      <c r="AN91" s="608"/>
      <c r="AO91" s="608"/>
      <c r="AP91" s="608"/>
      <c r="AQ91" s="608"/>
      <c r="AR91" s="608"/>
      <c r="AS91" s="608"/>
      <c r="AT91" s="608"/>
      <c r="AU91" s="608"/>
      <c r="AV91" s="608"/>
      <c r="AW91" s="608"/>
      <c r="AX91" s="608"/>
      <c r="AY91" s="608"/>
      <c r="AZ91" s="608"/>
      <c r="BA91" s="608"/>
      <c r="BB91" s="608"/>
      <c r="BC91" s="608"/>
      <c r="BD91" s="608"/>
      <c r="BE91" s="608"/>
      <c r="BF91" s="608"/>
      <c r="BG91" s="608"/>
      <c r="BH91" s="608"/>
      <c r="BI91" s="608"/>
      <c r="BJ91" s="608"/>
      <c r="BK91" s="608"/>
      <c r="BL91" s="608"/>
      <c r="BM91" s="608"/>
      <c r="BN91" s="608"/>
      <c r="BO91" s="608"/>
      <c r="BP91" s="608"/>
      <c r="BQ91" s="608"/>
      <c r="BR91" s="608"/>
      <c r="BS91" s="608"/>
      <c r="BT91" s="608"/>
      <c r="BU91" s="608"/>
      <c r="BV91" s="608"/>
      <c r="BW91" s="608"/>
      <c r="BX91" s="608"/>
      <c r="BY91" s="608"/>
      <c r="BZ91" s="608"/>
      <c r="CA91" s="608"/>
      <c r="CB91" s="608"/>
      <c r="CC91" s="608"/>
      <c r="CD91" s="608"/>
      <c r="CE91" s="608"/>
      <c r="CF91" s="608"/>
      <c r="CG91" s="608"/>
      <c r="CH91" s="608"/>
    </row>
    <row r="92" spans="1:86" x14ac:dyDescent="0.2">
      <c r="A92" s="613">
        <v>80</v>
      </c>
      <c r="B92" s="41" t="s">
        <v>590</v>
      </c>
      <c r="C92" s="157">
        <f>C$90*'Bill Frequency'!C35/'Bill Frequency'!C$38</f>
        <v>-5002.8831604220622</v>
      </c>
      <c r="D92" s="157">
        <f>D$90*'Bill Frequency'!D35/'Bill Frequency'!D$38</f>
        <v>400.33323539208391</v>
      </c>
      <c r="E92" s="157">
        <f>E$90*'Bill Frequency'!E35/'Bill Frequency'!E$38</f>
        <v>9663.1575353365643</v>
      </c>
      <c r="F92" s="157">
        <f>F$90*'Bill Frequency'!F35/'Bill Frequency'!F$38</f>
        <v>3680.4336610741811</v>
      </c>
      <c r="G92" s="157">
        <f>G$90*'Bill Frequency'!G35/'Bill Frequency'!G$38</f>
        <v>-17985.400528694838</v>
      </c>
      <c r="H92" s="157">
        <f>H$90*'Bill Frequency'!H35/'Bill Frequency'!H$38</f>
        <v>58.223693769966935</v>
      </c>
      <c r="I92" s="157">
        <f>I$90*'Bill Frequency'!I35/'Bill Frequency'!I$38</f>
        <v>-46153.592767289832</v>
      </c>
      <c r="J92" s="157">
        <f>J$90*'Bill Frequency'!J35/'Bill Frequency'!J$38</f>
        <v>4876.7441754716965</v>
      </c>
      <c r="K92" s="157">
        <f>K$90*'Bill Frequency'!K35/'Bill Frequency'!K$38</f>
        <v>-104.22317208320885</v>
      </c>
      <c r="L92" s="157">
        <f>L$90*'Bill Frequency'!L35/'Bill Frequency'!L$38</f>
        <v>1177.7463451495271</v>
      </c>
      <c r="M92" s="157">
        <f>M$90*'Bill Frequency'!M35/'Bill Frequency'!M$38</f>
        <v>1724.2942356478839</v>
      </c>
      <c r="N92" s="157">
        <f>N$90*'Bill Frequency'!N35/'Bill Frequency'!N$38</f>
        <v>-1620.2643105286422</v>
      </c>
      <c r="O92" s="608"/>
      <c r="P92" s="608"/>
      <c r="Q92" s="608"/>
      <c r="R92" s="608"/>
      <c r="S92" s="608"/>
      <c r="T92" s="608"/>
      <c r="U92" s="608"/>
      <c r="V92" s="608"/>
      <c r="W92" s="608"/>
      <c r="X92" s="608"/>
      <c r="Y92" s="608"/>
      <c r="Z92" s="608"/>
      <c r="AA92" s="608"/>
      <c r="AB92" s="608"/>
      <c r="AC92" s="608"/>
      <c r="AD92" s="608"/>
      <c r="AE92" s="608"/>
      <c r="AF92" s="608"/>
      <c r="AG92" s="608"/>
      <c r="AH92" s="608"/>
      <c r="AI92" s="608"/>
      <c r="AJ92" s="608"/>
      <c r="AK92" s="608"/>
      <c r="AL92" s="608"/>
      <c r="AM92" s="608"/>
      <c r="AN92" s="608"/>
      <c r="AO92" s="608"/>
      <c r="AP92" s="608"/>
      <c r="AQ92" s="608"/>
      <c r="AR92" s="608"/>
      <c r="AS92" s="608"/>
      <c r="AT92" s="608"/>
      <c r="AU92" s="608"/>
      <c r="AV92" s="608"/>
      <c r="AW92" s="608"/>
      <c r="AX92" s="608"/>
      <c r="AY92" s="608"/>
      <c r="AZ92" s="608"/>
      <c r="BA92" s="608"/>
      <c r="BB92" s="608"/>
      <c r="BC92" s="608"/>
      <c r="BD92" s="608"/>
      <c r="BE92" s="608"/>
      <c r="BF92" s="608"/>
      <c r="BG92" s="608"/>
      <c r="BH92" s="608"/>
      <c r="BI92" s="608"/>
      <c r="BJ92" s="608"/>
      <c r="BK92" s="608"/>
      <c r="BL92" s="608"/>
      <c r="BM92" s="608"/>
      <c r="BN92" s="608"/>
      <c r="BO92" s="608"/>
      <c r="BP92" s="608"/>
      <c r="BQ92" s="608"/>
      <c r="BR92" s="608"/>
      <c r="BS92" s="608"/>
      <c r="BT92" s="608"/>
      <c r="BU92" s="608"/>
      <c r="BV92" s="608"/>
      <c r="BW92" s="608"/>
      <c r="BX92" s="608"/>
      <c r="BY92" s="608"/>
      <c r="BZ92" s="608"/>
      <c r="CA92" s="608"/>
      <c r="CB92" s="608"/>
      <c r="CC92" s="608"/>
      <c r="CD92" s="608"/>
      <c r="CE92" s="608"/>
      <c r="CF92" s="608"/>
      <c r="CG92" s="608"/>
      <c r="CH92" s="608"/>
    </row>
    <row r="93" spans="1:86" x14ac:dyDescent="0.2">
      <c r="A93" s="613">
        <v>81</v>
      </c>
      <c r="B93" s="41" t="s">
        <v>591</v>
      </c>
      <c r="C93" s="157">
        <f>C$90*'Bill Frequency'!C36/'Bill Frequency'!C$38</f>
        <v>-1098.1168395779382</v>
      </c>
      <c r="D93" s="157">
        <f>D$90*'Bill Frequency'!D36/'Bill Frequency'!D$38</f>
        <v>106.66676460791604</v>
      </c>
      <c r="E93" s="157">
        <f>E$90*'Bill Frequency'!E36/'Bill Frequency'!E$38</f>
        <v>1677.8424646634355</v>
      </c>
      <c r="F93" s="157">
        <f>F$90*'Bill Frequency'!F36/'Bill Frequency'!F$38</f>
        <v>908.5663389258184</v>
      </c>
      <c r="G93" s="157">
        <f>G$90*'Bill Frequency'!G36/'Bill Frequency'!G$38</f>
        <v>-6524.5994713051632</v>
      </c>
      <c r="H93" s="157">
        <f>H$90*'Bill Frequency'!H36/'Bill Frequency'!H$38</f>
        <v>20.776306230033057</v>
      </c>
      <c r="I93" s="157">
        <f>I$90*'Bill Frequency'!I36/'Bill Frequency'!I$38</f>
        <v>-16535.407232710175</v>
      </c>
      <c r="J93" s="157">
        <f>J$90*'Bill Frequency'!J36/'Bill Frequency'!J$38</f>
        <v>889.25582452830304</v>
      </c>
      <c r="K93" s="157">
        <f>K$90*'Bill Frequency'!K36/'Bill Frequency'!K$38</f>
        <v>-27.776827916791138</v>
      </c>
      <c r="L93" s="157">
        <f>L$90*'Bill Frequency'!L36/'Bill Frequency'!L$38</f>
        <v>239.25365485047269</v>
      </c>
      <c r="M93" s="157">
        <f>M$90*'Bill Frequency'!M36/'Bill Frequency'!M$38</f>
        <v>346.70576435211615</v>
      </c>
      <c r="N93" s="157">
        <f>N$90*'Bill Frequency'!N36/'Bill Frequency'!N$38</f>
        <v>-450.73568947135766</v>
      </c>
      <c r="O93" s="608"/>
      <c r="P93" s="608"/>
      <c r="Q93" s="608"/>
      <c r="R93" s="608"/>
      <c r="S93" s="608"/>
      <c r="T93" s="608"/>
      <c r="U93" s="608"/>
      <c r="V93" s="608"/>
      <c r="W93" s="608"/>
      <c r="X93" s="608"/>
      <c r="Y93" s="608"/>
      <c r="Z93" s="608"/>
      <c r="AA93" s="608"/>
      <c r="AB93" s="608"/>
      <c r="AC93" s="608"/>
      <c r="AD93" s="608"/>
      <c r="AE93" s="608"/>
      <c r="AF93" s="608"/>
      <c r="AG93" s="608"/>
      <c r="AH93" s="608"/>
      <c r="AI93" s="608"/>
      <c r="AJ93" s="608"/>
      <c r="AK93" s="608"/>
      <c r="AL93" s="608"/>
      <c r="AM93" s="608"/>
      <c r="AN93" s="608"/>
      <c r="AO93" s="608"/>
      <c r="AP93" s="608"/>
      <c r="AQ93" s="608"/>
      <c r="AR93" s="608"/>
      <c r="AS93" s="608"/>
      <c r="AT93" s="608"/>
      <c r="AU93" s="608"/>
      <c r="AV93" s="608"/>
      <c r="AW93" s="608"/>
      <c r="AX93" s="608"/>
      <c r="AY93" s="608"/>
      <c r="AZ93" s="608"/>
      <c r="BA93" s="608"/>
      <c r="BB93" s="608"/>
      <c r="BC93" s="608"/>
      <c r="BD93" s="608"/>
      <c r="BE93" s="608"/>
      <c r="BF93" s="608"/>
      <c r="BG93" s="608"/>
      <c r="BH93" s="608"/>
      <c r="BI93" s="608"/>
      <c r="BJ93" s="608"/>
      <c r="BK93" s="608"/>
      <c r="BL93" s="608"/>
      <c r="BM93" s="608"/>
      <c r="BN93" s="608"/>
      <c r="BO93" s="608"/>
      <c r="BP93" s="608"/>
      <c r="BQ93" s="608"/>
      <c r="BR93" s="608"/>
      <c r="BS93" s="608"/>
      <c r="BT93" s="608"/>
      <c r="BU93" s="608"/>
      <c r="BV93" s="608"/>
      <c r="BW93" s="608"/>
      <c r="BX93" s="608"/>
      <c r="BY93" s="608"/>
      <c r="BZ93" s="608"/>
      <c r="CA93" s="608"/>
      <c r="CB93" s="608"/>
      <c r="CC93" s="608"/>
      <c r="CD93" s="608"/>
      <c r="CE93" s="608"/>
      <c r="CF93" s="608"/>
      <c r="CG93" s="608"/>
      <c r="CH93" s="608"/>
    </row>
    <row r="94" spans="1:86" x14ac:dyDescent="0.2">
      <c r="A94" s="613">
        <v>82</v>
      </c>
      <c r="B94" s="41" t="s">
        <v>592</v>
      </c>
      <c r="C94" s="157">
        <f>C$90*'Bill Frequency'!C37/'Bill Frequency'!C$38</f>
        <v>0</v>
      </c>
      <c r="D94" s="157">
        <f>D$90*'Bill Frequency'!D37/'Bill Frequency'!D$38</f>
        <v>0</v>
      </c>
      <c r="E94" s="157">
        <f>E$90*'Bill Frequency'!E37/'Bill Frequency'!E$38</f>
        <v>0</v>
      </c>
      <c r="F94" s="157">
        <f>F$90*'Bill Frequency'!F37/'Bill Frequency'!F$38</f>
        <v>0</v>
      </c>
      <c r="G94" s="157">
        <f>G$90*'Bill Frequency'!G37/'Bill Frequency'!G$38</f>
        <v>0</v>
      </c>
      <c r="H94" s="157">
        <f>H$90*'Bill Frequency'!H37/'Bill Frequency'!H$38</f>
        <v>0</v>
      </c>
      <c r="I94" s="157">
        <f>I$90*'Bill Frequency'!I37/'Bill Frequency'!I$38</f>
        <v>0</v>
      </c>
      <c r="J94" s="157">
        <f>J$90*'Bill Frequency'!J37/'Bill Frequency'!J$38</f>
        <v>0</v>
      </c>
      <c r="K94" s="157">
        <f>K$90*'Bill Frequency'!K37/'Bill Frequency'!K$38</f>
        <v>0</v>
      </c>
      <c r="L94" s="157">
        <f>L$90*'Bill Frequency'!L37/'Bill Frequency'!L$38</f>
        <v>0</v>
      </c>
      <c r="M94" s="157">
        <f>M$90*'Bill Frequency'!M37/'Bill Frequency'!M$38</f>
        <v>0</v>
      </c>
      <c r="N94" s="157">
        <f>N$90*'Bill Frequency'!N37/'Bill Frequency'!N$38</f>
        <v>0</v>
      </c>
      <c r="O94" s="608"/>
      <c r="P94" s="608"/>
      <c r="Q94" s="608"/>
      <c r="R94" s="608"/>
      <c r="S94" s="608"/>
      <c r="T94" s="608"/>
      <c r="U94" s="608"/>
      <c r="V94" s="608"/>
      <c r="W94" s="608"/>
      <c r="X94" s="608"/>
      <c r="Y94" s="608"/>
      <c r="Z94" s="608"/>
      <c r="AA94" s="608"/>
      <c r="AB94" s="608"/>
      <c r="AC94" s="608"/>
      <c r="AD94" s="608"/>
      <c r="AE94" s="608"/>
      <c r="AF94" s="608"/>
      <c r="AG94" s="608"/>
      <c r="AH94" s="608"/>
      <c r="AI94" s="608"/>
      <c r="AJ94" s="608"/>
      <c r="AK94" s="608"/>
      <c r="AL94" s="608"/>
      <c r="AM94" s="608"/>
      <c r="AN94" s="608"/>
      <c r="AO94" s="608"/>
      <c r="AP94" s="608"/>
      <c r="AQ94" s="608"/>
      <c r="AR94" s="608"/>
      <c r="AS94" s="608"/>
      <c r="AT94" s="608"/>
      <c r="AU94" s="608"/>
      <c r="AV94" s="608"/>
      <c r="AW94" s="608"/>
      <c r="AX94" s="608"/>
      <c r="AY94" s="608"/>
      <c r="AZ94" s="608"/>
      <c r="BA94" s="608"/>
      <c r="BB94" s="608"/>
      <c r="BC94" s="608"/>
      <c r="BD94" s="608"/>
      <c r="BE94" s="608"/>
      <c r="BF94" s="608"/>
      <c r="BG94" s="608"/>
      <c r="BH94" s="608"/>
      <c r="BI94" s="608"/>
      <c r="BJ94" s="608"/>
      <c r="BK94" s="608"/>
      <c r="BL94" s="608"/>
      <c r="BM94" s="608"/>
      <c r="BN94" s="608"/>
      <c r="BO94" s="608"/>
      <c r="BP94" s="608"/>
      <c r="BQ94" s="608"/>
      <c r="BR94" s="608"/>
      <c r="BS94" s="608"/>
      <c r="BT94" s="608"/>
      <c r="BU94" s="608"/>
      <c r="BV94" s="608"/>
      <c r="BW94" s="608"/>
      <c r="BX94" s="608"/>
      <c r="BY94" s="608"/>
      <c r="BZ94" s="608"/>
      <c r="CA94" s="608"/>
      <c r="CB94" s="608"/>
      <c r="CC94" s="608"/>
      <c r="CD94" s="608"/>
      <c r="CE94" s="608"/>
      <c r="CF94" s="608"/>
      <c r="CG94" s="608"/>
      <c r="CH94" s="608"/>
    </row>
    <row r="95" spans="1:86" ht="13.5" thickBot="1" x14ac:dyDescent="0.25">
      <c r="A95" s="613">
        <v>83</v>
      </c>
      <c r="B95" s="41" t="s">
        <v>19</v>
      </c>
      <c r="C95" s="636">
        <f>SUM(C92:C94)</f>
        <v>-6101</v>
      </c>
      <c r="D95" s="636">
        <f t="shared" ref="D95:N95" si="903">SUM(D92:D94)</f>
        <v>506.99999999999994</v>
      </c>
      <c r="E95" s="636">
        <f t="shared" si="903"/>
        <v>11341</v>
      </c>
      <c r="F95" s="636">
        <f t="shared" si="903"/>
        <v>4589</v>
      </c>
      <c r="G95" s="636">
        <f t="shared" si="903"/>
        <v>-24510</v>
      </c>
      <c r="H95" s="636">
        <f t="shared" si="903"/>
        <v>79</v>
      </c>
      <c r="I95" s="636">
        <f t="shared" si="903"/>
        <v>-62689.000000000007</v>
      </c>
      <c r="J95" s="636">
        <f t="shared" si="903"/>
        <v>5766</v>
      </c>
      <c r="K95" s="636">
        <f t="shared" si="903"/>
        <v>-132</v>
      </c>
      <c r="L95" s="636">
        <f t="shared" si="903"/>
        <v>1416.9999999999998</v>
      </c>
      <c r="M95" s="636">
        <f t="shared" si="903"/>
        <v>2071</v>
      </c>
      <c r="N95" s="636">
        <f t="shared" si="903"/>
        <v>-2071</v>
      </c>
      <c r="O95" s="608"/>
      <c r="P95" s="608"/>
      <c r="Q95" s="608"/>
      <c r="R95" s="608"/>
      <c r="S95" s="608"/>
      <c r="T95" s="608"/>
      <c r="U95" s="608"/>
      <c r="V95" s="608"/>
      <c r="W95" s="608"/>
      <c r="X95" s="608"/>
      <c r="Y95" s="608"/>
      <c r="Z95" s="608"/>
      <c r="AA95" s="608"/>
      <c r="AB95" s="608"/>
      <c r="AC95" s="608"/>
      <c r="AD95" s="608"/>
      <c r="AE95" s="608"/>
      <c r="AF95" s="608"/>
      <c r="AG95" s="608"/>
      <c r="AH95" s="608"/>
      <c r="AI95" s="608"/>
      <c r="AJ95" s="608"/>
      <c r="AK95" s="608"/>
      <c r="AL95" s="608"/>
      <c r="AM95" s="608"/>
      <c r="AN95" s="608"/>
      <c r="AO95" s="608"/>
      <c r="AP95" s="608"/>
      <c r="AQ95" s="608"/>
      <c r="AR95" s="608"/>
      <c r="AS95" s="608"/>
      <c r="AT95" s="608"/>
      <c r="AU95" s="608"/>
      <c r="AV95" s="608"/>
      <c r="AW95" s="608"/>
      <c r="AX95" s="608"/>
      <c r="AY95" s="608"/>
      <c r="AZ95" s="608"/>
      <c r="BA95" s="608"/>
      <c r="BB95" s="608"/>
      <c r="BC95" s="608"/>
      <c r="BD95" s="608"/>
      <c r="BE95" s="608"/>
      <c r="BF95" s="608"/>
      <c r="BG95" s="608"/>
      <c r="BH95" s="608"/>
      <c r="BI95" s="608"/>
      <c r="BJ95" s="608"/>
      <c r="BK95" s="608"/>
      <c r="BL95" s="608"/>
      <c r="BM95" s="608"/>
      <c r="BN95" s="608"/>
      <c r="BO95" s="608"/>
      <c r="BP95" s="608"/>
      <c r="BQ95" s="608"/>
      <c r="BR95" s="608"/>
      <c r="BS95" s="608"/>
      <c r="BT95" s="608"/>
      <c r="BU95" s="608"/>
      <c r="BV95" s="608"/>
      <c r="BW95" s="608"/>
      <c r="BX95" s="608"/>
      <c r="BY95" s="608"/>
      <c r="BZ95" s="608"/>
      <c r="CA95" s="608"/>
      <c r="CB95" s="608"/>
      <c r="CC95" s="608"/>
      <c r="CD95" s="608"/>
      <c r="CE95" s="608"/>
      <c r="CF95" s="608"/>
      <c r="CG95" s="608"/>
      <c r="CH95" s="608"/>
    </row>
    <row r="96" spans="1:86" ht="13.5" thickTop="1" x14ac:dyDescent="0.2"/>
  </sheetData>
  <pageMargins left="0.7" right="0.7" top="0.75" bottom="0.75" header="0.3" footer="0.3"/>
  <pageSetup scale="65" fitToWidth="8" fitToHeight="3" orientation="landscape" r:id="rId1"/>
  <headerFoot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7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15" width="10.5703125" style="2" customWidth="1"/>
    <col min="16" max="16" width="11.42578125" style="2" bestFit="1" customWidth="1"/>
    <col min="17" max="17" width="10.5703125" style="1" customWidth="1"/>
    <col min="18" max="29" width="10.5703125" style="204" customWidth="1"/>
    <col min="30" max="50" width="10.5703125" style="17" customWidth="1"/>
    <col min="51" max="63" width="10.5703125" style="2" customWidth="1"/>
    <col min="64" max="67" width="9.5703125" style="2" customWidth="1"/>
    <col min="68" max="16384" width="12.5703125" style="2"/>
  </cols>
  <sheetData>
    <row r="1" spans="1:9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70"/>
      <c r="Q1" s="70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70"/>
      <c r="Q2" s="70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</row>
    <row r="3" spans="1:9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1" t="s">
        <v>610</v>
      </c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</row>
    <row r="4" spans="1:91" x14ac:dyDescent="0.2">
      <c r="A4" s="7"/>
      <c r="B4" s="1"/>
      <c r="C4" s="19"/>
      <c r="D4" s="18"/>
      <c r="E4" s="18"/>
      <c r="F4" s="18"/>
      <c r="G4" s="18"/>
      <c r="H4" s="18"/>
      <c r="I4" s="18"/>
      <c r="J4" s="4" t="s">
        <v>93</v>
      </c>
      <c r="K4" s="18"/>
      <c r="L4" s="18"/>
      <c r="M4" s="18"/>
      <c r="N4" s="18"/>
      <c r="O4" s="18"/>
      <c r="P4" s="71"/>
      <c r="Q4" s="71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</row>
    <row r="5" spans="1:91" x14ac:dyDescent="0.2">
      <c r="A5" s="7"/>
      <c r="B5" s="18"/>
      <c r="C5" s="19"/>
      <c r="D5" s="18"/>
      <c r="E5" s="18"/>
      <c r="F5" s="18"/>
      <c r="G5" s="18"/>
      <c r="H5" s="18"/>
      <c r="I5" s="18"/>
      <c r="J5" s="4" t="s">
        <v>304</v>
      </c>
      <c r="K5" s="18"/>
      <c r="L5" s="18"/>
      <c r="M5" s="18"/>
      <c r="N5" s="18"/>
      <c r="O5" s="18"/>
      <c r="P5" s="18"/>
      <c r="Q5" s="18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</row>
    <row r="6" spans="1:91" x14ac:dyDescent="0.2">
      <c r="A6" s="7"/>
      <c r="B6" s="18"/>
      <c r="C6" s="73"/>
      <c r="D6" s="18"/>
      <c r="E6" s="18"/>
      <c r="F6" s="18"/>
      <c r="G6" s="18"/>
      <c r="H6" s="18"/>
      <c r="I6" s="18"/>
      <c r="J6" s="4" t="str">
        <f>'Test Year Revenue Present'!G6</f>
        <v>TEST YEAR ENDING MAY, 31 2017</v>
      </c>
      <c r="K6" s="18"/>
      <c r="L6" s="18"/>
      <c r="M6" s="18"/>
      <c r="N6" s="18"/>
      <c r="O6" s="18"/>
      <c r="P6" s="18"/>
      <c r="Q6" s="18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124" t="s">
        <v>408</v>
      </c>
      <c r="K7" s="1"/>
      <c r="L7" s="1"/>
      <c r="M7" s="1"/>
      <c r="N7" s="1"/>
      <c r="O7" s="1"/>
      <c r="P7" s="1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</row>
    <row r="8" spans="1:91" x14ac:dyDescent="0.2">
      <c r="A8" s="7" t="s">
        <v>12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4" t="s">
        <v>19</v>
      </c>
      <c r="Q8" s="4" t="s">
        <v>19</v>
      </c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</row>
    <row r="9" spans="1:91" x14ac:dyDescent="0.2">
      <c r="A9" s="8" t="s">
        <v>17</v>
      </c>
      <c r="B9" s="9" t="s">
        <v>27</v>
      </c>
      <c r="C9" s="10" t="s">
        <v>6</v>
      </c>
      <c r="D9" s="65">
        <f>'Summary of Revenue'!T7</f>
        <v>42551</v>
      </c>
      <c r="E9" s="65">
        <f>'Summary of Revenue'!U7</f>
        <v>42582</v>
      </c>
      <c r="F9" s="65">
        <f>'Summary of Revenue'!V7</f>
        <v>42613</v>
      </c>
      <c r="G9" s="65">
        <f>'Summary of Revenue'!W7</f>
        <v>42643</v>
      </c>
      <c r="H9" s="65">
        <f>'Summary of Revenue'!X7</f>
        <v>42674</v>
      </c>
      <c r="I9" s="65">
        <f>'Summary of Revenue'!Y7</f>
        <v>42704</v>
      </c>
      <c r="J9" s="65">
        <f>'Summary of Revenue'!Z7</f>
        <v>42735</v>
      </c>
      <c r="K9" s="65">
        <f>'Summary of Revenue'!AA7</f>
        <v>42766</v>
      </c>
      <c r="L9" s="65">
        <f>'Summary of Revenue'!AB7</f>
        <v>42794</v>
      </c>
      <c r="M9" s="65">
        <f>'Summary of Revenue'!AC7</f>
        <v>42825</v>
      </c>
      <c r="N9" s="65">
        <f>'Summary of Revenue'!AD7</f>
        <v>42855</v>
      </c>
      <c r="O9" s="65">
        <f>'Summary of Revenue'!AE7</f>
        <v>42886</v>
      </c>
      <c r="P9" s="65" t="s">
        <v>358</v>
      </c>
      <c r="Q9" s="65" t="s">
        <v>22</v>
      </c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</row>
    <row r="10" spans="1:91" x14ac:dyDescent="0.2">
      <c r="A10" s="1"/>
      <c r="B10" s="81"/>
      <c r="C10" s="81"/>
      <c r="D10" s="81" t="s">
        <v>13</v>
      </c>
      <c r="E10" s="81" t="s">
        <v>14</v>
      </c>
      <c r="F10" s="4" t="s">
        <v>15</v>
      </c>
      <c r="G10" s="94" t="s">
        <v>16</v>
      </c>
      <c r="H10" s="95" t="s">
        <v>108</v>
      </c>
      <c r="I10" s="95" t="s">
        <v>109</v>
      </c>
      <c r="J10" s="95" t="s">
        <v>110</v>
      </c>
      <c r="K10" s="95" t="s">
        <v>111</v>
      </c>
      <c r="L10" s="95" t="s">
        <v>112</v>
      </c>
      <c r="M10" s="95" t="s">
        <v>113</v>
      </c>
      <c r="N10" s="95" t="s">
        <v>114</v>
      </c>
      <c r="O10" s="95" t="s">
        <v>115</v>
      </c>
      <c r="P10" s="95" t="s">
        <v>116</v>
      </c>
      <c r="Q10" s="95" t="s">
        <v>245</v>
      </c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</row>
    <row r="11" spans="1:91" x14ac:dyDescent="0.2">
      <c r="A11" s="1"/>
      <c r="B11" s="1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9"/>
      <c r="Q11" s="44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</row>
    <row r="12" spans="1:91" x14ac:dyDescent="0.2">
      <c r="A12" s="4">
        <v>1</v>
      </c>
      <c r="B12" s="35" t="s">
        <v>30</v>
      </c>
      <c r="C12" s="15"/>
      <c r="D12" s="101">
        <f t="shared" ref="D12:O12" si="0">D13*$C$13+D14*$C$14+D15*$C$15+D16*$C$16</f>
        <v>3208296.7683956646</v>
      </c>
      <c r="E12" s="101">
        <f t="shared" si="0"/>
        <v>3106915.0466213897</v>
      </c>
      <c r="F12" s="101">
        <f t="shared" si="0"/>
        <v>3057547.6079874802</v>
      </c>
      <c r="G12" s="101">
        <f t="shared" si="0"/>
        <v>3056795.3235975574</v>
      </c>
      <c r="H12" s="101">
        <f t="shared" si="0"/>
        <v>3305905.1620962857</v>
      </c>
      <c r="I12" s="101">
        <f t="shared" si="0"/>
        <v>4089123.1639045435</v>
      </c>
      <c r="J12" s="101">
        <f t="shared" si="0"/>
        <v>5096722.4968727697</v>
      </c>
      <c r="K12" s="101">
        <f t="shared" si="0"/>
        <v>5469892.3854327332</v>
      </c>
      <c r="L12" s="101">
        <f t="shared" si="0"/>
        <v>5101889.4356375793</v>
      </c>
      <c r="M12" s="101">
        <f t="shared" si="0"/>
        <v>5432598.8639615979</v>
      </c>
      <c r="N12" s="101">
        <f t="shared" si="0"/>
        <v>4161399.9792392161</v>
      </c>
      <c r="O12" s="101">
        <f t="shared" si="0"/>
        <v>3487220.0043314998</v>
      </c>
      <c r="P12" s="101">
        <f>SUM(D12:O12)</f>
        <v>48574306.238078319</v>
      </c>
      <c r="Q12" s="101"/>
      <c r="R12" s="210"/>
      <c r="S12" s="206">
        <f>(P12+P19)/P13</f>
        <v>51.131877239005114</v>
      </c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29"/>
      <c r="BM12" s="129"/>
      <c r="BN12" s="129"/>
      <c r="BO12" s="129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</row>
    <row r="13" spans="1:91" x14ac:dyDescent="0.2">
      <c r="A13" s="4">
        <v>2</v>
      </c>
      <c r="B13" s="1" t="s">
        <v>23</v>
      </c>
      <c r="C13" s="11">
        <f>'Rate Design'!F12</f>
        <v>18.649999999999999</v>
      </c>
      <c r="D13" s="70">
        <f>'Monthly Forecast'!Y12</f>
        <v>156693</v>
      </c>
      <c r="E13" s="70">
        <f>'Monthly Forecast'!Z12</f>
        <v>154693</v>
      </c>
      <c r="F13" s="70">
        <f>'Monthly Forecast'!AA12</f>
        <v>152235</v>
      </c>
      <c r="G13" s="70">
        <f>'Monthly Forecast'!AB12</f>
        <v>151812</v>
      </c>
      <c r="H13" s="70">
        <f>'Monthly Forecast'!AC12</f>
        <v>153319</v>
      </c>
      <c r="I13" s="70">
        <f>'Monthly Forecast'!AD12</f>
        <v>153194</v>
      </c>
      <c r="J13" s="70">
        <f>'Monthly Forecast'!AE12</f>
        <v>158720</v>
      </c>
      <c r="K13" s="70">
        <f>'Monthly Forecast'!AF12</f>
        <v>158673</v>
      </c>
      <c r="L13" s="70">
        <f>'Monthly Forecast'!AG12</f>
        <v>141981</v>
      </c>
      <c r="M13" s="70">
        <f>'Monthly Forecast'!AH12</f>
        <v>176169</v>
      </c>
      <c r="N13" s="70">
        <f>'Monthly Forecast'!AI12</f>
        <v>159039</v>
      </c>
      <c r="O13" s="70">
        <f>'Monthly Forecast'!AJ12</f>
        <v>157509</v>
      </c>
      <c r="P13" s="70">
        <f>ROUND((SUM(D13:O13)),0)</f>
        <v>1874037</v>
      </c>
      <c r="Q13" s="70">
        <f>P13*C13</f>
        <v>34950790.049999997</v>
      </c>
      <c r="R13" s="210"/>
      <c r="S13" s="357"/>
      <c r="T13" s="206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35"/>
      <c r="BM13" s="135"/>
      <c r="BN13" s="135"/>
      <c r="BO13" s="135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</row>
    <row r="14" spans="1:91" x14ac:dyDescent="0.2">
      <c r="A14" s="4">
        <v>3</v>
      </c>
      <c r="B14" s="1" t="s">
        <v>24</v>
      </c>
      <c r="C14" s="14">
        <f>'Rate Design'!F19</f>
        <v>1.3180000000000001</v>
      </c>
      <c r="D14" s="70">
        <f>'Monthly Forecast'!Y13</f>
        <v>216974.44491325098</v>
      </c>
      <c r="E14" s="70">
        <f>'Monthly Forecast'!Z13</f>
        <v>168354.01868087237</v>
      </c>
      <c r="F14" s="70">
        <f>'Monthly Forecast'!AA13</f>
        <v>165678.95143207905</v>
      </c>
      <c r="G14" s="70">
        <f>'Monthly Forecast'!AB13</f>
        <v>171093.72048373095</v>
      </c>
      <c r="H14" s="70">
        <f>'Monthly Forecast'!AC13</f>
        <v>338775.27473162819</v>
      </c>
      <c r="I14" s="70">
        <f>'Monthly Forecast'!AD13</f>
        <v>934791.39901710465</v>
      </c>
      <c r="J14" s="70">
        <f>'Monthly Forecast'!AE13</f>
        <v>1621088.3891295667</v>
      </c>
      <c r="K14" s="70">
        <f>'Monthly Forecast'!AF13</f>
        <v>1904886.9009353057</v>
      </c>
      <c r="L14" s="70">
        <f>'Monthly Forecast'!AG13</f>
        <v>1861869.3365990738</v>
      </c>
      <c r="M14" s="70">
        <f>'Monthly Forecast'!AH13</f>
        <v>1629018.978726554</v>
      </c>
      <c r="N14" s="70">
        <f>'Monthly Forecast'!AI13</f>
        <v>906921.56998423114</v>
      </c>
      <c r="O14" s="70">
        <f>'Monthly Forecast'!AJ13</f>
        <v>417053.98659446143</v>
      </c>
      <c r="P14" s="70">
        <f>SUM(D14:O14)</f>
        <v>10336506.97122786</v>
      </c>
      <c r="Q14" s="70">
        <f>P14*C14</f>
        <v>13623516.18807832</v>
      </c>
      <c r="R14" s="210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</row>
    <row r="15" spans="1:91" x14ac:dyDescent="0.2">
      <c r="A15" s="4">
        <v>4</v>
      </c>
      <c r="B15" s="1" t="s">
        <v>25</v>
      </c>
      <c r="C15" s="14">
        <f>'Rate Design'!F20</f>
        <v>0.87999999999999989</v>
      </c>
      <c r="D15" s="70">
        <f>'Monthly Forecast'!Y14</f>
        <v>0</v>
      </c>
      <c r="E15" s="70">
        <f>'Monthly Forecast'!Z14</f>
        <v>0</v>
      </c>
      <c r="F15" s="70">
        <f>'Monthly Forecast'!AA14</f>
        <v>0</v>
      </c>
      <c r="G15" s="70">
        <f>'Monthly Forecast'!AB14</f>
        <v>0</v>
      </c>
      <c r="H15" s="70">
        <f>'Monthly Forecast'!AC14</f>
        <v>0</v>
      </c>
      <c r="I15" s="70">
        <f>'Monthly Forecast'!AD14</f>
        <v>0</v>
      </c>
      <c r="J15" s="70">
        <f>'Monthly Forecast'!AE14</f>
        <v>0</v>
      </c>
      <c r="K15" s="70">
        <f>'Monthly Forecast'!AF14</f>
        <v>0</v>
      </c>
      <c r="L15" s="70">
        <f>'Monthly Forecast'!AG14</f>
        <v>0</v>
      </c>
      <c r="M15" s="70">
        <f>'Monthly Forecast'!AH14</f>
        <v>0</v>
      </c>
      <c r="N15" s="70">
        <f>'Monthly Forecast'!AI14</f>
        <v>0</v>
      </c>
      <c r="O15" s="70">
        <f>'Monthly Forecast'!AJ14</f>
        <v>0</v>
      </c>
      <c r="P15" s="70">
        <f>SUM(D15:O15)</f>
        <v>0</v>
      </c>
      <c r="Q15" s="70">
        <f>P15*C15</f>
        <v>0</v>
      </c>
      <c r="R15" s="210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</row>
    <row r="16" spans="1:91" x14ac:dyDescent="0.2">
      <c r="A16" s="4">
        <v>5</v>
      </c>
      <c r="B16" s="1" t="s">
        <v>81</v>
      </c>
      <c r="C16" s="14">
        <f>'Rate Design'!F21</f>
        <v>0.62</v>
      </c>
      <c r="D16" s="70">
        <f>'Monthly Forecast'!Y15</f>
        <v>0</v>
      </c>
      <c r="E16" s="70">
        <f>'Monthly Forecast'!Z15</f>
        <v>0</v>
      </c>
      <c r="F16" s="70">
        <f>'Monthly Forecast'!AA15</f>
        <v>0</v>
      </c>
      <c r="G16" s="70">
        <f>'Monthly Forecast'!AB15</f>
        <v>0</v>
      </c>
      <c r="H16" s="70">
        <f>'Monthly Forecast'!AC15</f>
        <v>0</v>
      </c>
      <c r="I16" s="70">
        <f>'Monthly Forecast'!AD15</f>
        <v>0</v>
      </c>
      <c r="J16" s="70">
        <f>'Monthly Forecast'!AE15</f>
        <v>0</v>
      </c>
      <c r="K16" s="70">
        <f>'Monthly Forecast'!AF15</f>
        <v>0</v>
      </c>
      <c r="L16" s="70">
        <f>'Monthly Forecast'!AG15</f>
        <v>0</v>
      </c>
      <c r="M16" s="70">
        <f>'Monthly Forecast'!AH15</f>
        <v>0</v>
      </c>
      <c r="N16" s="70">
        <f>'Monthly Forecast'!AI15</f>
        <v>0</v>
      </c>
      <c r="O16" s="70">
        <f>'Monthly Forecast'!AJ15</f>
        <v>0</v>
      </c>
      <c r="P16" s="70">
        <f>SUM(D16:O16)</f>
        <v>0</v>
      </c>
      <c r="Q16" s="70">
        <f>P16*C16</f>
        <v>0</v>
      </c>
      <c r="R16" s="210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</row>
    <row r="17" spans="1:91" x14ac:dyDescent="0.2">
      <c r="A17" s="4">
        <v>6</v>
      </c>
      <c r="B17" s="32" t="s">
        <v>79</v>
      </c>
      <c r="C17" s="32"/>
      <c r="D17" s="31">
        <f t="shared" ref="D17:P17" si="1">D14+D15+D16</f>
        <v>216974.44491325098</v>
      </c>
      <c r="E17" s="31">
        <f t="shared" si="1"/>
        <v>168354.01868087237</v>
      </c>
      <c r="F17" s="31">
        <f t="shared" si="1"/>
        <v>165678.95143207905</v>
      </c>
      <c r="G17" s="31">
        <f t="shared" si="1"/>
        <v>171093.72048373095</v>
      </c>
      <c r="H17" s="31">
        <f t="shared" si="1"/>
        <v>338775.27473162819</v>
      </c>
      <c r="I17" s="31">
        <f t="shared" si="1"/>
        <v>934791.39901710465</v>
      </c>
      <c r="J17" s="31">
        <f t="shared" si="1"/>
        <v>1621088.3891295667</v>
      </c>
      <c r="K17" s="31">
        <f t="shared" si="1"/>
        <v>1904886.9009353057</v>
      </c>
      <c r="L17" s="31">
        <f t="shared" si="1"/>
        <v>1861869.3365990738</v>
      </c>
      <c r="M17" s="31">
        <f t="shared" si="1"/>
        <v>1629018.978726554</v>
      </c>
      <c r="N17" s="31">
        <f t="shared" si="1"/>
        <v>906921.56998423114</v>
      </c>
      <c r="O17" s="31">
        <f t="shared" si="1"/>
        <v>417053.98659446143</v>
      </c>
      <c r="P17" s="31">
        <f t="shared" si="1"/>
        <v>10336506.97122786</v>
      </c>
      <c r="Q17" s="31">
        <f>SUM(Q13:Q16)</f>
        <v>48574306.238078319</v>
      </c>
      <c r="R17" s="210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</row>
    <row r="18" spans="1:91" x14ac:dyDescent="0.2">
      <c r="A18" s="4">
        <v>7</v>
      </c>
      <c r="B18" s="16" t="s">
        <v>237</v>
      </c>
      <c r="C18" s="16"/>
      <c r="D18" s="93">
        <f>'Monthly Forecast'!Y17</f>
        <v>4.576446110502566</v>
      </c>
      <c r="E18" s="93">
        <f>'Monthly Forecast'!Z17</f>
        <v>4.576446110502566</v>
      </c>
      <c r="F18" s="93">
        <f>'Monthly Forecast'!AA17</f>
        <v>4.6088710472168026</v>
      </c>
      <c r="G18" s="93">
        <f>'Monthly Forecast'!AB17</f>
        <v>4.6088710472168026</v>
      </c>
      <c r="H18" s="93">
        <f>'Monthly Forecast'!AC17</f>
        <v>4.6088710472168026</v>
      </c>
      <c r="I18" s="93">
        <f>'Monthly Forecast'!AD17</f>
        <v>4.5535112981864572</v>
      </c>
      <c r="J18" s="93">
        <f>'Monthly Forecast'!AE17</f>
        <v>4.5535112981864572</v>
      </c>
      <c r="K18" s="93">
        <f>'Monthly Forecast'!AF17</f>
        <v>4.5535112981864572</v>
      </c>
      <c r="L18" s="93">
        <f>'Monthly Forecast'!AG17</f>
        <v>4.5576361502621516</v>
      </c>
      <c r="M18" s="93">
        <f>'Monthly Forecast'!AH17</f>
        <v>4.5576361502621516</v>
      </c>
      <c r="N18" s="93">
        <f>'Monthly Forecast'!AI17</f>
        <v>4.5576361502621516</v>
      </c>
      <c r="O18" s="93">
        <f>'Monthly Forecast'!AJ17</f>
        <v>4.83392198302381</v>
      </c>
      <c r="P18" s="93"/>
      <c r="Q18" s="93"/>
      <c r="R18" s="210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</row>
    <row r="19" spans="1:91" x14ac:dyDescent="0.2">
      <c r="A19" s="4">
        <v>8</v>
      </c>
      <c r="B19" s="16" t="s">
        <v>229</v>
      </c>
      <c r="C19" s="16"/>
      <c r="D19" s="38">
        <f t="shared" ref="D19:O19" si="2">D18*D17</f>
        <v>992971.85450170073</v>
      </c>
      <c r="E19" s="38">
        <f t="shared" si="2"/>
        <v>770463.09397955472</v>
      </c>
      <c r="F19" s="38">
        <f t="shared" si="2"/>
        <v>763592.92238854792</v>
      </c>
      <c r="G19" s="38">
        <f t="shared" si="2"/>
        <v>788548.89469807199</v>
      </c>
      <c r="H19" s="38">
        <f t="shared" si="2"/>
        <v>1561371.5552235192</v>
      </c>
      <c r="I19" s="38">
        <f t="shared" si="2"/>
        <v>4256583.1968719102</v>
      </c>
      <c r="J19" s="38">
        <f t="shared" si="2"/>
        <v>7381644.2952603661</v>
      </c>
      <c r="K19" s="38">
        <f t="shared" si="2"/>
        <v>8673924.0251763016</v>
      </c>
      <c r="L19" s="38">
        <f t="shared" si="2"/>
        <v>8485722.9955485482</v>
      </c>
      <c r="M19" s="38">
        <f t="shared" si="2"/>
        <v>7424475.7869072733</v>
      </c>
      <c r="N19" s="38">
        <f t="shared" si="2"/>
        <v>4133418.5328126377</v>
      </c>
      <c r="O19" s="38">
        <f t="shared" si="2"/>
        <v>2016006.4339066844</v>
      </c>
      <c r="P19" s="38">
        <f>SUM(D19:O19)</f>
        <v>47248723.58727511</v>
      </c>
      <c r="Q19" s="38"/>
      <c r="R19" s="210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</row>
    <row r="20" spans="1:91" x14ac:dyDescent="0.2">
      <c r="A20" s="4">
        <v>9</v>
      </c>
      <c r="B20" s="1"/>
      <c r="C20" s="70"/>
      <c r="D20" s="4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70"/>
      <c r="Q20" s="70"/>
      <c r="R20" s="210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</row>
    <row r="21" spans="1:91" x14ac:dyDescent="0.2">
      <c r="A21" s="4">
        <v>10</v>
      </c>
      <c r="B21" s="35" t="s">
        <v>31</v>
      </c>
      <c r="C21" s="1"/>
      <c r="D21" s="101">
        <f t="shared" ref="D21:O21" si="3">D22*$C$22+D23*$C$23+D24*$C$24+D25*$C$25</f>
        <v>1054766.9606299822</v>
      </c>
      <c r="E21" s="101">
        <f t="shared" si="3"/>
        <v>1023645.2076490484</v>
      </c>
      <c r="F21" s="101">
        <f t="shared" si="3"/>
        <v>1000785.2950254441</v>
      </c>
      <c r="G21" s="101">
        <f t="shared" si="3"/>
        <v>998113.85135664651</v>
      </c>
      <c r="H21" s="101">
        <f t="shared" si="3"/>
        <v>1075489.2735885207</v>
      </c>
      <c r="I21" s="101">
        <f t="shared" si="3"/>
        <v>1389050.7241869851</v>
      </c>
      <c r="J21" s="101">
        <f t="shared" si="3"/>
        <v>1773676.193082958</v>
      </c>
      <c r="K21" s="101">
        <f t="shared" si="3"/>
        <v>1919276.9547644551</v>
      </c>
      <c r="L21" s="101">
        <f t="shared" si="3"/>
        <v>1841641.9305455415</v>
      </c>
      <c r="M21" s="101">
        <f t="shared" si="3"/>
        <v>1837476.9943255384</v>
      </c>
      <c r="N21" s="101">
        <f t="shared" si="3"/>
        <v>1423016.6553473328</v>
      </c>
      <c r="O21" s="101">
        <f t="shared" si="3"/>
        <v>1156600.840484309</v>
      </c>
      <c r="P21" s="101">
        <f>SUM(D21:O21)</f>
        <v>16493540.880986761</v>
      </c>
      <c r="Q21" s="101"/>
      <c r="R21" s="210"/>
      <c r="S21" s="206">
        <f>(P21+P28)/P22</f>
        <v>191.46147958596427</v>
      </c>
      <c r="T21" s="34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</row>
    <row r="22" spans="1:91" x14ac:dyDescent="0.2">
      <c r="A22" s="4">
        <v>11</v>
      </c>
      <c r="B22" s="1" t="s">
        <v>23</v>
      </c>
      <c r="C22" s="99">
        <f>'Rate Design'!F13</f>
        <v>48.44</v>
      </c>
      <c r="D22" s="70">
        <f>'Monthly Forecast'!Y21</f>
        <v>17239</v>
      </c>
      <c r="E22" s="70">
        <f>'Monthly Forecast'!Z21</f>
        <v>17099</v>
      </c>
      <c r="F22" s="70">
        <f>'Monthly Forecast'!AA21</f>
        <v>16768</v>
      </c>
      <c r="G22" s="70">
        <f>'Monthly Forecast'!AB21</f>
        <v>16763</v>
      </c>
      <c r="H22" s="70">
        <f>'Monthly Forecast'!AC21</f>
        <v>16900</v>
      </c>
      <c r="I22" s="70">
        <f>'Monthly Forecast'!AD21</f>
        <v>16920</v>
      </c>
      <c r="J22" s="70">
        <f>'Monthly Forecast'!AE21</f>
        <v>17698</v>
      </c>
      <c r="K22" s="70">
        <f>'Monthly Forecast'!AF21</f>
        <v>17809</v>
      </c>
      <c r="L22" s="70">
        <f>'Monthly Forecast'!AG21</f>
        <v>16330</v>
      </c>
      <c r="M22" s="70">
        <f>'Monthly Forecast'!AH21</f>
        <v>19213</v>
      </c>
      <c r="N22" s="70">
        <f>'Monthly Forecast'!AI21</f>
        <v>17745</v>
      </c>
      <c r="O22" s="70">
        <f>'Monthly Forecast'!AJ21</f>
        <v>17372</v>
      </c>
      <c r="P22" s="70">
        <f>ROUND((SUM(D22:O22)),0)</f>
        <v>207856</v>
      </c>
      <c r="Q22" s="70">
        <f>P22*C22</f>
        <v>10068544.639999999</v>
      </c>
      <c r="R22" s="210"/>
      <c r="S22" s="205"/>
      <c r="T22" s="205"/>
      <c r="U22" s="206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</row>
    <row r="23" spans="1:91" x14ac:dyDescent="0.2">
      <c r="A23" s="4">
        <v>12</v>
      </c>
      <c r="B23" s="1" t="s">
        <v>24</v>
      </c>
      <c r="C23" s="14">
        <f>C14</f>
        <v>1.3180000000000001</v>
      </c>
      <c r="D23" s="70">
        <f>'Monthly Forecast'!Y22</f>
        <v>157105.54247941135</v>
      </c>
      <c r="E23" s="70">
        <f>'Monthly Forecast'!Z22</f>
        <v>139909.19013938011</v>
      </c>
      <c r="F23" s="70">
        <f>'Monthly Forecast'!AA22</f>
        <v>130250.76022247532</v>
      </c>
      <c r="G23" s="70">
        <f>'Monthly Forecast'!AB22</f>
        <v>120243.96063161312</v>
      </c>
      <c r="H23" s="70">
        <f>'Monthly Forecast'!AC22</f>
        <v>150843.60552630303</v>
      </c>
      <c r="I23" s="70">
        <f>'Monthly Forecast'!AD22</f>
        <v>401776.07452736335</v>
      </c>
      <c r="J23" s="70">
        <f>'Monthly Forecast'!AE22</f>
        <v>641864.19765058928</v>
      </c>
      <c r="K23" s="70">
        <f>'Monthly Forecast'!AF22</f>
        <v>728984.00406496658</v>
      </c>
      <c r="L23" s="70">
        <f>'Monthly Forecast'!AG22</f>
        <v>728067.37103548297</v>
      </c>
      <c r="M23" s="70">
        <f>'Monthly Forecast'!AH22</f>
        <v>626175.40890762198</v>
      </c>
      <c r="N23" s="70">
        <f>'Monthly Forecast'!AI22</f>
        <v>394045.48316742701</v>
      </c>
      <c r="O23" s="70">
        <f>'Monthly Forecast'!AJ22</f>
        <v>218235.3686491072</v>
      </c>
      <c r="P23" s="70">
        <f>SUM(D23:O23)</f>
        <v>4437500.9670017418</v>
      </c>
      <c r="Q23" s="70">
        <f>P23*C23</f>
        <v>5848626.2745082956</v>
      </c>
      <c r="R23" s="210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</row>
    <row r="24" spans="1:91" x14ac:dyDescent="0.2">
      <c r="A24" s="4">
        <v>13</v>
      </c>
      <c r="B24" s="1" t="s">
        <v>25</v>
      </c>
      <c r="C24" s="14">
        <f>C15</f>
        <v>0.87999999999999989</v>
      </c>
      <c r="D24" s="70">
        <f>'Monthly Forecast'!Y23</f>
        <v>14368.972320588658</v>
      </c>
      <c r="E24" s="70">
        <f>'Monthly Forecast'!Z23</f>
        <v>12465.153460619891</v>
      </c>
      <c r="F24" s="70">
        <f>'Monthly Forecast'!AA23</f>
        <v>19173.719377524681</v>
      </c>
      <c r="G24" s="70">
        <f>'Monthly Forecast'!AB23</f>
        <v>31400.671868386886</v>
      </c>
      <c r="H24" s="70">
        <f>'Monthly Forecast'!AC23</f>
        <v>65956.138073696973</v>
      </c>
      <c r="I24" s="70">
        <f>'Monthly Forecast'!AD23</f>
        <v>45346.656772636619</v>
      </c>
      <c r="J24" s="70">
        <f>'Monthly Forecast'!AE23</f>
        <v>80009.159749410697</v>
      </c>
      <c r="K24" s="70">
        <f>'Monthly Forecast'!AF23</f>
        <v>108872.81523503333</v>
      </c>
      <c r="L24" s="70">
        <f>'Monthly Forecast'!AG23</f>
        <v>103436.29036451696</v>
      </c>
      <c r="M24" s="70">
        <f>'Monthly Forecast'!AH23</f>
        <v>92613.733392377966</v>
      </c>
      <c r="N24" s="70">
        <f>'Monthly Forecast'!AI23</f>
        <v>50110.123332572941</v>
      </c>
      <c r="O24" s="70">
        <f>'Monthly Forecast'!AJ23</f>
        <v>31212.437050892811</v>
      </c>
      <c r="P24" s="70">
        <f>SUM(D24:O24)</f>
        <v>654965.87099825847</v>
      </c>
      <c r="Q24" s="70">
        <f>P24*C24</f>
        <v>576369.96647846734</v>
      </c>
      <c r="R24" s="210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</row>
    <row r="25" spans="1:91" x14ac:dyDescent="0.2">
      <c r="A25" s="4">
        <v>14</v>
      </c>
      <c r="B25" s="1" t="s">
        <v>81</v>
      </c>
      <c r="C25" s="14">
        <f>C16</f>
        <v>0.62</v>
      </c>
      <c r="D25" s="70">
        <f>'Monthly Forecast'!Y24</f>
        <v>0</v>
      </c>
      <c r="E25" s="70">
        <f>'Monthly Forecast'!Z24</f>
        <v>0</v>
      </c>
      <c r="F25" s="70">
        <f>'Monthly Forecast'!AA24</f>
        <v>0</v>
      </c>
      <c r="G25" s="70">
        <f>'Monthly Forecast'!AB24</f>
        <v>0</v>
      </c>
      <c r="H25" s="70">
        <f>'Monthly Forecast'!AC24</f>
        <v>0</v>
      </c>
      <c r="I25" s="70">
        <f>'Monthly Forecast'!AD24</f>
        <v>0</v>
      </c>
      <c r="J25" s="70">
        <f>'Monthly Forecast'!AE24</f>
        <v>0</v>
      </c>
      <c r="K25" s="70">
        <f>'Monthly Forecast'!AF24</f>
        <v>0</v>
      </c>
      <c r="L25" s="70">
        <f>'Monthly Forecast'!AG24</f>
        <v>0</v>
      </c>
      <c r="M25" s="70">
        <f>'Monthly Forecast'!AH24</f>
        <v>0</v>
      </c>
      <c r="N25" s="70">
        <f>'Monthly Forecast'!AI24</f>
        <v>0</v>
      </c>
      <c r="O25" s="70">
        <f>'Monthly Forecast'!AJ24</f>
        <v>0</v>
      </c>
      <c r="P25" s="70">
        <f>SUM(D25:O25)</f>
        <v>0</v>
      </c>
      <c r="Q25" s="70">
        <f>P25*C25</f>
        <v>0</v>
      </c>
      <c r="R25" s="210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</row>
    <row r="26" spans="1:91" x14ac:dyDescent="0.2">
      <c r="A26" s="4">
        <v>15</v>
      </c>
      <c r="B26" s="32" t="s">
        <v>79</v>
      </c>
      <c r="C26" s="32"/>
      <c r="D26" s="31">
        <f t="shared" ref="D26:P26" si="4">D23+D24+D25</f>
        <v>171474.5148</v>
      </c>
      <c r="E26" s="31">
        <f t="shared" si="4"/>
        <v>152374.34359999999</v>
      </c>
      <c r="F26" s="31">
        <f t="shared" si="4"/>
        <v>149424.47959999999</v>
      </c>
      <c r="G26" s="31">
        <f t="shared" si="4"/>
        <v>151644.63250000001</v>
      </c>
      <c r="H26" s="31">
        <f t="shared" si="4"/>
        <v>216799.74359999999</v>
      </c>
      <c r="I26" s="31">
        <f t="shared" si="4"/>
        <v>447122.73129999998</v>
      </c>
      <c r="J26" s="31">
        <f t="shared" si="4"/>
        <v>721873.35739999998</v>
      </c>
      <c r="K26" s="31">
        <f t="shared" si="4"/>
        <v>837856.81929999986</v>
      </c>
      <c r="L26" s="31">
        <f t="shared" si="4"/>
        <v>831503.66139999987</v>
      </c>
      <c r="M26" s="31">
        <f t="shared" si="4"/>
        <v>718789.14229999995</v>
      </c>
      <c r="N26" s="31">
        <f t="shared" si="4"/>
        <v>444155.60649999994</v>
      </c>
      <c r="O26" s="31">
        <f t="shared" si="4"/>
        <v>249447.80570000003</v>
      </c>
      <c r="P26" s="31">
        <f t="shared" si="4"/>
        <v>5092466.8380000005</v>
      </c>
      <c r="Q26" s="31">
        <f>SUM(Q22:Q25)</f>
        <v>16493540.880986761</v>
      </c>
      <c r="R26" s="210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</row>
    <row r="27" spans="1:91" x14ac:dyDescent="0.2">
      <c r="A27" s="4">
        <v>16</v>
      </c>
      <c r="B27" s="16" t="s">
        <v>237</v>
      </c>
      <c r="C27" s="16"/>
      <c r="D27" s="93">
        <f>'Monthly Forecast'!Y26</f>
        <v>4.576446110502566</v>
      </c>
      <c r="E27" s="93">
        <f>'Monthly Forecast'!Z26</f>
        <v>4.576446110502566</v>
      </c>
      <c r="F27" s="93">
        <f>'Monthly Forecast'!AA26</f>
        <v>4.6088710472168026</v>
      </c>
      <c r="G27" s="93">
        <f>'Monthly Forecast'!AB26</f>
        <v>4.6088710472168026</v>
      </c>
      <c r="H27" s="93">
        <f>'Monthly Forecast'!AC26</f>
        <v>4.6088710472168026</v>
      </c>
      <c r="I27" s="93">
        <f>'Monthly Forecast'!AD26</f>
        <v>4.5535112981864572</v>
      </c>
      <c r="J27" s="93">
        <f>'Monthly Forecast'!AE26</f>
        <v>4.5535112981864572</v>
      </c>
      <c r="K27" s="93">
        <f>'Monthly Forecast'!AF26</f>
        <v>4.5535112981864572</v>
      </c>
      <c r="L27" s="93">
        <f>'Monthly Forecast'!AG26</f>
        <v>4.5576361502621516</v>
      </c>
      <c r="M27" s="93">
        <f>'Monthly Forecast'!AH26</f>
        <v>4.5576361502621516</v>
      </c>
      <c r="N27" s="93">
        <f>'Monthly Forecast'!AI26</f>
        <v>4.5576361502621516</v>
      </c>
      <c r="O27" s="93">
        <f>'Monthly Forecast'!AJ26</f>
        <v>4.83392198302381</v>
      </c>
      <c r="P27" s="93"/>
      <c r="Q27" s="93"/>
      <c r="R27" s="210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</row>
    <row r="28" spans="1:91" x14ac:dyDescent="0.2">
      <c r="A28" s="4">
        <v>17</v>
      </c>
      <c r="B28" s="16" t="s">
        <v>229</v>
      </c>
      <c r="C28" s="16"/>
      <c r="D28" s="38">
        <f t="shared" ref="D28:O28" si="5">D27*D26</f>
        <v>784743.87630677468</v>
      </c>
      <c r="E28" s="38">
        <f t="shared" si="5"/>
        <v>697332.97210860148</v>
      </c>
      <c r="F28" s="38">
        <f t="shared" si="5"/>
        <v>688678.15777387773</v>
      </c>
      <c r="G28" s="38">
        <f t="shared" si="5"/>
        <v>698910.55619508226</v>
      </c>
      <c r="H28" s="38">
        <f t="shared" si="5"/>
        <v>999202.06132206623</v>
      </c>
      <c r="I28" s="38">
        <f t="shared" si="5"/>
        <v>2035978.4086505375</v>
      </c>
      <c r="J28" s="38">
        <f t="shared" si="5"/>
        <v>3287058.4887806904</v>
      </c>
      <c r="K28" s="38">
        <f t="shared" si="5"/>
        <v>3815190.4929451183</v>
      </c>
      <c r="L28" s="38">
        <f t="shared" si="5"/>
        <v>3789691.146271979</v>
      </c>
      <c r="M28" s="38">
        <f t="shared" si="5"/>
        <v>3275979.3793624057</v>
      </c>
      <c r="N28" s="38">
        <f t="shared" si="5"/>
        <v>2024299.6485260108</v>
      </c>
      <c r="O28" s="38">
        <f t="shared" si="5"/>
        <v>1205811.2315902822</v>
      </c>
      <c r="P28" s="38">
        <f>SUM(D28:O28)</f>
        <v>23302876.419833422</v>
      </c>
      <c r="Q28" s="38"/>
      <c r="R28" s="210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</row>
    <row r="29" spans="1:91" x14ac:dyDescent="0.2">
      <c r="A29" s="4">
        <v>18</v>
      </c>
      <c r="B29" s="1"/>
      <c r="C29" s="1"/>
      <c r="D29" s="4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70"/>
      <c r="Q29" s="70"/>
      <c r="R29" s="210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</row>
    <row r="30" spans="1:91" x14ac:dyDescent="0.2">
      <c r="A30" s="4">
        <v>19</v>
      </c>
      <c r="B30" s="35" t="s">
        <v>80</v>
      </c>
      <c r="C30" s="14"/>
      <c r="D30" s="101">
        <f t="shared" ref="D30:O30" si="6">D31*$C$31+D32*$C$32+D33*$C$33+D34*$C$34</f>
        <v>27523.907412745451</v>
      </c>
      <c r="E30" s="101">
        <f t="shared" si="6"/>
        <v>24214.761781254543</v>
      </c>
      <c r="F30" s="101">
        <f t="shared" si="6"/>
        <v>34182.542585763636</v>
      </c>
      <c r="G30" s="101">
        <f t="shared" si="6"/>
        <v>30882.138216709092</v>
      </c>
      <c r="H30" s="101">
        <f t="shared" si="6"/>
        <v>30594.828955072728</v>
      </c>
      <c r="I30" s="101">
        <f t="shared" si="6"/>
        <v>55963.462716072725</v>
      </c>
      <c r="J30" s="101">
        <f t="shared" si="6"/>
        <v>97810.110294654543</v>
      </c>
      <c r="K30" s="101">
        <f t="shared" si="6"/>
        <v>124377.45442001818</v>
      </c>
      <c r="L30" s="101">
        <f t="shared" si="6"/>
        <v>101461.33704998181</v>
      </c>
      <c r="M30" s="101">
        <f t="shared" si="6"/>
        <v>150514.61749752727</v>
      </c>
      <c r="N30" s="101">
        <f t="shared" si="6"/>
        <v>59102.538638109087</v>
      </c>
      <c r="O30" s="101">
        <f t="shared" si="6"/>
        <v>31760.490292181821</v>
      </c>
      <c r="P30" s="101">
        <f>SUM(D30:O30)</f>
        <v>768388.18986009096</v>
      </c>
      <c r="Q30" s="101"/>
      <c r="R30" s="210"/>
      <c r="S30" s="206">
        <f>(P30+P37)/P31</f>
        <v>1495.5208310978442</v>
      </c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</row>
    <row r="31" spans="1:91" x14ac:dyDescent="0.2">
      <c r="A31" s="4">
        <v>20</v>
      </c>
      <c r="B31" s="1" t="s">
        <v>23</v>
      </c>
      <c r="C31" s="11">
        <f>C22</f>
        <v>48.44</v>
      </c>
      <c r="D31" s="70">
        <f>'Monthly Forecast'!Y30</f>
        <v>205</v>
      </c>
      <c r="E31" s="70">
        <f>'Monthly Forecast'!Z30</f>
        <v>193</v>
      </c>
      <c r="F31" s="70">
        <f>'Monthly Forecast'!AA30</f>
        <v>211</v>
      </c>
      <c r="G31" s="70">
        <f>'Monthly Forecast'!AB30</f>
        <v>188</v>
      </c>
      <c r="H31" s="70">
        <f>'Monthly Forecast'!AC30</f>
        <v>194</v>
      </c>
      <c r="I31" s="70">
        <f>'Monthly Forecast'!AD30</f>
        <v>181</v>
      </c>
      <c r="J31" s="70">
        <f>'Monthly Forecast'!AE30</f>
        <v>200</v>
      </c>
      <c r="K31" s="70">
        <f>'Monthly Forecast'!AF30</f>
        <v>201</v>
      </c>
      <c r="L31" s="70">
        <f>'Monthly Forecast'!AG30</f>
        <v>169</v>
      </c>
      <c r="M31" s="70">
        <f>'Monthly Forecast'!AH30</f>
        <v>234</v>
      </c>
      <c r="N31" s="70">
        <f>'Monthly Forecast'!AI30</f>
        <v>197</v>
      </c>
      <c r="O31" s="70">
        <f>'Monthly Forecast'!AJ30</f>
        <v>193</v>
      </c>
      <c r="P31" s="70">
        <f>ROUND((SUM(D31:O31)),0)</f>
        <v>2366</v>
      </c>
      <c r="Q31" s="70">
        <f>P31*C31</f>
        <v>114609.04</v>
      </c>
      <c r="R31" s="210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</row>
    <row r="32" spans="1:91" x14ac:dyDescent="0.2">
      <c r="A32" s="4">
        <v>21</v>
      </c>
      <c r="B32" s="1" t="s">
        <v>24</v>
      </c>
      <c r="C32" s="14">
        <f>C23</f>
        <v>1.3180000000000001</v>
      </c>
      <c r="D32" s="70">
        <f>'Monthly Forecast'!Y31</f>
        <v>9589.5276272727278</v>
      </c>
      <c r="E32" s="70">
        <f>'Monthly Forecast'!Z31</f>
        <v>8581.6553727272712</v>
      </c>
      <c r="F32" s="70">
        <f>'Monthly Forecast'!AA31</f>
        <v>11302.885118181819</v>
      </c>
      <c r="G32" s="70">
        <f>'Monthly Forecast'!AB31</f>
        <v>10101.737645454547</v>
      </c>
      <c r="H32" s="70">
        <f>'Monthly Forecast'!AC31</f>
        <v>11349.108463636363</v>
      </c>
      <c r="I32" s="70">
        <f>'Monthly Forecast'!AD31</f>
        <v>22690.29796363636</v>
      </c>
      <c r="J32" s="70">
        <f>'Monthly Forecast'!AE31</f>
        <v>36089.256672727272</v>
      </c>
      <c r="K32" s="70">
        <f>'Monthly Forecast'!AF31</f>
        <v>42579.623990909102</v>
      </c>
      <c r="L32" s="70">
        <f>'Monthly Forecast'!AG31</f>
        <v>34343.541009090899</v>
      </c>
      <c r="M32" s="70">
        <f>'Monthly Forecast'!AH31</f>
        <v>51216.227236363644</v>
      </c>
      <c r="N32" s="70">
        <f>'Monthly Forecast'!AI31</f>
        <v>24163.344945454544</v>
      </c>
      <c r="O32" s="70">
        <f>'Monthly Forecast'!AJ31</f>
        <v>13009.233909090908</v>
      </c>
      <c r="P32" s="70">
        <f>SUM(D32:O32)</f>
        <v>275016.43995454541</v>
      </c>
      <c r="Q32" s="70">
        <f>P32*C32</f>
        <v>362471.66786009085</v>
      </c>
      <c r="R32" s="210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</row>
    <row r="33" spans="1:91" x14ac:dyDescent="0.2">
      <c r="A33" s="4">
        <v>22</v>
      </c>
      <c r="B33" s="1" t="s">
        <v>25</v>
      </c>
      <c r="C33" s="14">
        <f>C24</f>
        <v>0.87999999999999989</v>
      </c>
      <c r="D33" s="70">
        <f>'Monthly Forecast'!Y32</f>
        <v>5630.352272727273</v>
      </c>
      <c r="E33" s="70">
        <f>'Monthly Forecast'!Z32</f>
        <v>4040.022727272727</v>
      </c>
      <c r="F33" s="70">
        <f>'Monthly Forecast'!AA32</f>
        <v>10300.568181818182</v>
      </c>
      <c r="G33" s="70">
        <f>'Monthly Forecast'!AB32</f>
        <v>9615.1454545454544</v>
      </c>
      <c r="H33" s="70">
        <f>'Monthly Forecast'!AC32</f>
        <v>7090.1636363636371</v>
      </c>
      <c r="I33" s="70">
        <f>'Monthly Forecast'!AD32</f>
        <v>19647.738636363636</v>
      </c>
      <c r="J33" s="70">
        <f>'Monthly Forecast'!AE32</f>
        <v>46086.897727272728</v>
      </c>
      <c r="K33" s="70">
        <f>'Monthly Forecast'!AF32</f>
        <v>66501.215909090912</v>
      </c>
      <c r="L33" s="70">
        <f>'Monthly Forecast'!AG32</f>
        <v>54557.034090909096</v>
      </c>
      <c r="M33" s="70">
        <f>'Monthly Forecast'!AH32</f>
        <v>81450.761363636368</v>
      </c>
      <c r="N33" s="70">
        <f>'Monthly Forecast'!AI32</f>
        <v>20127.920454545456</v>
      </c>
      <c r="O33" s="70">
        <f>'Monthly Forecast'!AJ32</f>
        <v>5983.409090909091</v>
      </c>
      <c r="P33" s="70">
        <f>SUM(D33:O33)</f>
        <v>331031.22954545461</v>
      </c>
      <c r="Q33" s="70">
        <f>P33*C33</f>
        <v>291307.48200000002</v>
      </c>
      <c r="R33" s="210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</row>
    <row r="34" spans="1:91" x14ac:dyDescent="0.2">
      <c r="A34" s="4">
        <v>23</v>
      </c>
      <c r="B34" s="1" t="s">
        <v>81</v>
      </c>
      <c r="C34" s="14">
        <f>C25</f>
        <v>0.62</v>
      </c>
      <c r="D34" s="70">
        <f>'Monthly Forecast'!Y33</f>
        <v>0</v>
      </c>
      <c r="E34" s="70">
        <f>'Monthly Forecast'!Z33</f>
        <v>0</v>
      </c>
      <c r="F34" s="70">
        <f>'Monthly Forecast'!AA33</f>
        <v>0</v>
      </c>
      <c r="G34" s="70">
        <f>'Monthly Forecast'!AB33</f>
        <v>0</v>
      </c>
      <c r="H34" s="70">
        <f>'Monthly Forecast'!AC33</f>
        <v>0</v>
      </c>
      <c r="I34" s="70">
        <f>'Monthly Forecast'!AD33</f>
        <v>0</v>
      </c>
      <c r="J34" s="70">
        <f>'Monthly Forecast'!AE33</f>
        <v>0</v>
      </c>
      <c r="K34" s="70">
        <f>'Monthly Forecast'!AF33</f>
        <v>0</v>
      </c>
      <c r="L34" s="70">
        <f>'Monthly Forecast'!AG33</f>
        <v>0</v>
      </c>
      <c r="M34" s="70">
        <f>'Monthly Forecast'!AH33</f>
        <v>0</v>
      </c>
      <c r="N34" s="70">
        <f>'Monthly Forecast'!AI33</f>
        <v>0</v>
      </c>
      <c r="O34" s="70">
        <f>'Monthly Forecast'!AJ33</f>
        <v>0</v>
      </c>
      <c r="P34" s="70">
        <f>SUM(D34:O34)</f>
        <v>0</v>
      </c>
      <c r="Q34" s="70">
        <f>P34*C34</f>
        <v>0</v>
      </c>
      <c r="R34" s="210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</row>
    <row r="35" spans="1:91" x14ac:dyDescent="0.2">
      <c r="A35" s="4">
        <v>24</v>
      </c>
      <c r="B35" s="32" t="s">
        <v>79</v>
      </c>
      <c r="C35" s="32"/>
      <c r="D35" s="31">
        <f t="shared" ref="D35:P35" si="7">D32+D33+D34</f>
        <v>15219.8799</v>
      </c>
      <c r="E35" s="31">
        <f t="shared" si="7"/>
        <v>12621.678099999997</v>
      </c>
      <c r="F35" s="31">
        <f t="shared" si="7"/>
        <v>21603.453300000001</v>
      </c>
      <c r="G35" s="31">
        <f t="shared" si="7"/>
        <v>19716.883099999999</v>
      </c>
      <c r="H35" s="31">
        <f t="shared" si="7"/>
        <v>18439.272100000002</v>
      </c>
      <c r="I35" s="31">
        <f t="shared" si="7"/>
        <v>42338.036599999992</v>
      </c>
      <c r="J35" s="31">
        <f t="shared" si="7"/>
        <v>82176.154399999999</v>
      </c>
      <c r="K35" s="31">
        <f t="shared" si="7"/>
        <v>109080.83990000002</v>
      </c>
      <c r="L35" s="31">
        <f t="shared" si="7"/>
        <v>88900.575099999987</v>
      </c>
      <c r="M35" s="31">
        <f t="shared" si="7"/>
        <v>132666.98860000001</v>
      </c>
      <c r="N35" s="31">
        <f t="shared" si="7"/>
        <v>44291.265400000004</v>
      </c>
      <c r="O35" s="31">
        <f t="shared" si="7"/>
        <v>18992.643</v>
      </c>
      <c r="P35" s="31">
        <f t="shared" si="7"/>
        <v>606047.66950000008</v>
      </c>
      <c r="Q35" s="31">
        <f>SUM(Q31:Q34)</f>
        <v>768388.18986009085</v>
      </c>
      <c r="R35" s="210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</row>
    <row r="36" spans="1:91" x14ac:dyDescent="0.2">
      <c r="A36" s="4">
        <v>25</v>
      </c>
      <c r="B36" s="16" t="s">
        <v>237</v>
      </c>
      <c r="C36" s="1"/>
      <c r="D36" s="93">
        <f>'Monthly Forecast'!Y35</f>
        <v>4.576446110502566</v>
      </c>
      <c r="E36" s="93">
        <f>'Monthly Forecast'!Z35</f>
        <v>4.576446110502566</v>
      </c>
      <c r="F36" s="93">
        <f>'Monthly Forecast'!AA35</f>
        <v>4.6088710472168026</v>
      </c>
      <c r="G36" s="93">
        <f>'Monthly Forecast'!AB35</f>
        <v>4.6088710472168026</v>
      </c>
      <c r="H36" s="93">
        <f>'Monthly Forecast'!AC35</f>
        <v>4.6088710472168026</v>
      </c>
      <c r="I36" s="93">
        <f>'Monthly Forecast'!AD35</f>
        <v>4.5535112981864572</v>
      </c>
      <c r="J36" s="93">
        <f>'Monthly Forecast'!AE35</f>
        <v>4.5535112981864572</v>
      </c>
      <c r="K36" s="93">
        <f>'Monthly Forecast'!AF35</f>
        <v>4.5535112981864572</v>
      </c>
      <c r="L36" s="93">
        <f>'Monthly Forecast'!AG35</f>
        <v>4.5576361502621516</v>
      </c>
      <c r="M36" s="93">
        <f>'Monthly Forecast'!AH35</f>
        <v>4.5576361502621516</v>
      </c>
      <c r="N36" s="93">
        <f>'Monthly Forecast'!AI35</f>
        <v>4.5576361502621516</v>
      </c>
      <c r="O36" s="93">
        <f>'Monthly Forecast'!AJ35</f>
        <v>4.83392198302381</v>
      </c>
      <c r="P36" s="93"/>
      <c r="Q36" s="93"/>
      <c r="R36" s="210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</row>
    <row r="37" spans="1:91" x14ac:dyDescent="0.2">
      <c r="A37" s="4">
        <v>26</v>
      </c>
      <c r="B37" s="16" t="s">
        <v>229</v>
      </c>
      <c r="C37" s="1"/>
      <c r="D37" s="38">
        <f t="shared" ref="D37:O37" si="8">D36*D35</f>
        <v>69652.960170671184</v>
      </c>
      <c r="E37" s="38">
        <f t="shared" si="8"/>
        <v>57762.429648760408</v>
      </c>
      <c r="F37" s="38">
        <f t="shared" si="8"/>
        <v>99567.530434270302</v>
      </c>
      <c r="G37" s="38">
        <f t="shared" si="8"/>
        <v>90872.571660948277</v>
      </c>
      <c r="H37" s="38">
        <f t="shared" si="8"/>
        <v>84984.227313442578</v>
      </c>
      <c r="I37" s="38">
        <f t="shared" si="8"/>
        <v>192786.72800113171</v>
      </c>
      <c r="J37" s="38">
        <f t="shared" si="8"/>
        <v>374190.04750191473</v>
      </c>
      <c r="K37" s="38">
        <f t="shared" si="8"/>
        <v>496700.83690031822</v>
      </c>
      <c r="L37" s="38">
        <f t="shared" si="8"/>
        <v>405176.47485485522</v>
      </c>
      <c r="M37" s="38">
        <f t="shared" si="8"/>
        <v>604647.86318977678</v>
      </c>
      <c r="N37" s="38">
        <f t="shared" si="8"/>
        <v>201863.47232789526</v>
      </c>
      <c r="O37" s="38">
        <f t="shared" si="8"/>
        <v>91808.95451342329</v>
      </c>
      <c r="P37" s="38">
        <f>SUM(D37:O37)</f>
        <v>2770014.0965174083</v>
      </c>
      <c r="Q37" s="38"/>
      <c r="R37" s="210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</row>
    <row r="38" spans="1:91" x14ac:dyDescent="0.2">
      <c r="A38" s="4">
        <v>27</v>
      </c>
      <c r="B38" s="1"/>
      <c r="C38" s="1"/>
      <c r="D38" s="4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R38" s="210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</row>
    <row r="39" spans="1:91" x14ac:dyDescent="0.2">
      <c r="A39" s="4">
        <v>28</v>
      </c>
      <c r="B39" s="35" t="s">
        <v>82</v>
      </c>
      <c r="C39" s="14"/>
      <c r="D39" s="101">
        <f>D40*$C$40+D41*$C$41+D42*$C$42+D43*$C$43</f>
        <v>115757.39806292095</v>
      </c>
      <c r="E39" s="101">
        <f t="shared" ref="E39:O39" si="9">E40*$C$40+E41*$C$41+E42*$C$42+E43*$C$43</f>
        <v>110482.02831845015</v>
      </c>
      <c r="F39" s="101">
        <f t="shared" si="9"/>
        <v>105931.18981022482</v>
      </c>
      <c r="G39" s="101">
        <f t="shared" si="9"/>
        <v>109665.73366538968</v>
      </c>
      <c r="H39" s="101">
        <f t="shared" si="9"/>
        <v>130430.96743695627</v>
      </c>
      <c r="I39" s="101">
        <f t="shared" si="9"/>
        <v>195369.2141675138</v>
      </c>
      <c r="J39" s="101">
        <f t="shared" si="9"/>
        <v>270667.07410051412</v>
      </c>
      <c r="K39" s="101">
        <f t="shared" si="9"/>
        <v>298265.81086946809</v>
      </c>
      <c r="L39" s="101">
        <f t="shared" si="9"/>
        <v>279389.10525719856</v>
      </c>
      <c r="M39" s="101">
        <f t="shared" si="9"/>
        <v>283063.40443832707</v>
      </c>
      <c r="N39" s="101">
        <f t="shared" si="9"/>
        <v>192460.4644310021</v>
      </c>
      <c r="O39" s="101">
        <f t="shared" si="9"/>
        <v>136249.41069830031</v>
      </c>
      <c r="P39" s="101">
        <f>SUM(D39:O39)</f>
        <v>2227731.801256266</v>
      </c>
      <c r="Q39" s="101"/>
      <c r="R39" s="210"/>
      <c r="S39" s="206">
        <f>(P39+P46)/P40</f>
        <v>385.56384640793908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</row>
    <row r="40" spans="1:91" x14ac:dyDescent="0.2">
      <c r="A40" s="4">
        <v>29</v>
      </c>
      <c r="B40" s="1" t="s">
        <v>23</v>
      </c>
      <c r="C40" s="11">
        <f>C31</f>
        <v>48.44</v>
      </c>
      <c r="D40" s="70">
        <f>'Monthly Forecast'!Y39</f>
        <v>1563</v>
      </c>
      <c r="E40" s="70">
        <f>'Monthly Forecast'!Z39</f>
        <v>1563</v>
      </c>
      <c r="F40" s="70">
        <f>'Monthly Forecast'!AA39</f>
        <v>1507</v>
      </c>
      <c r="G40" s="70">
        <f>'Monthly Forecast'!AB39</f>
        <v>1544</v>
      </c>
      <c r="H40" s="70">
        <f>'Monthly Forecast'!AC39</f>
        <v>1572</v>
      </c>
      <c r="I40" s="70">
        <f>'Monthly Forecast'!AD39</f>
        <v>1520</v>
      </c>
      <c r="J40" s="70">
        <f>'Monthly Forecast'!AE39</f>
        <v>1559</v>
      </c>
      <c r="K40" s="70">
        <f>'Monthly Forecast'!AF39</f>
        <v>1567</v>
      </c>
      <c r="L40" s="70">
        <f>'Monthly Forecast'!AG39</f>
        <v>1378</v>
      </c>
      <c r="M40" s="70">
        <f>'Monthly Forecast'!AH39</f>
        <v>1769</v>
      </c>
      <c r="N40" s="70">
        <f>'Monthly Forecast'!AI39</f>
        <v>1555</v>
      </c>
      <c r="O40" s="70">
        <f>'Monthly Forecast'!AJ39</f>
        <v>1550</v>
      </c>
      <c r="P40" s="70">
        <f>ROUND((SUM(D40:O40)),0)</f>
        <v>18647</v>
      </c>
      <c r="Q40" s="70">
        <f>P40*C40</f>
        <v>903260.67999999993</v>
      </c>
      <c r="R40" s="210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</row>
    <row r="41" spans="1:91" x14ac:dyDescent="0.2">
      <c r="A41" s="4">
        <v>30</v>
      </c>
      <c r="B41" s="1" t="s">
        <v>24</v>
      </c>
      <c r="C41" s="14">
        <f>C32</f>
        <v>1.3180000000000001</v>
      </c>
      <c r="D41" s="70">
        <f>'Monthly Forecast'!Y40</f>
        <v>26754.768472422253</v>
      </c>
      <c r="E41" s="70">
        <f>'Monthly Forecast'!Z40</f>
        <v>23258.624617466066</v>
      </c>
      <c r="F41" s="70">
        <f>'Monthly Forecast'!AA40</f>
        <v>21072.44857128954</v>
      </c>
      <c r="G41" s="70">
        <f>'Monthly Forecast'!AB40</f>
        <v>23077.926012305208</v>
      </c>
      <c r="H41" s="70">
        <f>'Monthly Forecast'!AC40</f>
        <v>34965.721308119355</v>
      </c>
      <c r="I41" s="70">
        <f>'Monthly Forecast'!AD40</f>
        <v>82771.732017154733</v>
      </c>
      <c r="J41" s="70">
        <f>'Monthly Forecast'!AE40</f>
        <v>127113.07717925601</v>
      </c>
      <c r="K41" s="70">
        <f>'Monthly Forecast'!AF40</f>
        <v>135814.18695312337</v>
      </c>
      <c r="L41" s="70">
        <f>'Monthly Forecast'!AG40</f>
        <v>130292.12603013362</v>
      </c>
      <c r="M41" s="70">
        <f>'Monthly Forecast'!AH40</f>
        <v>120844.82003271015</v>
      </c>
      <c r="N41" s="70">
        <f>'Monthly Forecast'!AI40</f>
        <v>79228.315102744426</v>
      </c>
      <c r="O41" s="70">
        <f>'Monthly Forecast'!AJ40</f>
        <v>39398.500991553163</v>
      </c>
      <c r="P41" s="70">
        <f>SUM(D41:O41)</f>
        <v>844592.24728827795</v>
      </c>
      <c r="Q41" s="70">
        <f>P41*C41</f>
        <v>1113172.5819259505</v>
      </c>
      <c r="R41" s="210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</row>
    <row r="42" spans="1:91" x14ac:dyDescent="0.2">
      <c r="A42" s="4">
        <v>31</v>
      </c>
      <c r="B42" s="1" t="s">
        <v>25</v>
      </c>
      <c r="C42" s="14">
        <f>C33</f>
        <v>0.87999999999999989</v>
      </c>
      <c r="D42" s="70">
        <f>'Monthly Forecast'!Y41</f>
        <v>5435.1059275777461</v>
      </c>
      <c r="E42" s="70">
        <f>'Monthly Forecast'!Z41</f>
        <v>4676.6375825339346</v>
      </c>
      <c r="F42" s="70">
        <f>'Monthly Forecast'!AA41</f>
        <v>5862.0711287104614</v>
      </c>
      <c r="G42" s="70">
        <f>'Monthly Forecast'!AB41</f>
        <v>5065.5308876947893</v>
      </c>
      <c r="H42" s="70">
        <f>'Monthly Forecast'!AC41</f>
        <v>9316.4394918806447</v>
      </c>
      <c r="I42" s="70">
        <f>'Monthly Forecast'!AD41</f>
        <v>14371.899282845256</v>
      </c>
      <c r="J42" s="70">
        <f>'Monthly Forecast'!AE41</f>
        <v>31379.634520744003</v>
      </c>
      <c r="K42" s="70">
        <f>'Monthly Forecast'!AF41</f>
        <v>49269.582346876661</v>
      </c>
      <c r="L42" s="70">
        <f>'Monthly Forecast'!AG41</f>
        <v>46492.912669866404</v>
      </c>
      <c r="M42" s="70">
        <f>'Monthly Forecast'!AH41</f>
        <v>43294.96776728984</v>
      </c>
      <c r="N42" s="70">
        <f>'Monthly Forecast'!AI41</f>
        <v>14446.983097255577</v>
      </c>
      <c r="O42" s="70">
        <f>'Monthly Forecast'!AJ41</f>
        <v>10500.211808446846</v>
      </c>
      <c r="P42" s="70">
        <f>SUM(D42:O42)</f>
        <v>240111.97651172217</v>
      </c>
      <c r="Q42" s="70">
        <f>P42*C42</f>
        <v>211298.53933031549</v>
      </c>
      <c r="R42" s="210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</row>
    <row r="43" spans="1:91" x14ac:dyDescent="0.2">
      <c r="A43" s="4">
        <v>32</v>
      </c>
      <c r="B43" s="1" t="s">
        <v>81</v>
      </c>
      <c r="C43" s="14">
        <f>C34</f>
        <v>0.62</v>
      </c>
      <c r="D43" s="70">
        <f>'Monthly Forecast'!Y42</f>
        <v>0</v>
      </c>
      <c r="E43" s="70">
        <f>'Monthly Forecast'!Z42</f>
        <v>0</v>
      </c>
      <c r="F43" s="70">
        <f>'Monthly Forecast'!AA42</f>
        <v>0</v>
      </c>
      <c r="G43" s="70">
        <f>'Monthly Forecast'!AB42</f>
        <v>0</v>
      </c>
      <c r="H43" s="70">
        <f>'Monthly Forecast'!AC42</f>
        <v>0</v>
      </c>
      <c r="I43" s="70">
        <f>'Monthly Forecast'!AD42</f>
        <v>0</v>
      </c>
      <c r="J43" s="70">
        <f>'Monthly Forecast'!AE42</f>
        <v>0</v>
      </c>
      <c r="K43" s="70">
        <f>'Monthly Forecast'!AF42</f>
        <v>0</v>
      </c>
      <c r="L43" s="70">
        <f>'Monthly Forecast'!AG42</f>
        <v>0</v>
      </c>
      <c r="M43" s="70">
        <f>'Monthly Forecast'!AH42</f>
        <v>0</v>
      </c>
      <c r="N43" s="70">
        <f>'Monthly Forecast'!AI42</f>
        <v>0</v>
      </c>
      <c r="O43" s="70">
        <f>'Monthly Forecast'!AJ42</f>
        <v>0</v>
      </c>
      <c r="P43" s="70">
        <f>SUM(D43:O43)</f>
        <v>0</v>
      </c>
      <c r="Q43" s="70">
        <f>P43*C43</f>
        <v>0</v>
      </c>
      <c r="R43" s="210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</row>
    <row r="44" spans="1:91" x14ac:dyDescent="0.2">
      <c r="A44" s="4">
        <v>33</v>
      </c>
      <c r="B44" s="32" t="s">
        <v>79</v>
      </c>
      <c r="C44" s="32"/>
      <c r="D44" s="31">
        <f t="shared" ref="D44:P44" si="10">D41+D42+D43</f>
        <v>32189.874400000001</v>
      </c>
      <c r="E44" s="31">
        <f t="shared" si="10"/>
        <v>27935.262200000001</v>
      </c>
      <c r="F44" s="31">
        <f t="shared" si="10"/>
        <v>26934.519700000001</v>
      </c>
      <c r="G44" s="31">
        <f t="shared" si="10"/>
        <v>28143.456899999997</v>
      </c>
      <c r="H44" s="31">
        <f t="shared" si="10"/>
        <v>44282.160799999998</v>
      </c>
      <c r="I44" s="31">
        <f t="shared" si="10"/>
        <v>97143.631299999994</v>
      </c>
      <c r="J44" s="31">
        <f t="shared" si="10"/>
        <v>158492.71170000001</v>
      </c>
      <c r="K44" s="31">
        <f t="shared" si="10"/>
        <v>185083.76930000004</v>
      </c>
      <c r="L44" s="31">
        <f t="shared" si="10"/>
        <v>176785.03870000003</v>
      </c>
      <c r="M44" s="31">
        <f t="shared" si="10"/>
        <v>164139.78779999999</v>
      </c>
      <c r="N44" s="31">
        <f t="shared" si="10"/>
        <v>93675.298200000005</v>
      </c>
      <c r="O44" s="31">
        <f t="shared" si="10"/>
        <v>49898.712800000008</v>
      </c>
      <c r="P44" s="31">
        <f t="shared" si="10"/>
        <v>1084704.2238</v>
      </c>
      <c r="Q44" s="31">
        <f>SUM(Q40:Q43)</f>
        <v>2227731.801256266</v>
      </c>
      <c r="R44" s="210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</row>
    <row r="45" spans="1:91" x14ac:dyDescent="0.2">
      <c r="A45" s="4">
        <v>34</v>
      </c>
      <c r="B45" s="16" t="s">
        <v>237</v>
      </c>
      <c r="C45" s="1"/>
      <c r="D45" s="93">
        <f>'Monthly Forecast'!Y44</f>
        <v>4.576446110502566</v>
      </c>
      <c r="E45" s="93">
        <f>'Monthly Forecast'!Z44</f>
        <v>4.576446110502566</v>
      </c>
      <c r="F45" s="93">
        <f>'Monthly Forecast'!AA44</f>
        <v>4.6088710472168026</v>
      </c>
      <c r="G45" s="93">
        <f>'Monthly Forecast'!AB44</f>
        <v>4.6088710472168026</v>
      </c>
      <c r="H45" s="93">
        <f>'Monthly Forecast'!AC44</f>
        <v>4.6088710472168026</v>
      </c>
      <c r="I45" s="93">
        <f>'Monthly Forecast'!AD44</f>
        <v>4.5535112981864572</v>
      </c>
      <c r="J45" s="93">
        <f>'Monthly Forecast'!AE44</f>
        <v>4.5535112981864572</v>
      </c>
      <c r="K45" s="93">
        <f>'Monthly Forecast'!AF44</f>
        <v>4.5535112981864572</v>
      </c>
      <c r="L45" s="93">
        <f>'Monthly Forecast'!AG44</f>
        <v>4.5576361502621516</v>
      </c>
      <c r="M45" s="93">
        <f>'Monthly Forecast'!AH44</f>
        <v>4.5576361502621516</v>
      </c>
      <c r="N45" s="93">
        <f>'Monthly Forecast'!AI44</f>
        <v>4.5576361502621516</v>
      </c>
      <c r="O45" s="93">
        <f>'Monthly Forecast'!AJ44</f>
        <v>4.83392198302381</v>
      </c>
      <c r="P45" s="93"/>
      <c r="Q45" s="93"/>
      <c r="R45" s="210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</row>
    <row r="46" spans="1:91" x14ac:dyDescent="0.2">
      <c r="A46" s="4">
        <v>35</v>
      </c>
      <c r="B46" s="16" t="s">
        <v>229</v>
      </c>
      <c r="C46" s="1"/>
      <c r="D46" s="38">
        <f t="shared" ref="D46:O46" si="11">D45*D44</f>
        <v>147315.22549544612</v>
      </c>
      <c r="E46" s="38">
        <f t="shared" si="11"/>
        <v>127844.22204105936</v>
      </c>
      <c r="F46" s="38">
        <f t="shared" si="11"/>
        <v>124137.7280160206</v>
      </c>
      <c r="G46" s="38">
        <f t="shared" si="11"/>
        <v>129709.56367500394</v>
      </c>
      <c r="H46" s="38">
        <f t="shared" si="11"/>
        <v>204090.76881931882</v>
      </c>
      <c r="I46" s="38">
        <f t="shared" si="11"/>
        <v>442344.62267140951</v>
      </c>
      <c r="J46" s="38">
        <f t="shared" si="11"/>
        <v>721698.35340615897</v>
      </c>
      <c r="K46" s="38">
        <f t="shared" si="11"/>
        <v>842781.03461848595</v>
      </c>
      <c r="L46" s="38">
        <f t="shared" si="11"/>
        <v>805721.8832046137</v>
      </c>
      <c r="M46" s="38">
        <f t="shared" si="11"/>
        <v>748089.43057363841</v>
      </c>
      <c r="N46" s="38">
        <f t="shared" si="11"/>
        <v>426937.92546290706</v>
      </c>
      <c r="O46" s="38">
        <f t="shared" si="11"/>
        <v>241206.48472851163</v>
      </c>
      <c r="P46" s="38">
        <f>SUM(D46:O46)</f>
        <v>4961877.2427125741</v>
      </c>
      <c r="Q46" s="38"/>
      <c r="R46" s="210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</row>
    <row r="47" spans="1:91" x14ac:dyDescent="0.2">
      <c r="A47" s="4">
        <v>36</v>
      </c>
      <c r="B47" s="1"/>
      <c r="C47" s="1"/>
      <c r="D47" s="4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R47" s="210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</row>
    <row r="48" spans="1:91" x14ac:dyDescent="0.2">
      <c r="A48" s="4">
        <v>37</v>
      </c>
      <c r="B48" s="171" t="s">
        <v>83</v>
      </c>
      <c r="C48" s="1"/>
      <c r="D48" s="101">
        <f t="shared" ref="D48:O48" si="12">D49*$C$49+D50*$C$50+D51*$C$51</f>
        <v>807.88462119999997</v>
      </c>
      <c r="E48" s="101">
        <f t="shared" si="12"/>
        <v>797.68223941999997</v>
      </c>
      <c r="F48" s="101">
        <f t="shared" si="12"/>
        <v>811.77482748</v>
      </c>
      <c r="G48" s="101">
        <f t="shared" si="12"/>
        <v>814.86662231000003</v>
      </c>
      <c r="H48" s="101">
        <f t="shared" si="12"/>
        <v>847.43324785000004</v>
      </c>
      <c r="I48" s="101">
        <f t="shared" si="12"/>
        <v>977.15511790000005</v>
      </c>
      <c r="J48" s="101">
        <f t="shared" si="12"/>
        <v>3353.2973688700004</v>
      </c>
      <c r="K48" s="101">
        <f t="shared" si="12"/>
        <v>3755.45264322</v>
      </c>
      <c r="L48" s="101">
        <f t="shared" si="12"/>
        <v>3193.29199887</v>
      </c>
      <c r="M48" s="101">
        <f t="shared" si="12"/>
        <v>3705.1020078199999</v>
      </c>
      <c r="N48" s="101">
        <f t="shared" si="12"/>
        <v>2978.68488781</v>
      </c>
      <c r="O48" s="101">
        <f t="shared" si="12"/>
        <v>833.21910093999998</v>
      </c>
      <c r="P48" s="101">
        <f>SUM(D48:O48)</f>
        <v>22875.84468369</v>
      </c>
      <c r="Q48" s="101"/>
      <c r="R48" s="210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</row>
    <row r="49" spans="1:91" x14ac:dyDescent="0.2">
      <c r="A49" s="4">
        <v>38</v>
      </c>
      <c r="B49" s="1" t="s">
        <v>84</v>
      </c>
      <c r="C49" s="99">
        <f>'Rate Design'!F14</f>
        <v>395.56</v>
      </c>
      <c r="D49" s="70">
        <f>'Monthly Forecast'!Y48</f>
        <v>2</v>
      </c>
      <c r="E49" s="70">
        <f>'Monthly Forecast'!Z48</f>
        <v>2</v>
      </c>
      <c r="F49" s="70">
        <f>'Monthly Forecast'!AA48</f>
        <v>2</v>
      </c>
      <c r="G49" s="70">
        <f>'Monthly Forecast'!AB48</f>
        <v>2</v>
      </c>
      <c r="H49" s="70">
        <f>'Monthly Forecast'!AC48</f>
        <v>2</v>
      </c>
      <c r="I49" s="70">
        <f>'Monthly Forecast'!AD48</f>
        <v>2</v>
      </c>
      <c r="J49" s="70">
        <f>'Monthly Forecast'!AE48</f>
        <v>3</v>
      </c>
      <c r="K49" s="70">
        <f>'Monthly Forecast'!AF48</f>
        <v>4</v>
      </c>
      <c r="L49" s="70">
        <f>'Monthly Forecast'!AG48</f>
        <v>3</v>
      </c>
      <c r="M49" s="70">
        <f>'Monthly Forecast'!AH48</f>
        <v>3</v>
      </c>
      <c r="N49" s="70">
        <f>'Monthly Forecast'!AI48</f>
        <v>4</v>
      </c>
      <c r="O49" s="70">
        <f>'Monthly Forecast'!AJ48</f>
        <v>2</v>
      </c>
      <c r="P49" s="6">
        <f>SUM(D49:O49)</f>
        <v>31</v>
      </c>
      <c r="Q49" s="70">
        <f>P49*C49</f>
        <v>12262.36</v>
      </c>
      <c r="R49" s="210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</row>
    <row r="50" spans="1:91" x14ac:dyDescent="0.2">
      <c r="A50" s="4">
        <v>39</v>
      </c>
      <c r="B50" s="1" t="s">
        <v>85</v>
      </c>
      <c r="C50" s="14">
        <f>'Rate Design'!F27</f>
        <v>0.80770000000000008</v>
      </c>
      <c r="D50" s="70">
        <f>'Monthly Forecast'!Y49</f>
        <v>20.756</v>
      </c>
      <c r="E50" s="70">
        <f>'Monthly Forecast'!Z49</f>
        <v>8.1245999999999992</v>
      </c>
      <c r="F50" s="70">
        <f>'Monthly Forecast'!AA49</f>
        <v>25.572399999999998</v>
      </c>
      <c r="G50" s="70">
        <f>'Monthly Forecast'!AB49</f>
        <v>29.400300000000001</v>
      </c>
      <c r="H50" s="70">
        <f>'Monthly Forecast'!AC49</f>
        <v>69.720500000000001</v>
      </c>
      <c r="I50" s="70">
        <f>'Monthly Forecast'!AD49</f>
        <v>230.327</v>
      </c>
      <c r="J50" s="70">
        <f>'Monthly Forecast'!AE49</f>
        <v>2682.4531000000002</v>
      </c>
      <c r="K50" s="70">
        <f>'Monthly Forecast'!AF49</f>
        <v>2690.6185999999998</v>
      </c>
      <c r="L50" s="70">
        <f>'Monthly Forecast'!AG49</f>
        <v>2484.3530999999998</v>
      </c>
      <c r="M50" s="70">
        <f>'Monthly Forecast'!AH49</f>
        <v>3118.0165999999999</v>
      </c>
      <c r="N50" s="70">
        <f>'Monthly Forecast'!AI49</f>
        <v>1728.9152999999999</v>
      </c>
      <c r="O50" s="70">
        <f>'Monthly Forecast'!AJ49</f>
        <v>52.122199999999999</v>
      </c>
      <c r="P50" s="6">
        <f>SUM(C50:O50)</f>
        <v>13141.187400000001</v>
      </c>
      <c r="Q50" s="70">
        <f>P50*C50</f>
        <v>10614.137062980002</v>
      </c>
      <c r="R50" s="210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</row>
    <row r="51" spans="1:91" x14ac:dyDescent="0.2">
      <c r="A51" s="4">
        <v>40</v>
      </c>
      <c r="B51" s="1" t="s">
        <v>81</v>
      </c>
      <c r="C51" s="14">
        <f>'Rate Design'!F28</f>
        <v>0.54190000000000005</v>
      </c>
      <c r="D51" s="70">
        <f>'Monthly Forecast'!Y50</f>
        <v>0</v>
      </c>
      <c r="E51" s="70">
        <f>'Monthly Forecast'!Z50</f>
        <v>0</v>
      </c>
      <c r="F51" s="70">
        <f>'Monthly Forecast'!AA50</f>
        <v>0</v>
      </c>
      <c r="G51" s="70">
        <f>'Monthly Forecast'!AB50</f>
        <v>0</v>
      </c>
      <c r="H51" s="70">
        <f>'Monthly Forecast'!AC50</f>
        <v>0</v>
      </c>
      <c r="I51" s="70">
        <f>'Monthly Forecast'!AD50</f>
        <v>0</v>
      </c>
      <c r="J51" s="70">
        <f>'Monthly Forecast'!AE50</f>
        <v>0</v>
      </c>
      <c r="K51" s="70">
        <f>'Monthly Forecast'!AF50</f>
        <v>0</v>
      </c>
      <c r="L51" s="70">
        <f>'Monthly Forecast'!AG50</f>
        <v>0</v>
      </c>
      <c r="M51" s="70">
        <f>'Monthly Forecast'!AH50</f>
        <v>0</v>
      </c>
      <c r="N51" s="70">
        <f>'Monthly Forecast'!AI50</f>
        <v>0</v>
      </c>
      <c r="O51" s="70">
        <f>'Monthly Forecast'!AJ50</f>
        <v>0</v>
      </c>
      <c r="P51" s="6">
        <f>SUM(C51:O51)</f>
        <v>0.54190000000000005</v>
      </c>
      <c r="Q51" s="70">
        <f>P51*C51</f>
        <v>0.29365561000000007</v>
      </c>
      <c r="R51" s="210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</row>
    <row r="52" spans="1:91" x14ac:dyDescent="0.2">
      <c r="A52" s="4">
        <v>41</v>
      </c>
      <c r="B52" s="32" t="s">
        <v>79</v>
      </c>
      <c r="C52" s="32"/>
      <c r="D52" s="31">
        <f t="shared" ref="D52:P52" si="13">D50+D51</f>
        <v>20.756</v>
      </c>
      <c r="E52" s="31">
        <f t="shared" si="13"/>
        <v>8.1245999999999992</v>
      </c>
      <c r="F52" s="31">
        <f t="shared" si="13"/>
        <v>25.572399999999998</v>
      </c>
      <c r="G52" s="31">
        <f t="shared" si="13"/>
        <v>29.400300000000001</v>
      </c>
      <c r="H52" s="31">
        <f t="shared" si="13"/>
        <v>69.720500000000001</v>
      </c>
      <c r="I52" s="31">
        <f t="shared" si="13"/>
        <v>230.327</v>
      </c>
      <c r="J52" s="31">
        <f t="shared" si="13"/>
        <v>2682.4531000000002</v>
      </c>
      <c r="K52" s="31">
        <f t="shared" si="13"/>
        <v>2690.6185999999998</v>
      </c>
      <c r="L52" s="31">
        <f t="shared" si="13"/>
        <v>2484.3530999999998</v>
      </c>
      <c r="M52" s="31">
        <f t="shared" si="13"/>
        <v>3118.0165999999999</v>
      </c>
      <c r="N52" s="31">
        <f t="shared" si="13"/>
        <v>1728.9152999999999</v>
      </c>
      <c r="O52" s="31">
        <f t="shared" si="13"/>
        <v>52.122199999999999</v>
      </c>
      <c r="P52" s="31">
        <f t="shared" si="13"/>
        <v>13141.729300000001</v>
      </c>
      <c r="Q52" s="31">
        <f>SUM(Q49:Q51)</f>
        <v>22876.79071859</v>
      </c>
      <c r="R52" s="210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</row>
    <row r="53" spans="1:91" x14ac:dyDescent="0.2">
      <c r="A53" s="4">
        <v>42</v>
      </c>
      <c r="B53" s="16" t="s">
        <v>237</v>
      </c>
      <c r="C53" s="1"/>
      <c r="D53" s="93">
        <f>'Monthly Forecast'!Y52</f>
        <v>3.3005671029755894</v>
      </c>
      <c r="E53" s="93">
        <f>'Monthly Forecast'!Z52</f>
        <v>3.3005671029755894</v>
      </c>
      <c r="F53" s="93">
        <f>'Monthly Forecast'!AA52</f>
        <v>3.3329920396898256</v>
      </c>
      <c r="G53" s="93">
        <f>'Monthly Forecast'!AB52</f>
        <v>3.3329920396898256</v>
      </c>
      <c r="H53" s="93">
        <f>'Monthly Forecast'!AC52</f>
        <v>3.3329920396898256</v>
      </c>
      <c r="I53" s="93">
        <f>'Monthly Forecast'!AD52</f>
        <v>3.2799670382500326</v>
      </c>
      <c r="J53" s="93">
        <f>'Monthly Forecast'!AE52</f>
        <v>3.2799670382500326</v>
      </c>
      <c r="K53" s="93">
        <f>'Monthly Forecast'!AF52</f>
        <v>3.2799670382500326</v>
      </c>
      <c r="L53" s="93">
        <f>'Monthly Forecast'!AG52</f>
        <v>3.284091890325727</v>
      </c>
      <c r="M53" s="93">
        <f>'Monthly Forecast'!AH52</f>
        <v>3.284091890325727</v>
      </c>
      <c r="N53" s="93">
        <f>'Monthly Forecast'!AI52</f>
        <v>3.284091890325727</v>
      </c>
      <c r="O53" s="93">
        <f>'Monthly Forecast'!AJ52</f>
        <v>3.560377723087385</v>
      </c>
      <c r="P53" s="93"/>
      <c r="Q53" s="93"/>
      <c r="R53" s="210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</row>
    <row r="54" spans="1:91" x14ac:dyDescent="0.2">
      <c r="A54" s="4">
        <v>43</v>
      </c>
      <c r="B54" s="16" t="s">
        <v>229</v>
      </c>
      <c r="C54" s="1"/>
      <c r="D54" s="38">
        <f t="shared" ref="D54:O54" si="14">D53*D52</f>
        <v>68.506570789361334</v>
      </c>
      <c r="E54" s="38">
        <f t="shared" si="14"/>
        <v>26.815787484835472</v>
      </c>
      <c r="F54" s="38">
        <f t="shared" si="14"/>
        <v>85.232605635764088</v>
      </c>
      <c r="G54" s="38">
        <f t="shared" si="14"/>
        <v>97.990965864492779</v>
      </c>
      <c r="H54" s="38">
        <f t="shared" si="14"/>
        <v>232.37787150319448</v>
      </c>
      <c r="I54" s="38">
        <f t="shared" si="14"/>
        <v>755.46496801901526</v>
      </c>
      <c r="J54" s="38">
        <f t="shared" si="14"/>
        <v>8798.3577496516191</v>
      </c>
      <c r="K54" s="38">
        <f t="shared" si="14"/>
        <v>8825.140320502449</v>
      </c>
      <c r="L54" s="38">
        <f t="shared" si="14"/>
        <v>8158.843868415579</v>
      </c>
      <c r="M54" s="38">
        <f t="shared" si="14"/>
        <v>10239.853029960996</v>
      </c>
      <c r="N54" s="38">
        <f t="shared" si="14"/>
        <v>5677.9167157900711</v>
      </c>
      <c r="O54" s="38">
        <f t="shared" si="14"/>
        <v>185.57471975830529</v>
      </c>
      <c r="P54" s="38">
        <f>SUM(D54:O54)</f>
        <v>43152.075173375677</v>
      </c>
      <c r="Q54" s="38"/>
      <c r="R54" s="210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</row>
    <row r="55" spans="1:91" x14ac:dyDescent="0.2">
      <c r="A55" s="4">
        <v>44</v>
      </c>
      <c r="B55" s="1"/>
      <c r="C55" s="1"/>
      <c r="D55" s="4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 s="210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</row>
    <row r="56" spans="1:91" x14ac:dyDescent="0.2">
      <c r="A56" s="4">
        <v>45</v>
      </c>
      <c r="B56" s="171" t="s">
        <v>86</v>
      </c>
      <c r="C56" s="1"/>
      <c r="D56" s="101">
        <f t="shared" ref="D56:O56" si="15">D57*$C$57+D58*$C$58+D59*$C$59</f>
        <v>32309.399183400004</v>
      </c>
      <c r="E56" s="101">
        <f t="shared" si="15"/>
        <v>16504.249498060002</v>
      </c>
      <c r="F56" s="101">
        <f t="shared" si="15"/>
        <v>18194.858483560005</v>
      </c>
      <c r="G56" s="101">
        <f t="shared" si="15"/>
        <v>11777.08284121</v>
      </c>
      <c r="H56" s="101">
        <f t="shared" si="15"/>
        <v>26767.071934660002</v>
      </c>
      <c r="I56" s="101">
        <f t="shared" si="15"/>
        <v>14502.25550492</v>
      </c>
      <c r="J56" s="101">
        <f t="shared" si="15"/>
        <v>22614.489436280004</v>
      </c>
      <c r="K56" s="101">
        <f t="shared" si="15"/>
        <v>28790.281775920001</v>
      </c>
      <c r="L56" s="101">
        <f t="shared" si="15"/>
        <v>19667.473187280004</v>
      </c>
      <c r="M56" s="101">
        <f t="shared" si="15"/>
        <v>40112.964297850012</v>
      </c>
      <c r="N56" s="101">
        <f t="shared" si="15"/>
        <v>23005.69162387</v>
      </c>
      <c r="O56" s="101">
        <f t="shared" si="15"/>
        <v>36345.866687900001</v>
      </c>
      <c r="P56" s="101">
        <f>SUM(D56:O56)</f>
        <v>290591.68445491005</v>
      </c>
      <c r="Q56" s="101"/>
      <c r="R56" s="210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</row>
    <row r="57" spans="1:91" x14ac:dyDescent="0.2">
      <c r="A57" s="4">
        <v>46</v>
      </c>
      <c r="B57" s="1" t="s">
        <v>84</v>
      </c>
      <c r="C57" s="99">
        <f>C49</f>
        <v>395.56</v>
      </c>
      <c r="D57" s="70">
        <f>'Monthly Forecast'!Y56</f>
        <v>8</v>
      </c>
      <c r="E57" s="70">
        <f>'Monthly Forecast'!Z56</f>
        <v>8</v>
      </c>
      <c r="F57" s="70">
        <f>'Monthly Forecast'!AA56</f>
        <v>8</v>
      </c>
      <c r="G57" s="70">
        <f>'Monthly Forecast'!AB56</f>
        <v>7</v>
      </c>
      <c r="H57" s="70">
        <f>'Monthly Forecast'!AC56</f>
        <v>10</v>
      </c>
      <c r="I57" s="70">
        <f>'Monthly Forecast'!AD56</f>
        <v>10</v>
      </c>
      <c r="J57" s="70">
        <f>'Monthly Forecast'!AE56</f>
        <v>8</v>
      </c>
      <c r="K57" s="70">
        <f>'Monthly Forecast'!AF56</f>
        <v>11</v>
      </c>
      <c r="L57" s="70">
        <f>'Monthly Forecast'!AG56</f>
        <v>9</v>
      </c>
      <c r="M57" s="70">
        <f>'Monthly Forecast'!AH56</f>
        <v>9</v>
      </c>
      <c r="N57" s="70">
        <f>'Monthly Forecast'!AI56</f>
        <v>10</v>
      </c>
      <c r="O57" s="70">
        <f>'Monthly Forecast'!AJ56</f>
        <v>8</v>
      </c>
      <c r="P57" s="70">
        <f>ROUND((SUM(D57:O57)),0)</f>
        <v>106</v>
      </c>
      <c r="Q57" s="70">
        <f>P57*C57</f>
        <v>41929.360000000001</v>
      </c>
      <c r="R57" s="210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</row>
    <row r="58" spans="1:91" x14ac:dyDescent="0.2">
      <c r="A58" s="4">
        <v>47</v>
      </c>
      <c r="B58" s="1" t="s">
        <v>85</v>
      </c>
      <c r="C58" s="14">
        <f>C50</f>
        <v>0.80770000000000008</v>
      </c>
      <c r="D58" s="70">
        <f>'Monthly Forecast'!Y57</f>
        <v>36083.842000000004</v>
      </c>
      <c r="E58" s="70">
        <f>'Monthly Forecast'!Z57</f>
        <v>16515.747800000001</v>
      </c>
      <c r="F58" s="70">
        <f>'Monthly Forecast'!AA57</f>
        <v>18608.862800000003</v>
      </c>
      <c r="G58" s="70">
        <f>'Monthly Forecast'!AB57</f>
        <v>11152.8573</v>
      </c>
      <c r="H58" s="70">
        <f>'Monthly Forecast'!AC57</f>
        <v>28242.505799999999</v>
      </c>
      <c r="I58" s="70">
        <f>'Monthly Forecast'!AD57</f>
        <v>13057.639599999999</v>
      </c>
      <c r="J58" s="70">
        <f>'Monthly Forecast'!AE57</f>
        <v>22604.716400000001</v>
      </c>
      <c r="K58" s="70">
        <f>'Monthly Forecast'!AF57</f>
        <v>27710.869599999998</v>
      </c>
      <c r="L58" s="70">
        <f>'Monthly Forecast'!AG57</f>
        <v>19942.346400000002</v>
      </c>
      <c r="M58" s="70">
        <f>'Monthly Forecast'!AH57</f>
        <v>34783.22050000001</v>
      </c>
      <c r="N58" s="70">
        <f>'Monthly Forecast'!AI57</f>
        <v>23585.6031</v>
      </c>
      <c r="O58" s="70">
        <f>'Monthly Forecast'!AJ57</f>
        <v>39729.426999999996</v>
      </c>
      <c r="P58" s="6">
        <f>SUM(C58:O58)</f>
        <v>292018.446</v>
      </c>
      <c r="Q58" s="70">
        <f>P58*C58</f>
        <v>235863.29883420002</v>
      </c>
      <c r="R58" s="210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</row>
    <row r="59" spans="1:91" x14ac:dyDescent="0.2">
      <c r="A59" s="4">
        <v>48</v>
      </c>
      <c r="B59" s="1" t="s">
        <v>81</v>
      </c>
      <c r="C59" s="14">
        <f>C51</f>
        <v>0.54190000000000005</v>
      </c>
      <c r="D59" s="70">
        <f>'Monthly Forecast'!Y58</f>
        <v>0</v>
      </c>
      <c r="E59" s="70">
        <f>'Monthly Forecast'!Z58</f>
        <v>0</v>
      </c>
      <c r="F59" s="70">
        <f>'Monthly Forecast'!AA58</f>
        <v>0</v>
      </c>
      <c r="G59" s="70">
        <f>'Monthly Forecast'!AB58</f>
        <v>0</v>
      </c>
      <c r="H59" s="70">
        <f>'Monthly Forecast'!AC58</f>
        <v>0</v>
      </c>
      <c r="I59" s="70">
        <f>'Monthly Forecast'!AD58</f>
        <v>0</v>
      </c>
      <c r="J59" s="70">
        <f>'Monthly Forecast'!AE58</f>
        <v>2200</v>
      </c>
      <c r="K59" s="70">
        <f>'Monthly Forecast'!AF58</f>
        <v>3796</v>
      </c>
      <c r="L59" s="70">
        <f>'Monthly Forecast'!AG58</f>
        <v>0</v>
      </c>
      <c r="M59" s="70">
        <f>'Monthly Forecast'!AH58</f>
        <v>15609</v>
      </c>
      <c r="N59" s="70">
        <f>'Monthly Forecast'!AI58</f>
        <v>0</v>
      </c>
      <c r="O59" s="70">
        <f>'Monthly Forecast'!AJ58</f>
        <v>2015</v>
      </c>
      <c r="P59" s="6">
        <f>SUM(C59:O59)</f>
        <v>23620.5419</v>
      </c>
      <c r="Q59" s="70">
        <f>P59*C59</f>
        <v>12799.971655610001</v>
      </c>
      <c r="R59" s="210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</row>
    <row r="60" spans="1:91" x14ac:dyDescent="0.2">
      <c r="A60" s="4">
        <v>49</v>
      </c>
      <c r="B60" s="32" t="s">
        <v>79</v>
      </c>
      <c r="C60" s="32"/>
      <c r="D60" s="31">
        <f t="shared" ref="D60:P60" si="16">D58+D59</f>
        <v>36083.842000000004</v>
      </c>
      <c r="E60" s="31">
        <f t="shared" si="16"/>
        <v>16515.747800000001</v>
      </c>
      <c r="F60" s="31">
        <f t="shared" si="16"/>
        <v>18608.862800000003</v>
      </c>
      <c r="G60" s="31">
        <f t="shared" si="16"/>
        <v>11152.8573</v>
      </c>
      <c r="H60" s="31">
        <f t="shared" si="16"/>
        <v>28242.505799999999</v>
      </c>
      <c r="I60" s="31">
        <f t="shared" si="16"/>
        <v>13057.639599999999</v>
      </c>
      <c r="J60" s="31">
        <f t="shared" si="16"/>
        <v>24804.716400000001</v>
      </c>
      <c r="K60" s="31">
        <f t="shared" si="16"/>
        <v>31506.869599999998</v>
      </c>
      <c r="L60" s="31">
        <f t="shared" si="16"/>
        <v>19942.346400000002</v>
      </c>
      <c r="M60" s="31">
        <f t="shared" si="16"/>
        <v>50392.22050000001</v>
      </c>
      <c r="N60" s="31">
        <f t="shared" si="16"/>
        <v>23585.6031</v>
      </c>
      <c r="O60" s="31">
        <f t="shared" si="16"/>
        <v>41744.426999999996</v>
      </c>
      <c r="P60" s="31">
        <f t="shared" si="16"/>
        <v>315638.98790000001</v>
      </c>
      <c r="Q60" s="31">
        <f>SUM(Q57:Q59)</f>
        <v>290592.63048981002</v>
      </c>
      <c r="R60" s="210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</row>
    <row r="61" spans="1:91" x14ac:dyDescent="0.2">
      <c r="A61" s="4">
        <v>50</v>
      </c>
      <c r="B61" s="16" t="s">
        <v>237</v>
      </c>
      <c r="C61" s="1"/>
      <c r="D61" s="93">
        <f>'Monthly Forecast'!Y60</f>
        <v>3.3005671029755894</v>
      </c>
      <c r="E61" s="93">
        <f>'Monthly Forecast'!Z60</f>
        <v>3.3005671029755894</v>
      </c>
      <c r="F61" s="93">
        <f>'Monthly Forecast'!AA60</f>
        <v>3.3329920396898256</v>
      </c>
      <c r="G61" s="93">
        <f>'Monthly Forecast'!AB60</f>
        <v>3.3329920396898256</v>
      </c>
      <c r="H61" s="93">
        <f>'Monthly Forecast'!AC60</f>
        <v>3.3329920396898256</v>
      </c>
      <c r="I61" s="93">
        <f>'Monthly Forecast'!AD60</f>
        <v>3.2799670382500326</v>
      </c>
      <c r="J61" s="93">
        <f>'Monthly Forecast'!AE60</f>
        <v>3.2799670382500326</v>
      </c>
      <c r="K61" s="93">
        <f>'Monthly Forecast'!AF60</f>
        <v>3.2799670382500326</v>
      </c>
      <c r="L61" s="93">
        <f>'Monthly Forecast'!AG60</f>
        <v>3.284091890325727</v>
      </c>
      <c r="M61" s="93">
        <f>'Monthly Forecast'!AH60</f>
        <v>3.284091890325727</v>
      </c>
      <c r="N61" s="93">
        <f>'Monthly Forecast'!AI60</f>
        <v>3.284091890325727</v>
      </c>
      <c r="O61" s="93">
        <f>'Monthly Forecast'!AJ60</f>
        <v>3.560377723087385</v>
      </c>
      <c r="P61" s="93"/>
      <c r="Q61" s="93"/>
      <c r="R61" s="210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</row>
    <row r="62" spans="1:91" x14ac:dyDescent="0.2">
      <c r="A62" s="4">
        <v>51</v>
      </c>
      <c r="B62" s="16" t="s">
        <v>229</v>
      </c>
      <c r="C62" s="1"/>
      <c r="D62" s="38">
        <f t="shared" ref="D62:O62" si="17">D61*D60</f>
        <v>119097.14185416891</v>
      </c>
      <c r="E62" s="38">
        <f t="shared" si="17"/>
        <v>54511.333869721471</v>
      </c>
      <c r="F62" s="38">
        <f t="shared" si="17"/>
        <v>62023.191580080129</v>
      </c>
      <c r="G62" s="38">
        <f t="shared" si="17"/>
        <v>37172.384600696561</v>
      </c>
      <c r="H62" s="38">
        <f t="shared" si="17"/>
        <v>94132.047012293726</v>
      </c>
      <c r="I62" s="38">
        <f t="shared" si="17"/>
        <v>42828.627485348334</v>
      </c>
      <c r="J62" s="38">
        <f t="shared" si="17"/>
        <v>81358.652185140018</v>
      </c>
      <c r="K62" s="38">
        <f t="shared" si="17"/>
        <v>103341.49376644198</v>
      </c>
      <c r="L62" s="38">
        <f t="shared" si="17"/>
        <v>65492.498086306463</v>
      </c>
      <c r="M62" s="38">
        <f t="shared" si="17"/>
        <v>165492.68267955587</v>
      </c>
      <c r="N62" s="38">
        <f t="shared" si="17"/>
        <v>77457.287869151332</v>
      </c>
      <c r="O62" s="38">
        <f t="shared" si="17"/>
        <v>148625.92795384754</v>
      </c>
      <c r="P62" s="3">
        <f>SUM(C62:O62)</f>
        <v>1051533.2689427522</v>
      </c>
      <c r="Q62" s="38"/>
      <c r="R62" s="210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</row>
    <row r="63" spans="1:91" x14ac:dyDescent="0.2">
      <c r="A63" s="4">
        <v>52</v>
      </c>
      <c r="B63" s="1"/>
      <c r="C63" s="1"/>
      <c r="D63" s="4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210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</row>
    <row r="64" spans="1:91" x14ac:dyDescent="0.2">
      <c r="A64" s="4">
        <v>53</v>
      </c>
      <c r="B64" s="171" t="s">
        <v>88</v>
      </c>
      <c r="C64" s="1"/>
      <c r="D64" s="101">
        <f>D65*$C$65+D69*$C$69+D70*$C$70+D71*$C$71+D66+D67+D68</f>
        <v>531666.0321999999</v>
      </c>
      <c r="E64" s="101">
        <f t="shared" ref="E64:O64" si="18">E65*$C$65+E69*$C$69+E70*$C$70+E71*$C$71+E66+E67+E68</f>
        <v>526607.79229999997</v>
      </c>
      <c r="F64" s="101">
        <f t="shared" si="18"/>
        <v>537267.97030000004</v>
      </c>
      <c r="G64" s="101">
        <f t="shared" si="18"/>
        <v>536879.69309999992</v>
      </c>
      <c r="H64" s="101">
        <f t="shared" si="18"/>
        <v>605353.77405000001</v>
      </c>
      <c r="I64" s="101">
        <f t="shared" si="18"/>
        <v>710655.36149999988</v>
      </c>
      <c r="J64" s="101">
        <f t="shared" si="18"/>
        <v>724597.03810000001</v>
      </c>
      <c r="K64" s="101">
        <f t="shared" si="18"/>
        <v>833114.0615999999</v>
      </c>
      <c r="L64" s="101">
        <f t="shared" si="18"/>
        <v>821513.03540000005</v>
      </c>
      <c r="M64" s="101">
        <f t="shared" si="18"/>
        <v>724817.21790000005</v>
      </c>
      <c r="N64" s="101">
        <f t="shared" si="18"/>
        <v>587468.8848</v>
      </c>
      <c r="O64" s="101">
        <f t="shared" si="18"/>
        <v>551121.33270000003</v>
      </c>
      <c r="P64" s="101">
        <f>SUM(D64:O64)</f>
        <v>7691062.1939500002</v>
      </c>
      <c r="Q64" s="101"/>
      <c r="R64" s="210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</row>
    <row r="65" spans="1:91" x14ac:dyDescent="0.2">
      <c r="A65" s="4">
        <v>54</v>
      </c>
      <c r="B65" s="1" t="s">
        <v>87</v>
      </c>
      <c r="C65" s="11">
        <f>'Monthly Forecast'!C64</f>
        <v>390.12</v>
      </c>
      <c r="D65" s="70">
        <f>'Monthly Forecast'!Y64</f>
        <v>123</v>
      </c>
      <c r="E65" s="70">
        <f>'Monthly Forecast'!Z64</f>
        <v>123</v>
      </c>
      <c r="F65" s="70">
        <f>'Monthly Forecast'!AA64</f>
        <v>123</v>
      </c>
      <c r="G65" s="70">
        <f>'Monthly Forecast'!AB64</f>
        <v>123</v>
      </c>
      <c r="H65" s="70">
        <f>'Monthly Forecast'!AC64</f>
        <v>123</v>
      </c>
      <c r="I65" s="70">
        <f>'Monthly Forecast'!AD64</f>
        <v>123</v>
      </c>
      <c r="J65" s="70">
        <f>'Monthly Forecast'!AE64</f>
        <v>123</v>
      </c>
      <c r="K65" s="70">
        <f>'Monthly Forecast'!AF64</f>
        <v>123</v>
      </c>
      <c r="L65" s="70">
        <f>'Monthly Forecast'!AG64</f>
        <v>123</v>
      </c>
      <c r="M65" s="70">
        <f>'Monthly Forecast'!AH64</f>
        <v>123</v>
      </c>
      <c r="N65" s="70">
        <f>'Monthly Forecast'!AI64</f>
        <v>123</v>
      </c>
      <c r="O65" s="70">
        <f>'Monthly Forecast'!AJ64</f>
        <v>123</v>
      </c>
      <c r="P65" s="6">
        <f>SUM(D65:O65)</f>
        <v>1476</v>
      </c>
      <c r="Q65" s="70">
        <f>P65*C65</f>
        <v>575817.12</v>
      </c>
      <c r="R65" s="604">
        <f>Q65-'Bill Frequency'!R53</f>
        <v>9753</v>
      </c>
      <c r="S65" s="205">
        <f>Q65+Q81+Q90</f>
        <v>970066.2</v>
      </c>
      <c r="T65" s="205" t="s">
        <v>668</v>
      </c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</row>
    <row r="66" spans="1:91" x14ac:dyDescent="0.2">
      <c r="A66" s="4">
        <v>55</v>
      </c>
      <c r="B66" s="1" t="s">
        <v>1</v>
      </c>
      <c r="C66" s="1"/>
      <c r="D66" s="70">
        <f>'Monthly Forecast'!Y65</f>
        <v>6050</v>
      </c>
      <c r="E66" s="70">
        <f>'Monthly Forecast'!Z65</f>
        <v>6050</v>
      </c>
      <c r="F66" s="70">
        <f>'Monthly Forecast'!AA65</f>
        <v>6050</v>
      </c>
      <c r="G66" s="70">
        <f>'Monthly Forecast'!AB65</f>
        <v>6050</v>
      </c>
      <c r="H66" s="70">
        <f>'Monthly Forecast'!AC65</f>
        <v>6050</v>
      </c>
      <c r="I66" s="70">
        <f>'Monthly Forecast'!AD65</f>
        <v>6050</v>
      </c>
      <c r="J66" s="70">
        <f>'Monthly Forecast'!AE65</f>
        <v>6050</v>
      </c>
      <c r="K66" s="70">
        <f>'Monthly Forecast'!AF65</f>
        <v>6050</v>
      </c>
      <c r="L66" s="70">
        <f>'Monthly Forecast'!AG65</f>
        <v>6050</v>
      </c>
      <c r="M66" s="70">
        <f>'Monthly Forecast'!AH65</f>
        <v>6050</v>
      </c>
      <c r="N66" s="70">
        <f>'Monthly Forecast'!AI65</f>
        <v>6050</v>
      </c>
      <c r="O66" s="70">
        <f>'Monthly Forecast'!AJ65</f>
        <v>6050</v>
      </c>
      <c r="P66" s="3">
        <f t="shared" ref="P66:P71" si="19">SUM(D66:O66)</f>
        <v>72600</v>
      </c>
      <c r="Q66" s="70">
        <f>P66</f>
        <v>72600</v>
      </c>
      <c r="R66" s="604">
        <f>Q66-'Bill Frequency'!R54</f>
        <v>1250</v>
      </c>
      <c r="S66" s="205">
        <f>SUM(Q69:Q71,P74,Q85:Q86,Q95)</f>
        <v>15799467.77899356</v>
      </c>
      <c r="T66" s="205" t="s">
        <v>463</v>
      </c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</row>
    <row r="67" spans="1:91" x14ac:dyDescent="0.2">
      <c r="A67" s="4">
        <v>56</v>
      </c>
      <c r="B67" s="1" t="s">
        <v>62</v>
      </c>
      <c r="C67" s="1"/>
      <c r="D67" s="70">
        <f>'Monthly Forecast'!Y66</f>
        <v>6175</v>
      </c>
      <c r="E67" s="70">
        <f>'Monthly Forecast'!Z66</f>
        <v>6175</v>
      </c>
      <c r="F67" s="70">
        <f>'Monthly Forecast'!AA66</f>
        <v>6200</v>
      </c>
      <c r="G67" s="70">
        <f>'Monthly Forecast'!AB66</f>
        <v>6025</v>
      </c>
      <c r="H67" s="70">
        <f>'Monthly Forecast'!AC66</f>
        <v>6025</v>
      </c>
      <c r="I67" s="70">
        <f>'Monthly Forecast'!AD66</f>
        <v>6050</v>
      </c>
      <c r="J67" s="70">
        <f>'Monthly Forecast'!AE66</f>
        <v>6050</v>
      </c>
      <c r="K67" s="70">
        <f>'Monthly Forecast'!AF66</f>
        <v>6050</v>
      </c>
      <c r="L67" s="70">
        <f>'Monthly Forecast'!AG66</f>
        <v>6050</v>
      </c>
      <c r="M67" s="70">
        <f>'Monthly Forecast'!AH66</f>
        <v>6050</v>
      </c>
      <c r="N67" s="70">
        <f>'Monthly Forecast'!AI66</f>
        <v>6075</v>
      </c>
      <c r="O67" s="70">
        <f>'Monthly Forecast'!AJ66</f>
        <v>6075</v>
      </c>
      <c r="P67" s="3">
        <f t="shared" si="19"/>
        <v>73000</v>
      </c>
      <c r="Q67" s="70">
        <f>P67</f>
        <v>73000</v>
      </c>
      <c r="R67" s="604">
        <f>Q67-'Bill Frequency'!R55</f>
        <v>1875</v>
      </c>
      <c r="S67" s="531">
        <f>SUM(Q66:Q68,Q82:Q84,Q91:Q93)</f>
        <v>342799.1</v>
      </c>
      <c r="T67" s="205" t="s">
        <v>386</v>
      </c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</row>
    <row r="68" spans="1:91" x14ac:dyDescent="0.2">
      <c r="A68" s="4">
        <v>57</v>
      </c>
      <c r="B68" s="1" t="s">
        <v>2</v>
      </c>
      <c r="C68" s="1"/>
      <c r="D68" s="70">
        <f>'Monthly Forecast'!Y67</f>
        <v>31.1</v>
      </c>
      <c r="E68" s="70">
        <f>'Monthly Forecast'!Z67</f>
        <v>34.4</v>
      </c>
      <c r="F68" s="70">
        <f>'Monthly Forecast'!AA67</f>
        <v>30.799999999999997</v>
      </c>
      <c r="G68" s="70">
        <f>'Monthly Forecast'!AB67</f>
        <v>39.6</v>
      </c>
      <c r="H68" s="70">
        <f>'Monthly Forecast'!AC67</f>
        <v>42.3</v>
      </c>
      <c r="I68" s="70">
        <f>'Monthly Forecast'!AD67</f>
        <v>115.69999999999999</v>
      </c>
      <c r="J68" s="70">
        <f>'Monthly Forecast'!AE67</f>
        <v>143.30000000000001</v>
      </c>
      <c r="K68" s="70">
        <f>'Monthly Forecast'!AF67</f>
        <v>173.89999999999998</v>
      </c>
      <c r="L68" s="70">
        <f>'Monthly Forecast'!AG67</f>
        <v>182.5</v>
      </c>
      <c r="M68" s="70">
        <f>'Monthly Forecast'!AH67</f>
        <v>70.400000000000006</v>
      </c>
      <c r="N68" s="70">
        <f>'Monthly Forecast'!AI67</f>
        <v>23.1</v>
      </c>
      <c r="O68" s="70">
        <f>'Monthly Forecast'!AJ67</f>
        <v>25.8</v>
      </c>
      <c r="P68" s="3">
        <f t="shared" si="19"/>
        <v>912.89999999999986</v>
      </c>
      <c r="Q68" s="70">
        <f>P68</f>
        <v>912.89999999999986</v>
      </c>
      <c r="R68" s="604">
        <f>Q68-'Bill Frequency'!R56</f>
        <v>0</v>
      </c>
      <c r="S68" s="205">
        <f>SUM(S65:S67)</f>
        <v>17112333.078993559</v>
      </c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</row>
    <row r="69" spans="1:91" x14ac:dyDescent="0.2">
      <c r="A69" s="4">
        <v>58</v>
      </c>
      <c r="B69" s="1" t="s">
        <v>32</v>
      </c>
      <c r="C69" s="14">
        <f>'Monthly Forecast'!C68</f>
        <v>1.4401000000000002</v>
      </c>
      <c r="D69" s="70">
        <f>'Monthly Forecast'!Y68</f>
        <v>34136</v>
      </c>
      <c r="E69" s="70">
        <f>'Monthly Forecast'!Z68</f>
        <v>33819</v>
      </c>
      <c r="F69" s="70">
        <f>'Monthly Forecast'!AA68</f>
        <v>34474</v>
      </c>
      <c r="G69" s="70">
        <f>'Monthly Forecast'!AB68</f>
        <v>34611</v>
      </c>
      <c r="H69" s="70">
        <f>'Monthly Forecast'!AC68</f>
        <v>36171</v>
      </c>
      <c r="I69" s="70">
        <f>'Monthly Forecast'!AD68</f>
        <v>36744</v>
      </c>
      <c r="J69" s="70">
        <f>'Monthly Forecast'!AE68</f>
        <v>36730</v>
      </c>
      <c r="K69" s="70">
        <f>'Monthly Forecast'!AF68</f>
        <v>36900</v>
      </c>
      <c r="L69" s="70">
        <f>'Monthly Forecast'!AG68</f>
        <v>36900</v>
      </c>
      <c r="M69" s="70">
        <f>'Monthly Forecast'!AH68</f>
        <v>36900</v>
      </c>
      <c r="N69" s="70">
        <f>'Monthly Forecast'!AI68</f>
        <v>35971</v>
      </c>
      <c r="O69" s="70">
        <f>'Monthly Forecast'!AJ68</f>
        <v>35254</v>
      </c>
      <c r="P69" s="6">
        <f t="shared" si="19"/>
        <v>428610</v>
      </c>
      <c r="Q69" s="70">
        <f>P69*C69</f>
        <v>617241.26100000006</v>
      </c>
      <c r="R69" s="604">
        <f>Q69-'Bill Frequency'!R57</f>
        <v>11214.058699999936</v>
      </c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</row>
    <row r="70" spans="1:91" x14ac:dyDescent="0.2">
      <c r="A70" s="4">
        <v>59</v>
      </c>
      <c r="B70" s="1" t="s">
        <v>33</v>
      </c>
      <c r="C70" s="14">
        <f>'Monthly Forecast'!C69</f>
        <v>0.96149999999999991</v>
      </c>
      <c r="D70" s="70">
        <f>'Monthly Forecast'!Y69</f>
        <v>392796</v>
      </c>
      <c r="E70" s="70">
        <f>'Monthly Forecast'!Z69</f>
        <v>381594</v>
      </c>
      <c r="F70" s="70">
        <f>'Monthly Forecast'!AA69</f>
        <v>397247</v>
      </c>
      <c r="G70" s="70">
        <f>'Monthly Forecast'!AB69</f>
        <v>392460.4</v>
      </c>
      <c r="H70" s="70">
        <f>'Monthly Forecast'!AC69</f>
        <v>449303.7</v>
      </c>
      <c r="I70" s="70">
        <f>'Monthly Forecast'!AD69</f>
        <v>549285</v>
      </c>
      <c r="J70" s="70">
        <f>'Monthly Forecast'!AE69</f>
        <v>558687</v>
      </c>
      <c r="K70" s="70">
        <f>'Monthly Forecast'!AF69</f>
        <v>639686</v>
      </c>
      <c r="L70" s="70">
        <f>'Monthly Forecast'!AG69</f>
        <v>636082</v>
      </c>
      <c r="M70" s="70">
        <f>'Monthly Forecast'!AH69</f>
        <v>555421</v>
      </c>
      <c r="N70" s="70">
        <f>'Monthly Forecast'!AI69</f>
        <v>438789</v>
      </c>
      <c r="O70" s="70">
        <f>'Monthly Forecast'!AJ69</f>
        <v>409871</v>
      </c>
      <c r="P70" s="6">
        <f t="shared" si="19"/>
        <v>5801222.0999999996</v>
      </c>
      <c r="Q70" s="70">
        <f>P70*C70</f>
        <v>5577875.0491499994</v>
      </c>
      <c r="R70" s="604">
        <f>Q70-'Bill Frequency'!R58</f>
        <v>148352.81565000024</v>
      </c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</row>
    <row r="71" spans="1:91" x14ac:dyDescent="0.2">
      <c r="A71" s="4">
        <v>60</v>
      </c>
      <c r="B71" s="1" t="s">
        <v>34</v>
      </c>
      <c r="C71" s="14">
        <f>'Monthly Forecast'!C70</f>
        <v>0.6774</v>
      </c>
      <c r="D71" s="70">
        <f>'Monthly Forecast'!Y70</f>
        <v>65829</v>
      </c>
      <c r="E71" s="70">
        <f>'Monthly Forecast'!Z70</f>
        <v>74931</v>
      </c>
      <c r="F71" s="70">
        <f>'Monthly Forecast'!AA70</f>
        <v>67026</v>
      </c>
      <c r="G71" s="70">
        <f>'Monthly Forecast'!AB70</f>
        <v>73201</v>
      </c>
      <c r="H71" s="70">
        <f>'Monthly Forecast'!AC70</f>
        <v>90281</v>
      </c>
      <c r="I71" s="70">
        <f>'Monthly Forecast'!AD70</f>
        <v>102454</v>
      </c>
      <c r="J71" s="70">
        <f>'Monthly Forecast'!AE70</f>
        <v>109679</v>
      </c>
      <c r="K71" s="70">
        <f>'Monthly Forecast'!AF70</f>
        <v>154499</v>
      </c>
      <c r="L71" s="70">
        <f>'Monthly Forecast'!AG70</f>
        <v>142476</v>
      </c>
      <c r="M71" s="70">
        <f>'Monthly Forecast'!AH70</f>
        <v>114386</v>
      </c>
      <c r="N71" s="70">
        <f>'Monthly Forecast'!AI70</f>
        <v>79183</v>
      </c>
      <c r="O71" s="70">
        <f>'Monthly Forecast'!AJ70</f>
        <v>68092</v>
      </c>
      <c r="P71" s="6">
        <f t="shared" si="19"/>
        <v>1142037</v>
      </c>
      <c r="Q71" s="70">
        <f>P71*C71</f>
        <v>773615.86380000005</v>
      </c>
      <c r="R71" s="604">
        <f>Q71-'Bill Frequency'!R59</f>
        <v>-33694.553399999975</v>
      </c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</row>
    <row r="72" spans="1:91" x14ac:dyDescent="0.2">
      <c r="A72" s="4">
        <v>61</v>
      </c>
      <c r="B72" s="32" t="s">
        <v>79</v>
      </c>
      <c r="C72" s="32"/>
      <c r="D72" s="31">
        <f t="shared" ref="D72:O72" si="20">D69+D70+D71</f>
        <v>492761</v>
      </c>
      <c r="E72" s="31">
        <f t="shared" si="20"/>
        <v>490344</v>
      </c>
      <c r="F72" s="31">
        <f t="shared" si="20"/>
        <v>498747</v>
      </c>
      <c r="G72" s="31">
        <f t="shared" si="20"/>
        <v>500272.4</v>
      </c>
      <c r="H72" s="31">
        <f t="shared" si="20"/>
        <v>575755.69999999995</v>
      </c>
      <c r="I72" s="31">
        <f t="shared" si="20"/>
        <v>688483</v>
      </c>
      <c r="J72" s="31">
        <f t="shared" si="20"/>
        <v>705096</v>
      </c>
      <c r="K72" s="31">
        <f t="shared" si="20"/>
        <v>831085</v>
      </c>
      <c r="L72" s="31">
        <f t="shared" si="20"/>
        <v>815458</v>
      </c>
      <c r="M72" s="31">
        <f t="shared" si="20"/>
        <v>706707</v>
      </c>
      <c r="N72" s="31">
        <f t="shared" si="20"/>
        <v>553943</v>
      </c>
      <c r="O72" s="31">
        <f t="shared" si="20"/>
        <v>513217</v>
      </c>
      <c r="P72" s="90">
        <f>SUM(C72:O72)</f>
        <v>7371869.0999999996</v>
      </c>
      <c r="Q72" s="31">
        <f>SUM(Q65:Q71)</f>
        <v>7691062.1939499993</v>
      </c>
      <c r="R72" s="604">
        <f>SUM(R65:R71)</f>
        <v>138750.3209500002</v>
      </c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</row>
    <row r="73" spans="1:91" x14ac:dyDescent="0.2">
      <c r="A73" s="4">
        <v>62</v>
      </c>
      <c r="B73" s="1"/>
      <c r="C73" s="1"/>
      <c r="D73" s="4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93"/>
      <c r="R73" s="210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</row>
    <row r="74" spans="1:91" x14ac:dyDescent="0.2">
      <c r="A74" s="4">
        <v>63</v>
      </c>
      <c r="B74" s="171" t="s">
        <v>663</v>
      </c>
      <c r="C74" s="1"/>
      <c r="D74" s="576">
        <f>D75*$C$75+D76*$C$76+D77*$C$77</f>
        <v>7401.4050000000007</v>
      </c>
      <c r="E74" s="576">
        <f t="shared" ref="E74:O74" si="21">E75*$C$75+E76*$C$76+E77*$C$77</f>
        <v>6769.9350000000004</v>
      </c>
      <c r="F74" s="576">
        <f t="shared" si="21"/>
        <v>6902.9250000000002</v>
      </c>
      <c r="G74" s="576">
        <f t="shared" si="21"/>
        <v>6013.38</v>
      </c>
      <c r="H74" s="576">
        <f t="shared" si="21"/>
        <v>6479.7750000000005</v>
      </c>
      <c r="I74" s="576">
        <f t="shared" si="21"/>
        <v>9285.1200000000008</v>
      </c>
      <c r="J74" s="576">
        <f t="shared" si="21"/>
        <v>7784.1</v>
      </c>
      <c r="K74" s="576">
        <f t="shared" si="21"/>
        <v>11491.08</v>
      </c>
      <c r="L74" s="576">
        <f t="shared" si="21"/>
        <v>9616.2000000000007</v>
      </c>
      <c r="M74" s="576">
        <f t="shared" si="21"/>
        <v>9104.76</v>
      </c>
      <c r="N74" s="576">
        <f t="shared" si="21"/>
        <v>8520.1949999999997</v>
      </c>
      <c r="O74" s="576">
        <f t="shared" si="21"/>
        <v>7967.7750000000005</v>
      </c>
      <c r="P74" s="576">
        <f>SUM(D74:O74)</f>
        <v>97336.65</v>
      </c>
      <c r="R74" s="210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</row>
    <row r="75" spans="1:91" x14ac:dyDescent="0.2">
      <c r="A75" s="4">
        <v>64</v>
      </c>
      <c r="B75" s="1" t="s">
        <v>32</v>
      </c>
      <c r="C75" s="1">
        <f>'Rate Design'!P23</f>
        <v>0.98850000000000005</v>
      </c>
      <c r="D75" s="70">
        <f>'Monthly Forecast'!Y74</f>
        <v>0</v>
      </c>
      <c r="E75" s="70">
        <f>'Monthly Forecast'!Z74</f>
        <v>0</v>
      </c>
      <c r="F75" s="70">
        <f>'Monthly Forecast'!AA74</f>
        <v>0</v>
      </c>
      <c r="G75" s="70">
        <f>'Monthly Forecast'!AB74</f>
        <v>0</v>
      </c>
      <c r="H75" s="70">
        <f>'Monthly Forecast'!AC74</f>
        <v>0</v>
      </c>
      <c r="I75" s="70">
        <f>'Monthly Forecast'!AD74</f>
        <v>0</v>
      </c>
      <c r="J75" s="70">
        <f>'Monthly Forecast'!AE74</f>
        <v>0</v>
      </c>
      <c r="K75" s="70">
        <f>'Monthly Forecast'!AF74</f>
        <v>0</v>
      </c>
      <c r="L75" s="70">
        <f>'Monthly Forecast'!AG74</f>
        <v>0</v>
      </c>
      <c r="M75" s="70">
        <f>'Monthly Forecast'!AH74</f>
        <v>0</v>
      </c>
      <c r="N75" s="70">
        <f>'Monthly Forecast'!AI74</f>
        <v>0</v>
      </c>
      <c r="O75" s="70">
        <f>'Monthly Forecast'!AJ74</f>
        <v>0</v>
      </c>
      <c r="P75" s="6">
        <f t="shared" ref="P75:P77" si="22">SUM(D75:O75)</f>
        <v>0</v>
      </c>
      <c r="Q75" s="70">
        <f t="shared" ref="Q75:Q77" si="23">P75*C75</f>
        <v>0</v>
      </c>
      <c r="R75" s="604">
        <f>Q75-'Bill Frequency'!R63</f>
        <v>0</v>
      </c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</row>
    <row r="76" spans="1:91" x14ac:dyDescent="0.2">
      <c r="A76" s="4">
        <v>65</v>
      </c>
      <c r="B76" s="1" t="s">
        <v>33</v>
      </c>
      <c r="C76" s="527">
        <f>'Rate Design'!P24</f>
        <v>0.66</v>
      </c>
      <c r="D76" s="70">
        <f>'Monthly Forecast'!Y75</f>
        <v>0</v>
      </c>
      <c r="E76" s="70">
        <f>'Monthly Forecast'!Z75</f>
        <v>0</v>
      </c>
      <c r="F76" s="70">
        <f>'Monthly Forecast'!AA75</f>
        <v>0</v>
      </c>
      <c r="G76" s="70">
        <f>'Monthly Forecast'!AB75</f>
        <v>0</v>
      </c>
      <c r="H76" s="70">
        <f>'Monthly Forecast'!AC75</f>
        <v>0</v>
      </c>
      <c r="I76" s="70">
        <f>'Monthly Forecast'!AD75</f>
        <v>2728</v>
      </c>
      <c r="J76" s="70">
        <f>'Monthly Forecast'!AE75</f>
        <v>2728</v>
      </c>
      <c r="K76" s="70">
        <f>'Monthly Forecast'!AF75</f>
        <v>2728</v>
      </c>
      <c r="L76" s="70">
        <f>'Monthly Forecast'!AG75</f>
        <v>2728</v>
      </c>
      <c r="M76" s="70">
        <f>'Monthly Forecast'!AH75</f>
        <v>2342</v>
      </c>
      <c r="N76" s="70">
        <f>'Monthly Forecast'!AI75</f>
        <v>0</v>
      </c>
      <c r="O76" s="70">
        <f>'Monthly Forecast'!AJ75</f>
        <v>0</v>
      </c>
      <c r="P76" s="6">
        <f t="shared" si="22"/>
        <v>13254</v>
      </c>
      <c r="Q76" s="70">
        <f t="shared" si="23"/>
        <v>8747.6400000000012</v>
      </c>
      <c r="R76" s="604">
        <f>Q76-'Bill Frequency'!R64</f>
        <v>8747.6400000000012</v>
      </c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</row>
    <row r="77" spans="1:91" x14ac:dyDescent="0.2">
      <c r="A77" s="4">
        <v>66</v>
      </c>
      <c r="B77" s="1" t="s">
        <v>661</v>
      </c>
      <c r="C77" s="527">
        <f>'Rate Design'!P25</f>
        <v>0.46500000000000002</v>
      </c>
      <c r="D77" s="70">
        <f>'Monthly Forecast'!Y76</f>
        <v>15917</v>
      </c>
      <c r="E77" s="70">
        <f>'Monthly Forecast'!Z76</f>
        <v>14559</v>
      </c>
      <c r="F77" s="70">
        <f>'Monthly Forecast'!AA76</f>
        <v>14845</v>
      </c>
      <c r="G77" s="70">
        <f>'Monthly Forecast'!AB76</f>
        <v>12932</v>
      </c>
      <c r="H77" s="70">
        <f>'Monthly Forecast'!AC76</f>
        <v>13935</v>
      </c>
      <c r="I77" s="70">
        <f>'Monthly Forecast'!AD76</f>
        <v>16096</v>
      </c>
      <c r="J77" s="70">
        <f>'Monthly Forecast'!AE76</f>
        <v>12868</v>
      </c>
      <c r="K77" s="70">
        <f>'Monthly Forecast'!AF76</f>
        <v>20840</v>
      </c>
      <c r="L77" s="70">
        <f>'Monthly Forecast'!AG76</f>
        <v>16808</v>
      </c>
      <c r="M77" s="70">
        <f>'Monthly Forecast'!AH76</f>
        <v>16256</v>
      </c>
      <c r="N77" s="70">
        <f>'Monthly Forecast'!AI76</f>
        <v>18323</v>
      </c>
      <c r="O77" s="70">
        <f>'Monthly Forecast'!AJ76</f>
        <v>17135</v>
      </c>
      <c r="P77" s="6">
        <f t="shared" si="22"/>
        <v>190514</v>
      </c>
      <c r="Q77" s="70">
        <f t="shared" si="23"/>
        <v>88589.010000000009</v>
      </c>
      <c r="R77" s="604">
        <f>Q77-'Bill Frequency'!R65</f>
        <v>45449.56500000001</v>
      </c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</row>
    <row r="78" spans="1:91" x14ac:dyDescent="0.2">
      <c r="A78" s="4">
        <v>67</v>
      </c>
      <c r="B78" s="32" t="s">
        <v>79</v>
      </c>
      <c r="C78" s="31"/>
      <c r="D78" s="31">
        <f t="shared" ref="D78:O78" si="24">D75+D76+D77</f>
        <v>15917</v>
      </c>
      <c r="E78" s="31">
        <f t="shared" si="24"/>
        <v>14559</v>
      </c>
      <c r="F78" s="31">
        <f t="shared" si="24"/>
        <v>14845</v>
      </c>
      <c r="G78" s="31">
        <f t="shared" si="24"/>
        <v>12932</v>
      </c>
      <c r="H78" s="31">
        <f t="shared" si="24"/>
        <v>13935</v>
      </c>
      <c r="I78" s="31">
        <f t="shared" si="24"/>
        <v>18824</v>
      </c>
      <c r="J78" s="31">
        <f t="shared" si="24"/>
        <v>15596</v>
      </c>
      <c r="K78" s="31">
        <f t="shared" si="24"/>
        <v>23568</v>
      </c>
      <c r="L78" s="31">
        <f t="shared" si="24"/>
        <v>19536</v>
      </c>
      <c r="M78" s="31">
        <f t="shared" si="24"/>
        <v>18598</v>
      </c>
      <c r="N78" s="31">
        <f t="shared" si="24"/>
        <v>18323</v>
      </c>
      <c r="O78" s="31">
        <f t="shared" si="24"/>
        <v>17135</v>
      </c>
      <c r="P78" s="31">
        <f t="shared" ref="P78" si="25">P75+P76+P77</f>
        <v>203768</v>
      </c>
      <c r="Q78" s="31">
        <f t="shared" ref="Q78" si="26">Q75+Q76+Q77</f>
        <v>97336.650000000009</v>
      </c>
      <c r="R78" s="604">
        <f>Q78-'Bill Frequency'!R66</f>
        <v>54197.205000000009</v>
      </c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</row>
    <row r="79" spans="1:91" x14ac:dyDescent="0.2">
      <c r="A79" s="4">
        <v>68</v>
      </c>
      <c r="B79" s="1"/>
      <c r="C79" s="1"/>
      <c r="D79" s="4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93"/>
      <c r="R79" s="210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</row>
    <row r="80" spans="1:91" x14ac:dyDescent="0.2">
      <c r="A80" s="4">
        <v>69</v>
      </c>
      <c r="B80" s="171" t="s">
        <v>89</v>
      </c>
      <c r="C80" s="1"/>
      <c r="D80" s="101">
        <f t="shared" ref="D80:O80" si="27">D81*$C$81+D85*$C$85+D86*$C$86+D82+D83+D84</f>
        <v>515642.40620000003</v>
      </c>
      <c r="E80" s="101">
        <f t="shared" si="27"/>
        <v>479973.34220000001</v>
      </c>
      <c r="F80" s="101">
        <f t="shared" si="27"/>
        <v>523987.62860000005</v>
      </c>
      <c r="G80" s="101">
        <f t="shared" si="27"/>
        <v>508017.61640000006</v>
      </c>
      <c r="H80" s="101">
        <f t="shared" si="27"/>
        <v>579075.79640000011</v>
      </c>
      <c r="I80" s="101">
        <f t="shared" si="27"/>
        <v>599422.22200000007</v>
      </c>
      <c r="J80" s="101">
        <f t="shared" si="27"/>
        <v>596679.37980000011</v>
      </c>
      <c r="K80" s="101">
        <f t="shared" si="27"/>
        <v>629062.53500000003</v>
      </c>
      <c r="L80" s="101">
        <f t="shared" si="27"/>
        <v>593413.46840000001</v>
      </c>
      <c r="M80" s="101">
        <f t="shared" si="27"/>
        <v>601479.24959999998</v>
      </c>
      <c r="N80" s="101">
        <f t="shared" si="27"/>
        <v>544638.83100000001</v>
      </c>
      <c r="O80" s="101">
        <f t="shared" si="27"/>
        <v>533812.58660000004</v>
      </c>
      <c r="P80" s="102">
        <f t="shared" ref="P80:P86" si="28">SUM(C80:O80)</f>
        <v>6705205.0622000005</v>
      </c>
      <c r="Q80" s="101"/>
      <c r="R80" s="210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</row>
    <row r="81" spans="1:91" x14ac:dyDescent="0.2">
      <c r="A81" s="4">
        <v>70</v>
      </c>
      <c r="B81" s="1" t="s">
        <v>87</v>
      </c>
      <c r="C81" s="99">
        <f>'Monthly Forecast'!C80</f>
        <v>388.79</v>
      </c>
      <c r="D81" s="70">
        <f>'Monthly Forecast'!Y80</f>
        <v>71</v>
      </c>
      <c r="E81" s="70">
        <f>'Monthly Forecast'!Z80</f>
        <v>71</v>
      </c>
      <c r="F81" s="70">
        <f>'Monthly Forecast'!AA80</f>
        <v>71</v>
      </c>
      <c r="G81" s="70">
        <f>'Monthly Forecast'!AB80</f>
        <v>71</v>
      </c>
      <c r="H81" s="70">
        <f>'Monthly Forecast'!AC80</f>
        <v>71</v>
      </c>
      <c r="I81" s="70">
        <f>'Monthly Forecast'!AD80</f>
        <v>71</v>
      </c>
      <c r="J81" s="70">
        <f>'Monthly Forecast'!AE80</f>
        <v>71</v>
      </c>
      <c r="K81" s="70">
        <f>'Monthly Forecast'!AF80</f>
        <v>71</v>
      </c>
      <c r="L81" s="70">
        <f>'Monthly Forecast'!AG80</f>
        <v>71</v>
      </c>
      <c r="M81" s="70">
        <f>'Monthly Forecast'!AH80</f>
        <v>71</v>
      </c>
      <c r="N81" s="70">
        <f>'Monthly Forecast'!AI80</f>
        <v>71</v>
      </c>
      <c r="O81" s="70">
        <f>'Monthly Forecast'!AJ80</f>
        <v>71</v>
      </c>
      <c r="P81" s="6">
        <f>SUM(D81:O81)</f>
        <v>852</v>
      </c>
      <c r="Q81" s="70">
        <f>P81*C81</f>
        <v>331249.08</v>
      </c>
      <c r="R81" s="604">
        <f>Q81-'Bill Frequency'!R69</f>
        <v>7387.0100000000093</v>
      </c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</row>
    <row r="82" spans="1:91" x14ac:dyDescent="0.2">
      <c r="A82" s="4">
        <v>71</v>
      </c>
      <c r="B82" s="1" t="s">
        <v>1</v>
      </c>
      <c r="C82" s="1"/>
      <c r="D82" s="70">
        <f>'Monthly Forecast'!Y81</f>
        <v>3550</v>
      </c>
      <c r="E82" s="70">
        <f>'Monthly Forecast'!Z81</f>
        <v>3550</v>
      </c>
      <c r="F82" s="70">
        <f>'Monthly Forecast'!AA81</f>
        <v>3550</v>
      </c>
      <c r="G82" s="70">
        <f>'Monthly Forecast'!AB81</f>
        <v>3550</v>
      </c>
      <c r="H82" s="70">
        <f>'Monthly Forecast'!AC81</f>
        <v>3550</v>
      </c>
      <c r="I82" s="70">
        <f>'Monthly Forecast'!AD81</f>
        <v>3550</v>
      </c>
      <c r="J82" s="70">
        <f>'Monthly Forecast'!AE81</f>
        <v>3550</v>
      </c>
      <c r="K82" s="70">
        <f>'Monthly Forecast'!AF81</f>
        <v>3550</v>
      </c>
      <c r="L82" s="70">
        <f>'Monthly Forecast'!AG81</f>
        <v>3550</v>
      </c>
      <c r="M82" s="70">
        <f>'Monthly Forecast'!AH81</f>
        <v>3550</v>
      </c>
      <c r="N82" s="70">
        <f>'Monthly Forecast'!AI81</f>
        <v>3550</v>
      </c>
      <c r="O82" s="70">
        <f>'Monthly Forecast'!AJ81</f>
        <v>3550</v>
      </c>
      <c r="P82" s="3">
        <f t="shared" si="28"/>
        <v>42600</v>
      </c>
      <c r="Q82" s="70">
        <f>P82</f>
        <v>42600</v>
      </c>
      <c r="R82" s="604">
        <f>Q82-'Bill Frequency'!R70</f>
        <v>950</v>
      </c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</row>
    <row r="83" spans="1:91" x14ac:dyDescent="0.2">
      <c r="A83" s="4">
        <v>72</v>
      </c>
      <c r="B83" s="1" t="s">
        <v>62</v>
      </c>
      <c r="C83" s="1"/>
      <c r="D83" s="70">
        <f>'Monthly Forecast'!Y82</f>
        <v>3500</v>
      </c>
      <c r="E83" s="70">
        <f>'Monthly Forecast'!Z82</f>
        <v>3650</v>
      </c>
      <c r="F83" s="70">
        <f>'Monthly Forecast'!AA82</f>
        <v>3675</v>
      </c>
      <c r="G83" s="70">
        <f>'Monthly Forecast'!AB82</f>
        <v>3200</v>
      </c>
      <c r="H83" s="70">
        <f>'Monthly Forecast'!AC82</f>
        <v>3300</v>
      </c>
      <c r="I83" s="70">
        <f>'Monthly Forecast'!AD82</f>
        <v>3300</v>
      </c>
      <c r="J83" s="70">
        <f>'Monthly Forecast'!AE82</f>
        <v>3300</v>
      </c>
      <c r="K83" s="70">
        <f>'Monthly Forecast'!AF82</f>
        <v>3300</v>
      </c>
      <c r="L83" s="70">
        <f>'Monthly Forecast'!AG82</f>
        <v>3325</v>
      </c>
      <c r="M83" s="70">
        <f>'Monthly Forecast'!AH82</f>
        <v>3325</v>
      </c>
      <c r="N83" s="70">
        <f>'Monthly Forecast'!AI82</f>
        <v>3325</v>
      </c>
      <c r="O83" s="70">
        <f>'Monthly Forecast'!AJ82</f>
        <v>3600</v>
      </c>
      <c r="P83" s="3">
        <f t="shared" si="28"/>
        <v>40800</v>
      </c>
      <c r="Q83" s="70">
        <f>P83</f>
        <v>40800</v>
      </c>
      <c r="R83" s="604">
        <f>Q83-'Bill Frequency'!R71</f>
        <v>1425</v>
      </c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</row>
    <row r="84" spans="1:91" x14ac:dyDescent="0.2">
      <c r="A84" s="4">
        <v>73</v>
      </c>
      <c r="B84" s="1" t="s">
        <v>2</v>
      </c>
      <c r="C84" s="1"/>
      <c r="D84" s="70">
        <f>'Monthly Forecast'!Y83</f>
        <v>402</v>
      </c>
      <c r="E84" s="70">
        <f>'Monthly Forecast'!Z83</f>
        <v>229.9</v>
      </c>
      <c r="F84" s="70">
        <f>'Monthly Forecast'!AA83</f>
        <v>310.8</v>
      </c>
      <c r="G84" s="70">
        <f>'Monthly Forecast'!AB83</f>
        <v>345.5</v>
      </c>
      <c r="H84" s="70">
        <f>'Monthly Forecast'!AC83</f>
        <v>318.29999999999995</v>
      </c>
      <c r="I84" s="70">
        <f>'Monthly Forecast'!AD83</f>
        <v>281.60000000000002</v>
      </c>
      <c r="J84" s="70">
        <f>'Monthly Forecast'!AE83</f>
        <v>379.4</v>
      </c>
      <c r="K84" s="70">
        <f>'Monthly Forecast'!AF83</f>
        <v>323.10000000000002</v>
      </c>
      <c r="L84" s="70">
        <f>'Monthly Forecast'!AG83</f>
        <v>226.7</v>
      </c>
      <c r="M84" s="70">
        <f>'Monthly Forecast'!AH83</f>
        <v>303.10000000000002</v>
      </c>
      <c r="N84" s="70">
        <f>'Monthly Forecast'!AI83</f>
        <v>315.3</v>
      </c>
      <c r="O84" s="70">
        <f>'Monthly Forecast'!AJ83</f>
        <v>247.9</v>
      </c>
      <c r="P84" s="3">
        <f t="shared" si="28"/>
        <v>3683.6</v>
      </c>
      <c r="Q84" s="70">
        <f>P84</f>
        <v>3683.6</v>
      </c>
      <c r="R84" s="604">
        <f>Q84-'Bill Frequency'!R72</f>
        <v>0</v>
      </c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</row>
    <row r="85" spans="1:91" x14ac:dyDescent="0.2">
      <c r="A85" s="4">
        <v>74</v>
      </c>
      <c r="B85" s="1" t="s">
        <v>46</v>
      </c>
      <c r="C85" s="14">
        <f>'Monthly Forecast'!C84</f>
        <v>0.877</v>
      </c>
      <c r="D85" s="70">
        <f>'Monthly Forecast'!Y84</f>
        <v>429475</v>
      </c>
      <c r="E85" s="70">
        <f>'Monthly Forecast'!Z84</f>
        <v>388379</v>
      </c>
      <c r="F85" s="70">
        <f>'Monthly Forecast'!AA84</f>
        <v>413453</v>
      </c>
      <c r="G85" s="70">
        <f>'Monthly Forecast'!AB84</f>
        <v>408790</v>
      </c>
      <c r="H85" s="70">
        <f>'Monthly Forecast'!AC84</f>
        <v>466856</v>
      </c>
      <c r="I85" s="70">
        <f>'Monthly Forecast'!AD84</f>
        <v>483708</v>
      </c>
      <c r="J85" s="70">
        <f>'Monthly Forecast'!AE84</f>
        <v>481947</v>
      </c>
      <c r="K85" s="70">
        <f>'Monthly Forecast'!AF84</f>
        <v>484717</v>
      </c>
      <c r="L85" s="70">
        <f>'Monthly Forecast'!AG84</f>
        <v>471016</v>
      </c>
      <c r="M85" s="70">
        <f>'Monthly Forecast'!AH84</f>
        <v>465642</v>
      </c>
      <c r="N85" s="70">
        <f>'Monthly Forecast'!AI84</f>
        <v>452077</v>
      </c>
      <c r="O85" s="70">
        <f>'Monthly Forecast'!AJ84</f>
        <v>436031</v>
      </c>
      <c r="P85" s="6">
        <f t="shared" si="28"/>
        <v>5382091.8770000003</v>
      </c>
      <c r="Q85" s="70">
        <f>P85*C85</f>
        <v>4720094.5761290006</v>
      </c>
      <c r="R85" s="604">
        <f>Q85-'Bill Frequency'!R73</f>
        <v>252247.01712900028</v>
      </c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</row>
    <row r="86" spans="1:91" x14ac:dyDescent="0.2">
      <c r="A86" s="4">
        <v>75</v>
      </c>
      <c r="B86" s="1" t="s">
        <v>47</v>
      </c>
      <c r="C86" s="14">
        <f>'Monthly Forecast'!C85</f>
        <v>0.58840000000000003</v>
      </c>
      <c r="D86" s="70">
        <f>'Monthly Forecast'!Y85</f>
        <v>176643</v>
      </c>
      <c r="E86" s="70">
        <f>'Monthly Forecast'!Z85</f>
        <v>177313</v>
      </c>
      <c r="F86" s="70">
        <f>'Monthly Forecast'!AA85</f>
        <v>214564</v>
      </c>
      <c r="G86" s="70">
        <f>'Monthly Forecast'!AB85</f>
        <v>195121</v>
      </c>
      <c r="H86" s="70">
        <f>'Monthly Forecast'!AC85</f>
        <v>229216</v>
      </c>
      <c r="I86" s="70">
        <f>'Monthly Forecast'!AD85</f>
        <v>238740</v>
      </c>
      <c r="J86" s="70">
        <f>'Monthly Forecast'!AE85</f>
        <v>236537</v>
      </c>
      <c r="K86" s="70">
        <f>'Monthly Forecast'!AF85</f>
        <v>287540</v>
      </c>
      <c r="L86" s="70">
        <f>'Monthly Forecast'!AG85</f>
        <v>247496</v>
      </c>
      <c r="M86" s="70">
        <f>'Monthly Forecast'!AH85</f>
        <v>269084</v>
      </c>
      <c r="N86" s="70">
        <f>'Monthly Forecast'!AI85</f>
        <v>192680</v>
      </c>
      <c r="O86" s="70">
        <f>'Monthly Forecast'!AJ85</f>
        <v>197844</v>
      </c>
      <c r="P86" s="6">
        <f t="shared" si="28"/>
        <v>2662778.5883999998</v>
      </c>
      <c r="Q86" s="70">
        <f>P86*C86</f>
        <v>1566778.9214145599</v>
      </c>
      <c r="R86" s="604">
        <f>Q86-'Bill Frequency'!R74</f>
        <v>37825.051814559847</v>
      </c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</row>
    <row r="87" spans="1:91" x14ac:dyDescent="0.2">
      <c r="A87" s="4">
        <v>76</v>
      </c>
      <c r="B87" s="32" t="s">
        <v>79</v>
      </c>
      <c r="C87" s="32"/>
      <c r="D87" s="31">
        <f t="shared" ref="D87:P87" si="29">D85+D86</f>
        <v>606118</v>
      </c>
      <c r="E87" s="31">
        <f t="shared" si="29"/>
        <v>565692</v>
      </c>
      <c r="F87" s="31">
        <f t="shared" si="29"/>
        <v>628017</v>
      </c>
      <c r="G87" s="31">
        <f t="shared" si="29"/>
        <v>603911</v>
      </c>
      <c r="H87" s="31">
        <f t="shared" si="29"/>
        <v>696072</v>
      </c>
      <c r="I87" s="31">
        <f t="shared" si="29"/>
        <v>722448</v>
      </c>
      <c r="J87" s="31">
        <f t="shared" si="29"/>
        <v>718484</v>
      </c>
      <c r="K87" s="31">
        <f t="shared" si="29"/>
        <v>772257</v>
      </c>
      <c r="L87" s="31">
        <f t="shared" si="29"/>
        <v>718512</v>
      </c>
      <c r="M87" s="31">
        <f t="shared" si="29"/>
        <v>734726</v>
      </c>
      <c r="N87" s="31">
        <f t="shared" si="29"/>
        <v>644757</v>
      </c>
      <c r="O87" s="31">
        <f t="shared" si="29"/>
        <v>633875</v>
      </c>
      <c r="P87" s="31">
        <f t="shared" si="29"/>
        <v>8044870.4654000001</v>
      </c>
      <c r="Q87" s="31">
        <f>SUM(Q81:Q86)</f>
        <v>6705206.17754356</v>
      </c>
      <c r="R87" s="604">
        <f>Q87-'Bill Frequency'!R75</f>
        <v>299834.0789435599</v>
      </c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</row>
    <row r="88" spans="1:91" x14ac:dyDescent="0.2">
      <c r="A88" s="4">
        <v>77</v>
      </c>
      <c r="B88" s="1"/>
      <c r="C88" s="1"/>
      <c r="D88" s="4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R88" s="210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</row>
    <row r="89" spans="1:91" x14ac:dyDescent="0.2">
      <c r="A89" s="4">
        <v>78</v>
      </c>
      <c r="B89" s="171" t="s">
        <v>90</v>
      </c>
      <c r="C89" s="1"/>
      <c r="D89" s="101">
        <f t="shared" ref="D89:O89" si="30">D90*$C$90+D91+D92+D93+D95</f>
        <v>198243.80750000002</v>
      </c>
      <c r="E89" s="101">
        <f t="shared" si="30"/>
        <v>198681.44750000004</v>
      </c>
      <c r="F89" s="101">
        <f t="shared" si="30"/>
        <v>207453.83249999999</v>
      </c>
      <c r="G89" s="101">
        <f t="shared" si="30"/>
        <v>197356.58499999999</v>
      </c>
      <c r="H89" s="101">
        <f t="shared" si="30"/>
        <v>213502.51250000004</v>
      </c>
      <c r="I89" s="101">
        <f t="shared" si="30"/>
        <v>225558.07250000001</v>
      </c>
      <c r="J89" s="101">
        <f t="shared" si="30"/>
        <v>235550.01249999998</v>
      </c>
      <c r="K89" s="101">
        <f t="shared" si="30"/>
        <v>252288.6275</v>
      </c>
      <c r="L89" s="101">
        <f t="shared" si="30"/>
        <v>241810.63249999995</v>
      </c>
      <c r="M89" s="101">
        <f t="shared" si="30"/>
        <v>227856.71499999997</v>
      </c>
      <c r="N89" s="101">
        <f t="shared" si="30"/>
        <v>214959.52000000002</v>
      </c>
      <c r="O89" s="101">
        <f t="shared" si="30"/>
        <v>205466.29249999998</v>
      </c>
      <c r="P89" s="102">
        <f t="shared" ref="P89:P95" si="31">SUM(C89:O89)</f>
        <v>2618728.0574999996</v>
      </c>
      <c r="Q89" s="101"/>
      <c r="R89" s="210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</row>
    <row r="90" spans="1:91" x14ac:dyDescent="0.2">
      <c r="A90" s="4">
        <v>79</v>
      </c>
      <c r="B90" s="1" t="s">
        <v>87</v>
      </c>
      <c r="C90" s="99">
        <f>'Monthly Forecast'!C89</f>
        <v>350</v>
      </c>
      <c r="D90" s="70">
        <f>'Monthly Forecast'!Y89</f>
        <v>15</v>
      </c>
      <c r="E90" s="70">
        <f>'Monthly Forecast'!Z89</f>
        <v>15</v>
      </c>
      <c r="F90" s="70">
        <f>'Monthly Forecast'!AA89</f>
        <v>15</v>
      </c>
      <c r="G90" s="70">
        <f>'Monthly Forecast'!AB89</f>
        <v>15</v>
      </c>
      <c r="H90" s="70">
        <f>'Monthly Forecast'!AC89</f>
        <v>15</v>
      </c>
      <c r="I90" s="70">
        <f>'Monthly Forecast'!AD89</f>
        <v>15</v>
      </c>
      <c r="J90" s="70">
        <f>'Monthly Forecast'!AE89</f>
        <v>15</v>
      </c>
      <c r="K90" s="70">
        <f>'Monthly Forecast'!AF89</f>
        <v>15</v>
      </c>
      <c r="L90" s="70">
        <f>'Monthly Forecast'!AG89</f>
        <v>15</v>
      </c>
      <c r="M90" s="70">
        <f>'Monthly Forecast'!AH89</f>
        <v>15</v>
      </c>
      <c r="N90" s="70">
        <f>'Monthly Forecast'!AI89</f>
        <v>15</v>
      </c>
      <c r="O90" s="70">
        <f>'Monthly Forecast'!AJ89</f>
        <v>15</v>
      </c>
      <c r="P90" s="6">
        <f>SUM(D90:O90)</f>
        <v>180</v>
      </c>
      <c r="Q90" s="70">
        <f>P90*C90</f>
        <v>63000</v>
      </c>
      <c r="R90" s="604">
        <f>Q90-'Bill Frequency'!R78</f>
        <v>-8400</v>
      </c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</row>
    <row r="91" spans="1:91" x14ac:dyDescent="0.2">
      <c r="A91" s="4">
        <v>80</v>
      </c>
      <c r="B91" s="1" t="s">
        <v>1</v>
      </c>
      <c r="C91" s="1"/>
      <c r="D91" s="70">
        <f>'Monthly Forecast'!Y90</f>
        <v>750</v>
      </c>
      <c r="E91" s="70">
        <f>'Monthly Forecast'!Z90</f>
        <v>750</v>
      </c>
      <c r="F91" s="70">
        <f>'Monthly Forecast'!AA90</f>
        <v>750</v>
      </c>
      <c r="G91" s="70">
        <f>'Monthly Forecast'!AB90</f>
        <v>750</v>
      </c>
      <c r="H91" s="70">
        <f>'Monthly Forecast'!AC90</f>
        <v>750</v>
      </c>
      <c r="I91" s="70">
        <f>'Monthly Forecast'!AD90</f>
        <v>750</v>
      </c>
      <c r="J91" s="70">
        <f>'Monthly Forecast'!AE90</f>
        <v>750</v>
      </c>
      <c r="K91" s="70">
        <f>'Monthly Forecast'!AF90</f>
        <v>750</v>
      </c>
      <c r="L91" s="70">
        <f>'Monthly Forecast'!AG90</f>
        <v>750</v>
      </c>
      <c r="M91" s="70">
        <f>'Monthly Forecast'!AH90</f>
        <v>750</v>
      </c>
      <c r="N91" s="70">
        <f>'Monthly Forecast'!AI90</f>
        <v>750</v>
      </c>
      <c r="O91" s="70">
        <f>'Monthly Forecast'!AJ90</f>
        <v>750</v>
      </c>
      <c r="P91" s="3">
        <f t="shared" si="31"/>
        <v>9000</v>
      </c>
      <c r="Q91" s="70">
        <f>P91</f>
        <v>9000</v>
      </c>
      <c r="R91" s="604">
        <f>Q91-'Bill Frequency'!R79</f>
        <v>-1200</v>
      </c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26"/>
      <c r="BM91" s="126"/>
      <c r="BN91" s="126"/>
      <c r="BO91" s="126"/>
      <c r="BP91" s="126"/>
      <c r="BQ91" s="126"/>
      <c r="BR91" s="126"/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</row>
    <row r="92" spans="1:91" x14ac:dyDescent="0.2">
      <c r="A92" s="4">
        <v>81</v>
      </c>
      <c r="B92" s="1" t="s">
        <v>62</v>
      </c>
      <c r="C92" s="1"/>
      <c r="D92" s="70">
        <f>'Monthly Forecast'!Y91</f>
        <v>700</v>
      </c>
      <c r="E92" s="70">
        <f>'Monthly Forecast'!Z91</f>
        <v>700</v>
      </c>
      <c r="F92" s="70">
        <f>'Monthly Forecast'!AA91</f>
        <v>700</v>
      </c>
      <c r="G92" s="70">
        <f>'Monthly Forecast'!AB91</f>
        <v>700</v>
      </c>
      <c r="H92" s="70">
        <f>'Monthly Forecast'!AC91</f>
        <v>700</v>
      </c>
      <c r="I92" s="70">
        <f>'Monthly Forecast'!AD91</f>
        <v>700</v>
      </c>
      <c r="J92" s="70">
        <f>'Monthly Forecast'!AE91</f>
        <v>700</v>
      </c>
      <c r="K92" s="70">
        <f>'Monthly Forecast'!AF91</f>
        <v>700</v>
      </c>
      <c r="L92" s="70">
        <f>'Monthly Forecast'!AG91</f>
        <v>700</v>
      </c>
      <c r="M92" s="70">
        <f>'Monthly Forecast'!AH91</f>
        <v>700</v>
      </c>
      <c r="N92" s="70">
        <f>'Monthly Forecast'!AI91</f>
        <v>700</v>
      </c>
      <c r="O92" s="70">
        <f>'Monthly Forecast'!AJ91</f>
        <v>700</v>
      </c>
      <c r="P92" s="3">
        <f t="shared" si="31"/>
        <v>8400</v>
      </c>
      <c r="Q92" s="70">
        <f>P92</f>
        <v>8400</v>
      </c>
      <c r="R92" s="604">
        <f>Q92-'Bill Frequency'!R80</f>
        <v>-1800</v>
      </c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6"/>
      <c r="BL92" s="126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6"/>
      <c r="BX92" s="126"/>
      <c r="BY92" s="126"/>
      <c r="BZ92" s="126"/>
      <c r="CA92" s="126"/>
      <c r="CB92" s="126"/>
      <c r="CC92" s="126"/>
      <c r="CD92" s="126"/>
      <c r="CE92" s="126"/>
      <c r="CF92" s="126"/>
      <c r="CG92" s="126"/>
      <c r="CH92" s="126"/>
      <c r="CI92" s="126"/>
      <c r="CJ92" s="126"/>
      <c r="CK92" s="126"/>
      <c r="CL92" s="126"/>
      <c r="CM92" s="126"/>
    </row>
    <row r="93" spans="1:91" x14ac:dyDescent="0.2">
      <c r="A93" s="4">
        <v>82</v>
      </c>
      <c r="B93" s="1" t="s">
        <v>2</v>
      </c>
      <c r="C93" s="1"/>
      <c r="D93" s="70">
        <f>'Monthly Forecast'!Y92</f>
        <v>7314.7999999999993</v>
      </c>
      <c r="E93" s="70">
        <f>'Monthly Forecast'!Z92</f>
        <v>4248.3999999999996</v>
      </c>
      <c r="F93" s="70">
        <f>'Monthly Forecast'!AA92</f>
        <v>8166.9</v>
      </c>
      <c r="G93" s="70">
        <f>'Monthly Forecast'!AB92</f>
        <v>5302.8</v>
      </c>
      <c r="H93" s="70">
        <f>'Monthly Forecast'!AC92</f>
        <v>4009.6000000000004</v>
      </c>
      <c r="I93" s="70">
        <f>'Monthly Forecast'!AD92</f>
        <v>11880.3</v>
      </c>
      <c r="J93" s="70">
        <f>'Monthly Forecast'!AE92</f>
        <v>13347.599999999999</v>
      </c>
      <c r="K93" s="70">
        <f>'Monthly Forecast'!AF92</f>
        <v>9687.6999999999989</v>
      </c>
      <c r="L93" s="70">
        <f>'Monthly Forecast'!AG92</f>
        <v>7007.9000000000005</v>
      </c>
      <c r="M93" s="70">
        <f>'Monthly Forecast'!AH92</f>
        <v>8230.7999999999993</v>
      </c>
      <c r="N93" s="70">
        <f>'Monthly Forecast'!AI92</f>
        <v>4601.3</v>
      </c>
      <c r="O93" s="70">
        <f>'Monthly Forecast'!AJ92</f>
        <v>8004.5</v>
      </c>
      <c r="P93" s="3">
        <f t="shared" si="31"/>
        <v>91802.6</v>
      </c>
      <c r="Q93" s="70">
        <f>P93</f>
        <v>91802.6</v>
      </c>
      <c r="R93" s="604">
        <f>Q93-'Bill Frequency'!R81</f>
        <v>0</v>
      </c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</row>
    <row r="94" spans="1:91" x14ac:dyDescent="0.2">
      <c r="A94" s="4">
        <v>83</v>
      </c>
      <c r="B94" s="1" t="s">
        <v>91</v>
      </c>
      <c r="C94" s="69" t="s">
        <v>61</v>
      </c>
      <c r="D94" s="70">
        <f>'Monthly Forecast'!Y93</f>
        <v>1109174</v>
      </c>
      <c r="E94" s="70">
        <f>'Monthly Forecast'!Z93</f>
        <v>1125907</v>
      </c>
      <c r="F94" s="70">
        <f>'Monthly Forecast'!AA93</f>
        <v>1134520</v>
      </c>
      <c r="G94" s="70">
        <f>'Monthly Forecast'!AB93</f>
        <v>1120717</v>
      </c>
      <c r="H94" s="70">
        <f>'Monthly Forecast'!AC93</f>
        <v>1161721</v>
      </c>
      <c r="I94" s="70">
        <f>'Monthly Forecast'!AD93</f>
        <v>1213200</v>
      </c>
      <c r="J94" s="70">
        <f>'Monthly Forecast'!AE93</f>
        <v>1264580</v>
      </c>
      <c r="K94" s="70">
        <f>'Monthly Forecast'!AF93</f>
        <v>1356515</v>
      </c>
      <c r="L94" s="70">
        <f>'Monthly Forecast'!AG93</f>
        <v>1329401</v>
      </c>
      <c r="M94" s="70">
        <f>'Monthly Forecast'!AH93</f>
        <v>1281922</v>
      </c>
      <c r="N94" s="70">
        <f>'Monthly Forecast'!AI93</f>
        <v>1164880</v>
      </c>
      <c r="O94" s="70">
        <f>'Monthly Forecast'!AJ93</f>
        <v>1118519</v>
      </c>
      <c r="P94" s="6">
        <f t="shared" si="31"/>
        <v>14381056</v>
      </c>
      <c r="Q94" s="70"/>
      <c r="R94" s="604">
        <f>Q94-'Bill Frequency'!R82</f>
        <v>0</v>
      </c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</row>
    <row r="95" spans="1:91" x14ac:dyDescent="0.2">
      <c r="A95" s="4">
        <v>84</v>
      </c>
      <c r="B95" s="1" t="s">
        <v>92</v>
      </c>
      <c r="C95" s="69"/>
      <c r="D95" s="70">
        <f>'Monthly Forecast'!Y94</f>
        <v>184229.00750000004</v>
      </c>
      <c r="E95" s="70">
        <f>'Monthly Forecast'!Z94</f>
        <v>187733.04750000004</v>
      </c>
      <c r="F95" s="70">
        <f>'Monthly Forecast'!AA94</f>
        <v>192586.9325</v>
      </c>
      <c r="G95" s="70">
        <f>'Monthly Forecast'!AB94</f>
        <v>185353.785</v>
      </c>
      <c r="H95" s="70">
        <f>'Monthly Forecast'!AC94</f>
        <v>202792.91250000003</v>
      </c>
      <c r="I95" s="70">
        <f>'Monthly Forecast'!AD94</f>
        <v>206977.77250000002</v>
      </c>
      <c r="J95" s="70">
        <f>'Monthly Forecast'!AE94</f>
        <v>215502.41249999998</v>
      </c>
      <c r="K95" s="70">
        <f>'Monthly Forecast'!AF94</f>
        <v>235900.92749999999</v>
      </c>
      <c r="L95" s="70">
        <f>'Monthly Forecast'!AG94</f>
        <v>228102.73249999995</v>
      </c>
      <c r="M95" s="70">
        <f>'Monthly Forecast'!AH94</f>
        <v>212925.91499999998</v>
      </c>
      <c r="N95" s="70">
        <f>'Monthly Forecast'!AI94</f>
        <v>203658.22000000003</v>
      </c>
      <c r="O95" s="70">
        <f>'Monthly Forecast'!AJ94</f>
        <v>190761.79249999998</v>
      </c>
      <c r="P95" s="3">
        <f t="shared" si="31"/>
        <v>2446525.4575</v>
      </c>
      <c r="Q95" s="70">
        <f>P95</f>
        <v>2446525.4575</v>
      </c>
      <c r="R95" s="604">
        <f>Q95-'Bill Frequency'!R83</f>
        <v>943083.45750000002</v>
      </c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</row>
    <row r="96" spans="1:91" x14ac:dyDescent="0.2">
      <c r="A96" s="4">
        <v>85</v>
      </c>
      <c r="B96" s="32" t="s">
        <v>79</v>
      </c>
      <c r="C96" s="32"/>
      <c r="D96" s="31">
        <f t="shared" ref="D96:P96" si="32">D94</f>
        <v>1109174</v>
      </c>
      <c r="E96" s="31">
        <f t="shared" si="32"/>
        <v>1125907</v>
      </c>
      <c r="F96" s="31">
        <f t="shared" si="32"/>
        <v>1134520</v>
      </c>
      <c r="G96" s="31">
        <f t="shared" si="32"/>
        <v>1120717</v>
      </c>
      <c r="H96" s="31">
        <f t="shared" si="32"/>
        <v>1161721</v>
      </c>
      <c r="I96" s="31">
        <f t="shared" si="32"/>
        <v>1213200</v>
      </c>
      <c r="J96" s="31">
        <f t="shared" si="32"/>
        <v>1264580</v>
      </c>
      <c r="K96" s="31">
        <f t="shared" si="32"/>
        <v>1356515</v>
      </c>
      <c r="L96" s="31">
        <f t="shared" si="32"/>
        <v>1329401</v>
      </c>
      <c r="M96" s="31">
        <f t="shared" si="32"/>
        <v>1281922</v>
      </c>
      <c r="N96" s="31">
        <f t="shared" si="32"/>
        <v>1164880</v>
      </c>
      <c r="O96" s="31">
        <f t="shared" si="32"/>
        <v>1118519</v>
      </c>
      <c r="P96" s="31">
        <f t="shared" si="32"/>
        <v>14381056</v>
      </c>
      <c r="Q96" s="31">
        <f>SUM(Q90:Q95)</f>
        <v>2618728.0575000001</v>
      </c>
      <c r="R96" s="604">
        <f>Q96-'Bill Frequency'!R84</f>
        <v>931683.45750000002</v>
      </c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</row>
    <row r="97" spans="1:91" x14ac:dyDescent="0.2">
      <c r="A97" s="4">
        <v>86</v>
      </c>
      <c r="B97" s="1"/>
      <c r="C97" s="1"/>
      <c r="D97" s="6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R97" s="210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26"/>
      <c r="BM97" s="126"/>
      <c r="BN97" s="126"/>
      <c r="BO97" s="126"/>
      <c r="BP97" s="126"/>
      <c r="BQ97" s="126"/>
      <c r="BR97" s="126"/>
      <c r="BS97" s="126"/>
      <c r="BT97" s="126"/>
      <c r="BU97" s="126"/>
      <c r="BV97" s="126"/>
      <c r="BW97" s="126"/>
      <c r="BX97" s="126"/>
      <c r="BY97" s="126"/>
      <c r="BZ97" s="126"/>
      <c r="CA97" s="126"/>
      <c r="CB97" s="126"/>
      <c r="CC97" s="126"/>
      <c r="CD97" s="126"/>
      <c r="CE97" s="126"/>
      <c r="CF97" s="126"/>
      <c r="CG97" s="126"/>
      <c r="CH97" s="126"/>
      <c r="CI97" s="126"/>
      <c r="CJ97" s="126"/>
      <c r="CK97" s="126"/>
      <c r="CL97" s="126"/>
      <c r="CM97" s="126"/>
    </row>
    <row r="98" spans="1:91" x14ac:dyDescent="0.2">
      <c r="A98" s="4">
        <v>87</v>
      </c>
      <c r="B98" s="1" t="s">
        <v>321</v>
      </c>
      <c r="C98" s="1"/>
      <c r="D98" s="6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R98" s="210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6"/>
      <c r="BM98" s="126"/>
      <c r="BN98" s="126"/>
      <c r="BO98" s="126"/>
      <c r="BP98" s="126"/>
      <c r="BQ98" s="126"/>
      <c r="BR98" s="126"/>
      <c r="BS98" s="126"/>
      <c r="BT98" s="126"/>
      <c r="BU98" s="126"/>
      <c r="BV98" s="126"/>
      <c r="BW98" s="126"/>
      <c r="BX98" s="126"/>
      <c r="BY98" s="126"/>
      <c r="BZ98" s="126"/>
      <c r="CA98" s="126"/>
      <c r="CB98" s="126"/>
      <c r="CC98" s="126"/>
      <c r="CD98" s="126"/>
      <c r="CE98" s="126"/>
      <c r="CF98" s="126"/>
      <c r="CG98" s="126"/>
      <c r="CH98" s="126"/>
      <c r="CI98" s="126"/>
      <c r="CJ98" s="126"/>
      <c r="CK98" s="126"/>
      <c r="CL98" s="126"/>
      <c r="CM98" s="126"/>
    </row>
    <row r="99" spans="1:91" x14ac:dyDescent="0.2">
      <c r="A99" s="4">
        <v>88</v>
      </c>
      <c r="B99" s="1" t="s">
        <v>322</v>
      </c>
      <c r="C99" s="1"/>
      <c r="D99" s="60">
        <f>'Monthly Forecast'!Y98</f>
        <v>53147</v>
      </c>
      <c r="E99" s="60">
        <f>'Monthly Forecast'!Z98</f>
        <v>52352</v>
      </c>
      <c r="F99" s="60">
        <f>'Monthly Forecast'!AA98</f>
        <v>49875</v>
      </c>
      <c r="G99" s="60">
        <f>'Monthly Forecast'!AB98</f>
        <v>61445</v>
      </c>
      <c r="H99" s="60">
        <f>'Monthly Forecast'!AC98</f>
        <v>120749</v>
      </c>
      <c r="I99" s="60">
        <f>'Monthly Forecast'!AD98</f>
        <v>125695</v>
      </c>
      <c r="J99" s="60">
        <f>'Monthly Forecast'!AE98</f>
        <v>56798</v>
      </c>
      <c r="K99" s="60">
        <f>'Monthly Forecast'!AF98</f>
        <v>53861</v>
      </c>
      <c r="L99" s="60">
        <f>'Monthly Forecast'!AG98</f>
        <v>48764</v>
      </c>
      <c r="M99" s="60">
        <f>'Monthly Forecast'!AH98</f>
        <v>61274</v>
      </c>
      <c r="N99" s="60">
        <f>'Monthly Forecast'!AI98</f>
        <v>55115</v>
      </c>
      <c r="O99" s="60">
        <f>'Monthly Forecast'!AJ98</f>
        <v>56750</v>
      </c>
      <c r="P99" s="60">
        <f>SUM(D99:O99)</f>
        <v>795825</v>
      </c>
      <c r="Q99" s="60"/>
      <c r="R99" s="210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  <c r="CE99" s="126"/>
      <c r="CF99" s="126"/>
      <c r="CG99" s="126"/>
      <c r="CH99" s="126"/>
      <c r="CI99" s="126"/>
      <c r="CJ99" s="126"/>
      <c r="CK99" s="126"/>
      <c r="CL99" s="126"/>
      <c r="CM99" s="126"/>
    </row>
    <row r="100" spans="1:91" x14ac:dyDescent="0.2">
      <c r="A100" s="4">
        <v>89</v>
      </c>
      <c r="B100" s="1" t="s">
        <v>99</v>
      </c>
      <c r="C100" s="1"/>
      <c r="D100" s="60">
        <f>'Monthly Forecast'!Y99</f>
        <v>64359.484880450655</v>
      </c>
      <c r="E100" s="60">
        <f>'Monthly Forecast'!Z99</f>
        <v>50430.816667139916</v>
      </c>
      <c r="F100" s="60">
        <f>'Monthly Forecast'!AA99</f>
        <v>46693.460565744826</v>
      </c>
      <c r="G100" s="60">
        <f>'Monthly Forecast'!AB99</f>
        <v>45925.383208012761</v>
      </c>
      <c r="H100" s="60">
        <f>'Monthly Forecast'!AC99</f>
        <v>46253.95138550202</v>
      </c>
      <c r="I100" s="60">
        <f>'Monthly Forecast'!AD99</f>
        <v>58211.918307893335</v>
      </c>
      <c r="J100" s="60">
        <f>'Monthly Forecast'!AE99</f>
        <v>99267.594643623204</v>
      </c>
      <c r="K100" s="60">
        <f>'Monthly Forecast'!AF99</f>
        <v>148251.73521202765</v>
      </c>
      <c r="L100" s="60">
        <f>'Monthly Forecast'!AG99</f>
        <v>168154.64563045249</v>
      </c>
      <c r="M100" s="60">
        <f>'Monthly Forecast'!AH99</f>
        <v>162432.45197172367</v>
      </c>
      <c r="N100" s="60">
        <f>'Monthly Forecast'!AI99</f>
        <v>152013.47087655027</v>
      </c>
      <c r="O100" s="60">
        <f>'Monthly Forecast'!AJ99</f>
        <v>98892.265646552856</v>
      </c>
      <c r="P100" s="60">
        <f>SUM(D100:O100)</f>
        <v>1140887.1789956738</v>
      </c>
      <c r="Q100" s="60"/>
      <c r="R100" s="210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 s="126"/>
      <c r="CF100" s="126"/>
      <c r="CG100" s="126"/>
      <c r="CH100" s="126"/>
      <c r="CI100" s="126"/>
      <c r="CJ100" s="126"/>
      <c r="CK100" s="126"/>
      <c r="CL100" s="126"/>
      <c r="CM100" s="126"/>
    </row>
    <row r="101" spans="1:91" x14ac:dyDescent="0.2">
      <c r="A101" s="4">
        <v>90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R101" s="210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 s="126"/>
      <c r="CF101" s="126"/>
      <c r="CG101" s="126"/>
      <c r="CH101" s="126"/>
      <c r="CI101" s="126"/>
      <c r="CJ101" s="126"/>
      <c r="CK101" s="126"/>
      <c r="CL101" s="126"/>
      <c r="CM101" s="126"/>
    </row>
    <row r="102" spans="1:91" x14ac:dyDescent="0.2">
      <c r="A102" s="4">
        <v>91</v>
      </c>
      <c r="B102" s="172" t="s">
        <v>323</v>
      </c>
      <c r="C102" s="1"/>
      <c r="D102" s="60">
        <f>D108+D99+D100</f>
        <v>5809922.4540863642</v>
      </c>
      <c r="E102" s="60">
        <f t="shared" ref="E102:O102" si="33">E108+E99+E100</f>
        <v>5597374.309774762</v>
      </c>
      <c r="F102" s="60">
        <f t="shared" si="33"/>
        <v>5589634.0856856974</v>
      </c>
      <c r="G102" s="60">
        <f t="shared" si="33"/>
        <v>5563686.6540078353</v>
      </c>
      <c r="H102" s="60">
        <f t="shared" si="33"/>
        <v>6141449.546594847</v>
      </c>
      <c r="I102" s="60">
        <f t="shared" si="33"/>
        <v>7473813.6699058283</v>
      </c>
      <c r="J102" s="60">
        <f t="shared" si="33"/>
        <v>8985519.7861996684</v>
      </c>
      <c r="K102" s="60">
        <f t="shared" si="33"/>
        <v>9772427.3792178426</v>
      </c>
      <c r="L102" s="60">
        <f t="shared" si="33"/>
        <v>9230514.5556069016</v>
      </c>
      <c r="M102" s="60">
        <f t="shared" si="33"/>
        <v>9534436.3410003837</v>
      </c>
      <c r="N102" s="60">
        <f t="shared" si="33"/>
        <v>7424679.915843891</v>
      </c>
      <c r="O102" s="60">
        <f t="shared" si="33"/>
        <v>6303020.0840416839</v>
      </c>
      <c r="P102" s="60">
        <f>SUM(D102:O102)</f>
        <v>87426478.781965703</v>
      </c>
      <c r="Q102" s="70"/>
      <c r="R102" s="210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6"/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6"/>
      <c r="CJ102" s="126"/>
      <c r="CK102" s="126"/>
      <c r="CL102" s="126"/>
      <c r="CM102" s="126"/>
    </row>
    <row r="103" spans="1:91" x14ac:dyDescent="0.2">
      <c r="A103" s="4">
        <v>92</v>
      </c>
      <c r="B103" s="1" t="s">
        <v>229</v>
      </c>
      <c r="C103" s="1"/>
      <c r="D103" s="60">
        <f t="shared" ref="D103:O103" si="34">D62+D54+D46+D37+D28+D19</f>
        <v>2113849.5648995508</v>
      </c>
      <c r="E103" s="60">
        <f t="shared" si="34"/>
        <v>1707940.8674351822</v>
      </c>
      <c r="F103" s="60">
        <f t="shared" si="34"/>
        <v>1738084.7627984323</v>
      </c>
      <c r="G103" s="60">
        <f t="shared" si="34"/>
        <v>1745311.9617956677</v>
      </c>
      <c r="H103" s="60">
        <f t="shared" si="34"/>
        <v>2944013.037562144</v>
      </c>
      <c r="I103" s="60">
        <f t="shared" si="34"/>
        <v>6971277.0486483565</v>
      </c>
      <c r="J103" s="60">
        <f t="shared" si="34"/>
        <v>11854748.194883922</v>
      </c>
      <c r="K103" s="60">
        <f t="shared" si="34"/>
        <v>13940763.023727167</v>
      </c>
      <c r="L103" s="60">
        <f t="shared" si="34"/>
        <v>13559963.841834718</v>
      </c>
      <c r="M103" s="60">
        <f t="shared" si="34"/>
        <v>12228924.995742612</v>
      </c>
      <c r="N103" s="60">
        <f t="shared" si="34"/>
        <v>6869654.7837143922</v>
      </c>
      <c r="O103" s="60">
        <f t="shared" si="34"/>
        <v>3703644.6074125073</v>
      </c>
      <c r="P103" s="60">
        <f>SUM(D103:O103)</f>
        <v>79378176.690454647</v>
      </c>
      <c r="Q103" s="70"/>
      <c r="R103" s="210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26"/>
      <c r="BM103" s="126"/>
      <c r="BN103" s="126"/>
      <c r="BO103" s="126"/>
      <c r="BP103" s="126"/>
      <c r="BQ103" s="126"/>
      <c r="BR103" s="126"/>
      <c r="BS103" s="126"/>
      <c r="BT103" s="126"/>
      <c r="BU103" s="126"/>
      <c r="BV103" s="126"/>
      <c r="BW103" s="126"/>
      <c r="BX103" s="126"/>
      <c r="BY103" s="126"/>
      <c r="BZ103" s="126"/>
      <c r="CA103" s="126"/>
      <c r="CB103" s="126"/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</row>
    <row r="104" spans="1:91" x14ac:dyDescent="0.2">
      <c r="A104" s="4">
        <v>93</v>
      </c>
      <c r="B104" s="172" t="s">
        <v>324</v>
      </c>
      <c r="C104" s="1"/>
      <c r="D104" s="60">
        <f>D102+D103</f>
        <v>7923772.018985915</v>
      </c>
      <c r="E104" s="60">
        <f t="shared" ref="E104:O104" si="35">E102+E103</f>
        <v>7305315.1772099445</v>
      </c>
      <c r="F104" s="60">
        <f t="shared" si="35"/>
        <v>7327718.8484841296</v>
      </c>
      <c r="G104" s="60">
        <f t="shared" si="35"/>
        <v>7308998.6158035025</v>
      </c>
      <c r="H104" s="60">
        <f t="shared" si="35"/>
        <v>9085462.5841569901</v>
      </c>
      <c r="I104" s="60">
        <f t="shared" si="35"/>
        <v>14445090.718554184</v>
      </c>
      <c r="J104" s="60">
        <f t="shared" si="35"/>
        <v>20840267.981083591</v>
      </c>
      <c r="K104" s="60">
        <f t="shared" si="35"/>
        <v>23713190.402945012</v>
      </c>
      <c r="L104" s="60">
        <f t="shared" si="35"/>
        <v>22790478.397441618</v>
      </c>
      <c r="M104" s="60">
        <f t="shared" si="35"/>
        <v>21763361.336742997</v>
      </c>
      <c r="N104" s="60">
        <f t="shared" si="35"/>
        <v>14294334.699558284</v>
      </c>
      <c r="O104" s="60">
        <f t="shared" si="35"/>
        <v>10006664.691454191</v>
      </c>
      <c r="P104" s="60">
        <f>SUM(D104:O104)</f>
        <v>166804655.47242036</v>
      </c>
      <c r="Q104" s="70"/>
      <c r="R104" s="210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</row>
    <row r="105" spans="1:91" x14ac:dyDescent="0.2">
      <c r="A105" s="4"/>
      <c r="Q105" s="70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</row>
    <row r="106" spans="1:91" x14ac:dyDescent="0.2">
      <c r="A106" s="4"/>
      <c r="Q106" s="70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</row>
    <row r="107" spans="1:91" x14ac:dyDescent="0.2">
      <c r="A107" s="4"/>
      <c r="D107" s="43">
        <f t="shared" ref="D107:P107" si="36">D17+D26+D35+D44+D52+D60+D72+D87+D96</f>
        <v>2680016.3120132508</v>
      </c>
      <c r="E107" s="43">
        <f t="shared" si="36"/>
        <v>2559752.1749808723</v>
      </c>
      <c r="F107" s="43">
        <f t="shared" si="36"/>
        <v>2643559.8392320788</v>
      </c>
      <c r="G107" s="43">
        <f t="shared" si="36"/>
        <v>2606681.3505837312</v>
      </c>
      <c r="H107" s="43">
        <f t="shared" si="36"/>
        <v>3080157.3775316281</v>
      </c>
      <c r="I107" s="43">
        <f t="shared" si="36"/>
        <v>4158814.7648171047</v>
      </c>
      <c r="J107" s="43">
        <f t="shared" si="36"/>
        <v>5299277.7821295662</v>
      </c>
      <c r="K107" s="43">
        <f t="shared" si="36"/>
        <v>6030962.8176353052</v>
      </c>
      <c r="L107" s="43">
        <f t="shared" si="36"/>
        <v>5844856.3112990744</v>
      </c>
      <c r="M107" s="43">
        <f t="shared" si="36"/>
        <v>5421480.1345265545</v>
      </c>
      <c r="N107" s="43">
        <f t="shared" si="36"/>
        <v>3877938.2584842313</v>
      </c>
      <c r="O107" s="43">
        <f t="shared" si="36"/>
        <v>3042800.6972944615</v>
      </c>
      <c r="P107" s="43">
        <f t="shared" si="36"/>
        <v>47246301.985127866</v>
      </c>
      <c r="Q107" s="70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</row>
    <row r="108" spans="1:91" x14ac:dyDescent="0.2">
      <c r="A108" s="4"/>
      <c r="C108" s="43"/>
      <c r="D108" s="75">
        <f>D89+D80+D64+D56+D48+D39+D30+D21+D12+D74</f>
        <v>5692415.9692059131</v>
      </c>
      <c r="E108" s="75">
        <f t="shared" ref="E108:O108" si="37">E89+E80+E64+E56+E48+E39+E30+E21+E12+E74</f>
        <v>5494591.4931076225</v>
      </c>
      <c r="F108" s="75">
        <f t="shared" si="37"/>
        <v>5493065.6251199525</v>
      </c>
      <c r="G108" s="75">
        <f t="shared" si="37"/>
        <v>5456316.2707998222</v>
      </c>
      <c r="H108" s="75">
        <f t="shared" si="37"/>
        <v>5974446.5952093452</v>
      </c>
      <c r="I108" s="75">
        <f t="shared" si="37"/>
        <v>7289906.7515979353</v>
      </c>
      <c r="J108" s="75">
        <f t="shared" si="37"/>
        <v>8829454.1915560458</v>
      </c>
      <c r="K108" s="75">
        <f t="shared" si="37"/>
        <v>9570314.6440058146</v>
      </c>
      <c r="L108" s="75">
        <f t="shared" si="37"/>
        <v>9013595.9099764489</v>
      </c>
      <c r="M108" s="75">
        <f t="shared" si="37"/>
        <v>9310729.889028661</v>
      </c>
      <c r="N108" s="75">
        <f t="shared" si="37"/>
        <v>7217551.4449673407</v>
      </c>
      <c r="O108" s="75">
        <f t="shared" si="37"/>
        <v>6147377.8183951313</v>
      </c>
      <c r="P108" s="75">
        <f>P89+P80+P64+P56+P48+P39+P30+P21+P12</f>
        <v>85392429.952970028</v>
      </c>
      <c r="Q108" s="70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</row>
    <row r="109" spans="1:91" x14ac:dyDescent="0.2">
      <c r="A109" s="4"/>
      <c r="C109" s="43"/>
      <c r="D109" s="75">
        <f>D62+D54+D46+D37+D28+D19</f>
        <v>2113849.5648995508</v>
      </c>
      <c r="E109" s="75">
        <f>E62+E54+E46+E37+E28+E19</f>
        <v>1707940.8674351822</v>
      </c>
      <c r="F109" s="75">
        <f>F62+F54+F46+F37+F28+F19</f>
        <v>1738084.7627984323</v>
      </c>
      <c r="G109" s="75">
        <f>G62+G54+G46+G37+G28+G19</f>
        <v>1745311.9617956677</v>
      </c>
      <c r="H109" s="75">
        <f t="shared" ref="H109:P109" si="38">H62+H54+H46+H37+H28+H19</f>
        <v>2944013.037562144</v>
      </c>
      <c r="I109" s="75">
        <f t="shared" si="38"/>
        <v>6971277.0486483565</v>
      </c>
      <c r="J109" s="75">
        <f t="shared" si="38"/>
        <v>11854748.194883922</v>
      </c>
      <c r="K109" s="75">
        <f t="shared" si="38"/>
        <v>13940763.023727167</v>
      </c>
      <c r="L109" s="75">
        <f t="shared" si="38"/>
        <v>13559963.841834718</v>
      </c>
      <c r="M109" s="75">
        <f t="shared" si="38"/>
        <v>12228924.995742612</v>
      </c>
      <c r="N109" s="75">
        <f t="shared" si="38"/>
        <v>6869654.7837143922</v>
      </c>
      <c r="O109" s="75">
        <f t="shared" si="38"/>
        <v>3703644.6074125073</v>
      </c>
      <c r="P109" s="75">
        <f t="shared" si="38"/>
        <v>79378176.690454647</v>
      </c>
      <c r="Q109" s="70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</row>
    <row r="110" spans="1:91" x14ac:dyDescent="0.2">
      <c r="A110" s="4"/>
      <c r="D110" s="75"/>
      <c r="O110" s="17"/>
      <c r="P110" s="17"/>
      <c r="Q110" s="70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/>
      <c r="CI110" s="126"/>
      <c r="CJ110" s="126"/>
      <c r="CK110" s="126"/>
      <c r="CL110" s="126"/>
      <c r="CM110" s="126"/>
    </row>
    <row r="111" spans="1:91" x14ac:dyDescent="0.2">
      <c r="A111" s="4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26"/>
      <c r="P111" s="26"/>
      <c r="Q111" s="83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  <c r="CE111" s="126"/>
      <c r="CF111" s="126"/>
      <c r="CG111" s="126"/>
      <c r="CH111" s="126"/>
      <c r="CI111" s="126"/>
      <c r="CJ111" s="126"/>
      <c r="CK111" s="126"/>
      <c r="CL111" s="126"/>
      <c r="CM111" s="126"/>
    </row>
    <row r="112" spans="1:91" x14ac:dyDescent="0.2">
      <c r="A112" s="15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37"/>
      <c r="P112" s="37"/>
      <c r="Q112" s="1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126"/>
      <c r="CI112" s="126"/>
      <c r="CJ112" s="126"/>
      <c r="CK112" s="126"/>
      <c r="CL112" s="126"/>
      <c r="CM112" s="126"/>
    </row>
    <row r="113" spans="1:91" x14ac:dyDescent="0.2">
      <c r="A113" s="15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37"/>
      <c r="P113" s="37"/>
      <c r="Q113" s="1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</row>
    <row r="114" spans="1:91" x14ac:dyDescent="0.2">
      <c r="A114" s="15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26"/>
      <c r="P114" s="26"/>
      <c r="Q114" s="1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</row>
    <row r="115" spans="1:91" x14ac:dyDescent="0.2">
      <c r="A115" s="15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6"/>
      <c r="BZ115" s="126"/>
      <c r="CA115" s="126"/>
      <c r="CB115" s="126"/>
      <c r="CC115" s="126"/>
      <c r="CD115" s="126"/>
      <c r="CE115" s="126"/>
      <c r="CF115" s="126"/>
      <c r="CG115" s="126"/>
      <c r="CH115" s="126"/>
      <c r="CI115" s="126"/>
      <c r="CJ115" s="126"/>
      <c r="CK115" s="126"/>
      <c r="CL115" s="126"/>
      <c r="CM115" s="126"/>
    </row>
    <row r="116" spans="1:91" x14ac:dyDescent="0.2">
      <c r="A116" s="15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26"/>
      <c r="BM116" s="126"/>
      <c r="BN116" s="126"/>
      <c r="BO116" s="126"/>
      <c r="BP116" s="126"/>
      <c r="BQ116" s="126"/>
      <c r="BR116" s="126"/>
      <c r="BS116" s="126"/>
      <c r="BT116" s="126"/>
      <c r="BU116" s="126"/>
      <c r="BV116" s="126"/>
      <c r="BW116" s="126"/>
      <c r="BX116" s="126"/>
      <c r="BY116" s="126"/>
      <c r="BZ116" s="126"/>
      <c r="CA116" s="126"/>
      <c r="CB116" s="126"/>
      <c r="CC116" s="126"/>
      <c r="CD116" s="126"/>
      <c r="CE116" s="126"/>
      <c r="CF116" s="126"/>
      <c r="CG116" s="126"/>
      <c r="CH116" s="126"/>
      <c r="CI116" s="126"/>
      <c r="CJ116" s="126"/>
      <c r="CK116" s="126"/>
      <c r="CL116" s="126"/>
      <c r="CM116" s="126"/>
    </row>
    <row r="117" spans="1:91" x14ac:dyDescent="0.2">
      <c r="A117" s="15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</row>
    <row r="118" spans="1:91" x14ac:dyDescent="0.2">
      <c r="A118" s="15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</row>
    <row r="119" spans="1:91" x14ac:dyDescent="0.2">
      <c r="A119" s="15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</row>
    <row r="120" spans="1:91" x14ac:dyDescent="0.2">
      <c r="A120" s="15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</row>
    <row r="121" spans="1:91" x14ac:dyDescent="0.2">
      <c r="A121" s="15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</row>
    <row r="122" spans="1:91" x14ac:dyDescent="0.2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</row>
    <row r="123" spans="1:91" x14ac:dyDescent="0.2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6"/>
      <c r="BZ123" s="126"/>
      <c r="CA123" s="126"/>
      <c r="CB123" s="126"/>
      <c r="CC123" s="126"/>
      <c r="CD123" s="126"/>
      <c r="CE123" s="126"/>
      <c r="CF123" s="126"/>
      <c r="CG123" s="126"/>
      <c r="CH123" s="126"/>
      <c r="CI123" s="126"/>
      <c r="CJ123" s="126"/>
      <c r="CK123" s="126"/>
      <c r="CL123" s="126"/>
      <c r="CM123" s="126"/>
    </row>
    <row r="124" spans="1:91" x14ac:dyDescent="0.2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</row>
    <row r="125" spans="1:91" x14ac:dyDescent="0.2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</row>
    <row r="126" spans="1:91" x14ac:dyDescent="0.2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6"/>
      <c r="BM126" s="126"/>
      <c r="BN126" s="126"/>
      <c r="BO126" s="126"/>
      <c r="BP126" s="126"/>
      <c r="BQ126" s="126"/>
      <c r="BR126" s="126"/>
      <c r="BS126" s="126"/>
      <c r="BT126" s="126"/>
      <c r="BU126" s="126"/>
      <c r="BV126" s="126"/>
      <c r="BW126" s="126"/>
      <c r="BX126" s="126"/>
      <c r="BY126" s="126"/>
      <c r="BZ126" s="126"/>
      <c r="CA126" s="126"/>
      <c r="CB126" s="126"/>
      <c r="CC126" s="126"/>
      <c r="CD126" s="126"/>
      <c r="CE126" s="126"/>
      <c r="CF126" s="126"/>
      <c r="CG126" s="126"/>
      <c r="CH126" s="126"/>
      <c r="CI126" s="126"/>
      <c r="CJ126" s="126"/>
      <c r="CK126" s="126"/>
      <c r="CL126" s="126"/>
      <c r="CM126" s="126"/>
    </row>
    <row r="127" spans="1:91" x14ac:dyDescent="0.2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6"/>
      <c r="BZ127" s="126"/>
      <c r="CA127" s="126"/>
      <c r="CB127" s="126"/>
      <c r="CC127" s="126"/>
      <c r="CD127" s="126"/>
      <c r="CE127" s="126"/>
      <c r="CF127" s="126"/>
      <c r="CG127" s="126"/>
      <c r="CH127" s="126"/>
      <c r="CI127" s="126"/>
      <c r="CJ127" s="126"/>
      <c r="CK127" s="126"/>
      <c r="CL127" s="126"/>
      <c r="CM127" s="126"/>
    </row>
    <row r="128" spans="1:9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6"/>
      <c r="BM128" s="126"/>
      <c r="BN128" s="126"/>
      <c r="BO128" s="126"/>
      <c r="BP128" s="126"/>
      <c r="BQ128" s="126"/>
      <c r="BR128" s="126"/>
      <c r="BS128" s="126"/>
      <c r="BT128" s="126"/>
      <c r="BU128" s="126"/>
      <c r="BV128" s="126"/>
      <c r="BW128" s="126"/>
      <c r="BX128" s="126"/>
      <c r="BY128" s="126"/>
      <c r="BZ128" s="126"/>
      <c r="CA128" s="126"/>
      <c r="CB128" s="126"/>
      <c r="CC128" s="126"/>
      <c r="CD128" s="126"/>
      <c r="CE128" s="126"/>
      <c r="CF128" s="126"/>
      <c r="CG128" s="126"/>
      <c r="CH128" s="126"/>
      <c r="CI128" s="126"/>
      <c r="CJ128" s="126"/>
      <c r="CK128" s="126"/>
      <c r="CL128" s="126"/>
      <c r="CM128" s="126"/>
    </row>
    <row r="129" spans="1:9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6"/>
      <c r="BM129" s="126"/>
      <c r="BN129" s="126"/>
      <c r="BO129" s="126"/>
      <c r="BP129" s="126"/>
      <c r="BQ129" s="126"/>
      <c r="BR129" s="126"/>
      <c r="BS129" s="126"/>
      <c r="BT129" s="126"/>
      <c r="BU129" s="126"/>
      <c r="BV129" s="126"/>
      <c r="BW129" s="126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6"/>
      <c r="CL129" s="126"/>
      <c r="CM129" s="126"/>
    </row>
    <row r="130" spans="1:9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6"/>
      <c r="BM130" s="126"/>
      <c r="BN130" s="126"/>
      <c r="BO130" s="126"/>
      <c r="BP130" s="126"/>
      <c r="BQ130" s="126"/>
      <c r="BR130" s="126"/>
      <c r="BS130" s="126"/>
      <c r="BT130" s="126"/>
      <c r="BU130" s="126"/>
      <c r="BV130" s="126"/>
      <c r="BW130" s="126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6"/>
      <c r="CL130" s="126"/>
      <c r="CM130" s="126"/>
    </row>
    <row r="131" spans="1:9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</row>
    <row r="132" spans="1:9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</row>
    <row r="133" spans="1:9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</row>
    <row r="134" spans="1:9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</row>
    <row r="135" spans="1:9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</row>
    <row r="136" spans="1:9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  <c r="BR136" s="126"/>
      <c r="BS136" s="126"/>
      <c r="BT136" s="126"/>
      <c r="BU136" s="126"/>
      <c r="BV136" s="126"/>
      <c r="BW136" s="126"/>
      <c r="BX136" s="126"/>
      <c r="BY136" s="126"/>
      <c r="BZ136" s="126"/>
      <c r="CA136" s="126"/>
      <c r="CB136" s="126"/>
      <c r="CC136" s="126"/>
      <c r="CD136" s="126"/>
      <c r="CE136" s="126"/>
      <c r="CF136" s="126"/>
      <c r="CG136" s="126"/>
      <c r="CH136" s="126"/>
      <c r="CI136" s="126"/>
      <c r="CJ136" s="126"/>
      <c r="CK136" s="126"/>
      <c r="CL136" s="126"/>
      <c r="CM136" s="126"/>
    </row>
    <row r="137" spans="1:9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  <c r="BR137" s="126"/>
      <c r="BS137" s="126"/>
      <c r="BT137" s="126"/>
      <c r="BU137" s="126"/>
      <c r="BV137" s="126"/>
      <c r="BW137" s="126"/>
      <c r="BX137" s="126"/>
      <c r="BY137" s="126"/>
      <c r="BZ137" s="126"/>
      <c r="CA137" s="126"/>
      <c r="CB137" s="126"/>
      <c r="CC137" s="126"/>
      <c r="CD137" s="126"/>
      <c r="CE137" s="126"/>
      <c r="CF137" s="126"/>
      <c r="CG137" s="126"/>
      <c r="CH137" s="126"/>
      <c r="CI137" s="126"/>
      <c r="CJ137" s="126"/>
      <c r="CK137" s="126"/>
      <c r="CL137" s="126"/>
      <c r="CM137" s="126"/>
    </row>
    <row r="138" spans="1:91" x14ac:dyDescent="0.2">
      <c r="A138" s="1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  <c r="BR138" s="126"/>
      <c r="BS138" s="126"/>
      <c r="BT138" s="126"/>
      <c r="BU138" s="126"/>
      <c r="BV138" s="126"/>
      <c r="BW138" s="126"/>
      <c r="BX138" s="126"/>
      <c r="BY138" s="126"/>
      <c r="BZ138" s="126"/>
      <c r="CA138" s="126"/>
      <c r="CB138" s="126"/>
      <c r="CC138" s="126"/>
      <c r="CD138" s="126"/>
      <c r="CE138" s="126"/>
      <c r="CF138" s="126"/>
      <c r="CG138" s="126"/>
      <c r="CH138" s="126"/>
      <c r="CI138" s="126"/>
      <c r="CJ138" s="126"/>
      <c r="CK138" s="126"/>
      <c r="CL138" s="126"/>
      <c r="CM138" s="126"/>
    </row>
    <row r="139" spans="1:91" x14ac:dyDescent="0.2">
      <c r="A139" s="1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6"/>
      <c r="BZ139" s="126"/>
      <c r="CA139" s="126"/>
      <c r="CB139" s="126"/>
      <c r="CC139" s="126"/>
      <c r="CD139" s="126"/>
      <c r="CE139" s="126"/>
      <c r="CF139" s="126"/>
      <c r="CG139" s="126"/>
      <c r="CH139" s="126"/>
      <c r="CI139" s="126"/>
      <c r="CJ139" s="126"/>
      <c r="CK139" s="126"/>
      <c r="CL139" s="126"/>
      <c r="CM139" s="126"/>
    </row>
    <row r="140" spans="1:91" x14ac:dyDescent="0.2">
      <c r="A140" s="1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</row>
    <row r="141" spans="1:91" x14ac:dyDescent="0.2">
      <c r="A141" s="1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</row>
    <row r="142" spans="1:91" x14ac:dyDescent="0.2">
      <c r="A142" s="1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26"/>
      <c r="BU142" s="126"/>
      <c r="BV142" s="126"/>
      <c r="BW142" s="126"/>
      <c r="BX142" s="126"/>
      <c r="BY142" s="126"/>
      <c r="BZ142" s="126"/>
      <c r="CA142" s="126"/>
      <c r="CB142" s="126"/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</row>
    <row r="143" spans="1:91" x14ac:dyDescent="0.2">
      <c r="A143" s="1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6"/>
      <c r="BZ143" s="126"/>
      <c r="CA143" s="126"/>
      <c r="CB143" s="126"/>
      <c r="CC143" s="126"/>
      <c r="CD143" s="126"/>
      <c r="CE143" s="126"/>
      <c r="CF143" s="126"/>
      <c r="CG143" s="126"/>
      <c r="CH143" s="126"/>
      <c r="CI143" s="126"/>
      <c r="CJ143" s="126"/>
      <c r="CK143" s="126"/>
      <c r="CL143" s="126"/>
      <c r="CM143" s="126"/>
    </row>
    <row r="144" spans="1:91" x14ac:dyDescent="0.2">
      <c r="A144" s="1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6"/>
      <c r="BW144" s="126"/>
      <c r="BX144" s="126"/>
      <c r="BY144" s="126"/>
      <c r="BZ144" s="126"/>
      <c r="CA144" s="126"/>
      <c r="CB144" s="126"/>
      <c r="CC144" s="126"/>
      <c r="CD144" s="126"/>
      <c r="CE144" s="126"/>
      <c r="CF144" s="126"/>
      <c r="CG144" s="126"/>
      <c r="CH144" s="126"/>
      <c r="CI144" s="126"/>
      <c r="CJ144" s="126"/>
      <c r="CK144" s="126"/>
      <c r="CL144" s="126"/>
      <c r="CM144" s="126"/>
    </row>
    <row r="145" spans="1:91" x14ac:dyDescent="0.2">
      <c r="A145" s="1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  <c r="BR145" s="126"/>
      <c r="BS145" s="126"/>
      <c r="BT145" s="126"/>
      <c r="BU145" s="126"/>
      <c r="BV145" s="126"/>
      <c r="BW145" s="126"/>
      <c r="BX145" s="126"/>
      <c r="BY145" s="126"/>
      <c r="BZ145" s="126"/>
      <c r="CA145" s="126"/>
      <c r="CB145" s="126"/>
      <c r="CC145" s="126"/>
      <c r="CD145" s="126"/>
      <c r="CE145" s="126"/>
      <c r="CF145" s="126"/>
      <c r="CG145" s="126"/>
      <c r="CH145" s="126"/>
      <c r="CI145" s="126"/>
      <c r="CJ145" s="126"/>
      <c r="CK145" s="126"/>
      <c r="CL145" s="126"/>
      <c r="CM145" s="126"/>
    </row>
    <row r="146" spans="1:91" x14ac:dyDescent="0.2">
      <c r="A146" s="1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  <c r="BR146" s="126"/>
      <c r="BS146" s="126"/>
      <c r="BT146" s="126"/>
      <c r="BU146" s="126"/>
      <c r="BV146" s="126"/>
      <c r="BW146" s="126"/>
      <c r="BX146" s="126"/>
      <c r="BY146" s="126"/>
      <c r="BZ146" s="126"/>
      <c r="CA146" s="126"/>
      <c r="CB146" s="126"/>
      <c r="CC146" s="126"/>
      <c r="CD146" s="126"/>
      <c r="CE146" s="126"/>
      <c r="CF146" s="126"/>
      <c r="CG146" s="126"/>
      <c r="CH146" s="126"/>
      <c r="CI146" s="126"/>
      <c r="CJ146" s="126"/>
      <c r="CK146" s="126"/>
      <c r="CL146" s="126"/>
      <c r="CM146" s="126"/>
    </row>
    <row r="147" spans="1:91" x14ac:dyDescent="0.2">
      <c r="A147" s="1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6"/>
      <c r="BZ147" s="126"/>
      <c r="CA147" s="126"/>
      <c r="CB147" s="126"/>
      <c r="CC147" s="126"/>
      <c r="CD147" s="126"/>
      <c r="CE147" s="126"/>
      <c r="CF147" s="126"/>
      <c r="CG147" s="126"/>
      <c r="CH147" s="126"/>
      <c r="CI147" s="126"/>
      <c r="CJ147" s="126"/>
      <c r="CK147" s="126"/>
      <c r="CL147" s="126"/>
      <c r="CM147" s="126"/>
    </row>
    <row r="148" spans="1:91" x14ac:dyDescent="0.2">
      <c r="A148" s="1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  <c r="BY148" s="126"/>
      <c r="BZ148" s="126"/>
      <c r="CA148" s="126"/>
      <c r="CB148" s="126"/>
      <c r="CC148" s="126"/>
      <c r="CD148" s="126"/>
      <c r="CE148" s="126"/>
      <c r="CF148" s="126"/>
      <c r="CG148" s="126"/>
      <c r="CH148" s="126"/>
      <c r="CI148" s="126"/>
      <c r="CJ148" s="126"/>
      <c r="CK148" s="126"/>
      <c r="CL148" s="126"/>
      <c r="CM148" s="126"/>
    </row>
    <row r="149" spans="1:91" x14ac:dyDescent="0.2">
      <c r="A149" s="1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26"/>
      <c r="BU149" s="126"/>
      <c r="BV149" s="126"/>
      <c r="BW149" s="126"/>
      <c r="BX149" s="126"/>
      <c r="BY149" s="126"/>
      <c r="BZ149" s="126"/>
      <c r="CA149" s="126"/>
      <c r="CB149" s="126"/>
      <c r="CC149" s="126"/>
      <c r="CD149" s="126"/>
      <c r="CE149" s="126"/>
      <c r="CF149" s="126"/>
      <c r="CG149" s="126"/>
      <c r="CH149" s="126"/>
      <c r="CI149" s="126"/>
      <c r="CJ149" s="126"/>
      <c r="CK149" s="126"/>
      <c r="CL149" s="126"/>
      <c r="CM149" s="126"/>
    </row>
    <row r="150" spans="1:91" x14ac:dyDescent="0.2">
      <c r="A150" s="1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</row>
    <row r="151" spans="1:91" x14ac:dyDescent="0.2">
      <c r="A151" s="1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</row>
    <row r="152" spans="1:91" x14ac:dyDescent="0.2">
      <c r="A152" s="1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</row>
    <row r="153" spans="1:91" x14ac:dyDescent="0.2">
      <c r="A153" s="1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</row>
    <row r="154" spans="1:91" x14ac:dyDescent="0.2">
      <c r="A154" s="1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</row>
    <row r="155" spans="1:91" x14ac:dyDescent="0.2">
      <c r="A155" s="1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  <c r="BR155" s="126"/>
      <c r="BS155" s="126"/>
      <c r="BT155" s="126"/>
      <c r="BU155" s="126"/>
      <c r="BV155" s="126"/>
      <c r="BW155" s="126"/>
      <c r="BX155" s="126"/>
      <c r="BY155" s="126"/>
      <c r="BZ155" s="126"/>
      <c r="CA155" s="126"/>
      <c r="CB155" s="126"/>
      <c r="CC155" s="126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6"/>
    </row>
    <row r="156" spans="1:91" x14ac:dyDescent="0.2">
      <c r="A156" s="1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  <c r="BR156" s="126"/>
      <c r="BS156" s="126"/>
      <c r="BT156" s="126"/>
      <c r="BU156" s="126"/>
      <c r="BV156" s="126"/>
      <c r="BW156" s="126"/>
      <c r="BX156" s="126"/>
      <c r="BY156" s="126"/>
      <c r="BZ156" s="126"/>
      <c r="CA156" s="126"/>
      <c r="CB156" s="126"/>
      <c r="CC156" s="126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6"/>
    </row>
    <row r="157" spans="1:91" x14ac:dyDescent="0.2">
      <c r="A157" s="1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  <c r="BR157" s="126"/>
      <c r="BS157" s="126"/>
      <c r="BT157" s="126"/>
      <c r="BU157" s="126"/>
      <c r="BV157" s="126"/>
      <c r="BW157" s="126"/>
      <c r="BX157" s="126"/>
      <c r="BY157" s="126"/>
      <c r="BZ157" s="126"/>
      <c r="CA157" s="126"/>
      <c r="CB157" s="126"/>
      <c r="CC157" s="126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6"/>
    </row>
    <row r="158" spans="1:91" x14ac:dyDescent="0.2">
      <c r="A158" s="1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</row>
    <row r="159" spans="1:91" x14ac:dyDescent="0.2">
      <c r="A159" s="1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</row>
    <row r="160" spans="1:91" x14ac:dyDescent="0.2">
      <c r="A160" s="1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</row>
    <row r="161" spans="1:9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</row>
    <row r="162" spans="1:9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  <c r="BR162" s="126"/>
      <c r="BS162" s="126"/>
      <c r="BT162" s="126"/>
      <c r="BU162" s="126"/>
      <c r="BV162" s="126"/>
      <c r="BW162" s="126"/>
      <c r="BX162" s="126"/>
      <c r="BY162" s="126"/>
      <c r="BZ162" s="126"/>
      <c r="CA162" s="126"/>
      <c r="CB162" s="126"/>
      <c r="CC162" s="126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126"/>
    </row>
    <row r="163" spans="1:9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</row>
    <row r="164" spans="1:9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</row>
    <row r="165" spans="1:9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</row>
    <row r="166" spans="1:9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</row>
    <row r="167" spans="1:9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</row>
    <row r="168" spans="1:9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</row>
    <row r="169" spans="1:9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</row>
    <row r="170" spans="1:9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</row>
    <row r="171" spans="1:9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</row>
    <row r="172" spans="1:9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</row>
    <row r="173" spans="1:9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</row>
    <row r="174" spans="1:9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</row>
    <row r="175" spans="1:9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</row>
    <row r="176" spans="1:9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</row>
    <row r="177" spans="1:9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</row>
    <row r="178" spans="1:9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</row>
    <row r="179" spans="1:9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</row>
    <row r="180" spans="1:9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</row>
    <row r="181" spans="1:9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</row>
    <row r="182" spans="1:9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</row>
    <row r="183" spans="1:9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</row>
    <row r="184" spans="1:9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</row>
    <row r="185" spans="1:9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</row>
    <row r="186" spans="1:9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</row>
    <row r="187" spans="1:9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</row>
    <row r="188" spans="1:9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</row>
    <row r="189" spans="1:9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</row>
    <row r="190" spans="1:9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</row>
    <row r="191" spans="1:9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</row>
    <row r="192" spans="1:9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</row>
    <row r="193" spans="1:9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</row>
    <row r="194" spans="1:9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</row>
    <row r="195" spans="1:9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</row>
    <row r="196" spans="1:9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</row>
    <row r="197" spans="1:9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</row>
    <row r="198" spans="1:9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</row>
    <row r="199" spans="1:9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</row>
    <row r="200" spans="1:9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</row>
    <row r="201" spans="1:9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</row>
    <row r="202" spans="1:9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</row>
    <row r="203" spans="1:9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</row>
    <row r="204" spans="1:9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</row>
    <row r="205" spans="1:9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</row>
    <row r="206" spans="1:9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</row>
    <row r="207" spans="1:9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</row>
    <row r="208" spans="1:9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</row>
    <row r="209" spans="1:9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</row>
    <row r="210" spans="1:9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</row>
    <row r="211" spans="1:9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</row>
    <row r="212" spans="1:9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</row>
    <row r="213" spans="1:9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</row>
    <row r="214" spans="1:9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</row>
    <row r="215" spans="1:9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</row>
    <row r="216" spans="1:9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</row>
    <row r="217" spans="1:9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</row>
    <row r="218" spans="1:9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</row>
    <row r="219" spans="1:9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</row>
    <row r="220" spans="1:9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</row>
    <row r="221" spans="1:9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</row>
    <row r="222" spans="1:9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</row>
    <row r="223" spans="1:9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</row>
    <row r="224" spans="1:9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</row>
    <row r="225" spans="1:9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</row>
    <row r="226" spans="1:9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</row>
    <row r="227" spans="1:9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</row>
    <row r="228" spans="1:9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</row>
    <row r="229" spans="1:9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</row>
    <row r="230" spans="1:9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</row>
    <row r="231" spans="1:9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</row>
    <row r="232" spans="1:9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</row>
    <row r="233" spans="1:9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</row>
    <row r="234" spans="1:9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</row>
    <row r="235" spans="1:9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</row>
    <row r="236" spans="1:9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</row>
    <row r="237" spans="1:9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</row>
    <row r="238" spans="1:9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</row>
    <row r="239" spans="1:9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</row>
    <row r="240" spans="1:9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</row>
    <row r="241" spans="1:9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</row>
    <row r="242" spans="1:9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</row>
    <row r="243" spans="1:9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</row>
    <row r="244" spans="1:9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</row>
    <row r="245" spans="1:9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</row>
    <row r="246" spans="1:9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</row>
    <row r="247" spans="1:9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</row>
    <row r="248" spans="1:9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</row>
    <row r="249" spans="1:9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</row>
    <row r="250" spans="1:9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</row>
    <row r="251" spans="1:9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</row>
    <row r="252" spans="1:9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</row>
    <row r="253" spans="1:9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</row>
    <row r="254" spans="1:91" x14ac:dyDescent="0.2">
      <c r="A254" s="17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</row>
    <row r="255" spans="1:91" x14ac:dyDescent="0.2">
      <c r="A255" s="17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</row>
    <row r="256" spans="1:91" x14ac:dyDescent="0.2">
      <c r="A256" s="17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</row>
    <row r="257" spans="1:91" x14ac:dyDescent="0.2">
      <c r="A257" s="17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</row>
    <row r="258" spans="1:91" x14ac:dyDescent="0.2">
      <c r="A258" s="17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</row>
    <row r="259" spans="1:91" x14ac:dyDescent="0.2">
      <c r="A259" s="17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</row>
    <row r="260" spans="1:91" x14ac:dyDescent="0.2">
      <c r="A260" s="17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</row>
    <row r="261" spans="1:91" x14ac:dyDescent="0.2">
      <c r="A261" s="17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</row>
    <row r="262" spans="1:91" x14ac:dyDescent="0.2">
      <c r="A262" s="17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</row>
    <row r="263" spans="1:91" x14ac:dyDescent="0.2">
      <c r="A263" s="17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</row>
    <row r="264" spans="1:91" x14ac:dyDescent="0.2">
      <c r="A264" s="17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</row>
    <row r="265" spans="1:91" x14ac:dyDescent="0.2">
      <c r="A265" s="17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</row>
    <row r="266" spans="1:91" x14ac:dyDescent="0.2">
      <c r="A266" s="17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</row>
    <row r="267" spans="1:91" x14ac:dyDescent="0.2">
      <c r="A267" s="17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</row>
    <row r="268" spans="1:91" x14ac:dyDescent="0.2">
      <c r="A268" s="17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</row>
    <row r="269" spans="1:91" x14ac:dyDescent="0.2">
      <c r="A269" s="17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</row>
    <row r="270" spans="1:91" x14ac:dyDescent="0.2">
      <c r="A270" s="17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</row>
    <row r="271" spans="1:91" x14ac:dyDescent="0.2">
      <c r="A271" s="17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</row>
    <row r="272" spans="1:91" x14ac:dyDescent="0.2">
      <c r="A272" s="17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</row>
    <row r="273" spans="1:91" x14ac:dyDescent="0.2">
      <c r="A273" s="17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</row>
    <row r="274" spans="1:91" x14ac:dyDescent="0.2">
      <c r="A274" s="17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</row>
    <row r="275" spans="1:91" x14ac:dyDescent="0.2">
      <c r="A275" s="17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</row>
    <row r="276" spans="1:91" x14ac:dyDescent="0.2">
      <c r="A276" s="17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</row>
    <row r="277" spans="1:91" x14ac:dyDescent="0.2">
      <c r="A277" s="17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</row>
    <row r="278" spans="1:91" x14ac:dyDescent="0.2">
      <c r="A278" s="17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</row>
    <row r="279" spans="1:91" x14ac:dyDescent="0.2">
      <c r="A279" s="17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</row>
    <row r="280" spans="1:91" x14ac:dyDescent="0.2">
      <c r="A280" s="17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</row>
    <row r="281" spans="1:91" x14ac:dyDescent="0.2">
      <c r="A281" s="17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</row>
    <row r="282" spans="1:91" x14ac:dyDescent="0.2">
      <c r="A282" s="17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</row>
    <row r="283" spans="1:91" x14ac:dyDescent="0.2">
      <c r="A283" s="17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</row>
    <row r="284" spans="1:91" x14ac:dyDescent="0.2">
      <c r="A284" s="17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</row>
    <row r="285" spans="1:91" x14ac:dyDescent="0.2">
      <c r="A285" s="17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</row>
    <row r="286" spans="1:91" x14ac:dyDescent="0.2">
      <c r="A286" s="17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</row>
    <row r="287" spans="1:91" x14ac:dyDescent="0.2">
      <c r="A287" s="17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</row>
    <row r="288" spans="1:91" x14ac:dyDescent="0.2">
      <c r="A288" s="17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</row>
    <row r="289" spans="1:91" x14ac:dyDescent="0.2">
      <c r="A289" s="17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</row>
    <row r="290" spans="1:91" x14ac:dyDescent="0.2">
      <c r="A290" s="17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</row>
    <row r="291" spans="1:91" x14ac:dyDescent="0.2">
      <c r="A291" s="17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</row>
    <row r="292" spans="1:91" x14ac:dyDescent="0.2">
      <c r="A292" s="17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</row>
    <row r="293" spans="1:91" x14ac:dyDescent="0.2">
      <c r="A293" s="17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</row>
    <row r="294" spans="1:91" x14ac:dyDescent="0.2">
      <c r="A294" s="17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</row>
    <row r="295" spans="1:91" x14ac:dyDescent="0.2">
      <c r="A295" s="17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</row>
    <row r="296" spans="1:91" x14ac:dyDescent="0.2">
      <c r="A296" s="17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</row>
    <row r="297" spans="1:91" x14ac:dyDescent="0.2">
      <c r="A297" s="17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</row>
    <row r="298" spans="1:91" x14ac:dyDescent="0.2">
      <c r="A298" s="17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</row>
    <row r="299" spans="1:91" x14ac:dyDescent="0.2">
      <c r="A299" s="17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</row>
    <row r="300" spans="1:91" x14ac:dyDescent="0.2">
      <c r="A300" s="17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</row>
    <row r="301" spans="1:91" x14ac:dyDescent="0.2">
      <c r="A301" s="17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</row>
    <row r="302" spans="1:91" x14ac:dyDescent="0.2">
      <c r="A302" s="17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</row>
    <row r="303" spans="1:91" x14ac:dyDescent="0.2">
      <c r="A303" s="17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</row>
    <row r="304" spans="1:91" x14ac:dyDescent="0.2">
      <c r="A304" s="17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</row>
    <row r="305" spans="1:91" x14ac:dyDescent="0.2">
      <c r="A305" s="17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</row>
    <row r="306" spans="1:91" x14ac:dyDescent="0.2">
      <c r="A306" s="17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</row>
    <row r="307" spans="1:91" x14ac:dyDescent="0.2">
      <c r="A307" s="17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</row>
    <row r="308" spans="1:91" x14ac:dyDescent="0.2">
      <c r="A308" s="17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</row>
    <row r="309" spans="1:91" x14ac:dyDescent="0.2">
      <c r="A309" s="17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</row>
    <row r="310" spans="1:91" x14ac:dyDescent="0.2">
      <c r="A310" s="17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</row>
    <row r="311" spans="1:91" x14ac:dyDescent="0.2">
      <c r="A311" s="17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</row>
    <row r="312" spans="1:91" x14ac:dyDescent="0.2">
      <c r="A312" s="17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</row>
    <row r="313" spans="1:91" x14ac:dyDescent="0.2">
      <c r="A313" s="17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</row>
    <row r="314" spans="1:91" x14ac:dyDescent="0.2">
      <c r="A314" s="17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</row>
    <row r="315" spans="1:91" x14ac:dyDescent="0.2">
      <c r="A315" s="17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</row>
    <row r="316" spans="1:91" x14ac:dyDescent="0.2">
      <c r="A316" s="17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</row>
    <row r="317" spans="1:91" x14ac:dyDescent="0.2">
      <c r="A317" s="17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</row>
    <row r="318" spans="1:91" x14ac:dyDescent="0.2">
      <c r="A318" s="17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</row>
    <row r="319" spans="1:91" x14ac:dyDescent="0.2">
      <c r="A319" s="17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</row>
    <row r="320" spans="1:91" x14ac:dyDescent="0.2">
      <c r="A320" s="17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</row>
    <row r="321" spans="1:91" x14ac:dyDescent="0.2">
      <c r="A321" s="17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</row>
    <row r="322" spans="1:91" x14ac:dyDescent="0.2">
      <c r="A322" s="17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</row>
    <row r="323" spans="1:91" x14ac:dyDescent="0.2">
      <c r="A323" s="17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</row>
    <row r="324" spans="1:91" x14ac:dyDescent="0.2">
      <c r="A324" s="17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</row>
    <row r="325" spans="1:91" x14ac:dyDescent="0.2">
      <c r="A325" s="17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</row>
    <row r="326" spans="1:91" x14ac:dyDescent="0.2">
      <c r="A326" s="17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</row>
    <row r="327" spans="1:91" x14ac:dyDescent="0.2">
      <c r="A327" s="17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</row>
    <row r="328" spans="1:91" x14ac:dyDescent="0.2">
      <c r="A328" s="17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</row>
    <row r="329" spans="1:91" x14ac:dyDescent="0.2">
      <c r="A329" s="17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</row>
    <row r="330" spans="1:91" x14ac:dyDescent="0.2">
      <c r="A330" s="17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</row>
    <row r="331" spans="1:91" x14ac:dyDescent="0.2">
      <c r="A331" s="17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</row>
    <row r="332" spans="1:91" x14ac:dyDescent="0.2">
      <c r="A332" s="17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</row>
    <row r="333" spans="1:91" x14ac:dyDescent="0.2">
      <c r="A333" s="17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</row>
    <row r="334" spans="1:91" x14ac:dyDescent="0.2">
      <c r="A334" s="17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</row>
    <row r="335" spans="1:91" x14ac:dyDescent="0.2">
      <c r="A335" s="17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</row>
    <row r="336" spans="1:91" x14ac:dyDescent="0.2">
      <c r="A336" s="17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</row>
    <row r="337" spans="1:91" x14ac:dyDescent="0.2">
      <c r="A337" s="17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</row>
    <row r="338" spans="1:91" x14ac:dyDescent="0.2">
      <c r="A338" s="17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</row>
    <row r="339" spans="1:91" x14ac:dyDescent="0.2">
      <c r="A339" s="17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</row>
    <row r="340" spans="1:91" x14ac:dyDescent="0.2">
      <c r="A340" s="17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</row>
    <row r="341" spans="1:91" x14ac:dyDescent="0.2">
      <c r="A341" s="17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</row>
    <row r="342" spans="1:91" x14ac:dyDescent="0.2">
      <c r="A342" s="17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</row>
    <row r="343" spans="1:91" x14ac:dyDescent="0.2">
      <c r="A343" s="17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</row>
    <row r="344" spans="1:91" x14ac:dyDescent="0.2">
      <c r="A344" s="17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</row>
    <row r="345" spans="1:91" x14ac:dyDescent="0.2">
      <c r="A345" s="17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</row>
    <row r="346" spans="1:91" x14ac:dyDescent="0.2">
      <c r="A346" s="17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</row>
    <row r="347" spans="1:91" x14ac:dyDescent="0.2">
      <c r="A347" s="17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</row>
    <row r="348" spans="1:91" x14ac:dyDescent="0.2">
      <c r="A348" s="17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</row>
    <row r="349" spans="1:91" x14ac:dyDescent="0.2">
      <c r="A349" s="17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</row>
    <row r="350" spans="1:91" x14ac:dyDescent="0.2">
      <c r="A350" s="17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</row>
    <row r="351" spans="1:91" x14ac:dyDescent="0.2">
      <c r="A351" s="17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</row>
    <row r="352" spans="1:91" x14ac:dyDescent="0.2">
      <c r="A352" s="17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</row>
    <row r="353" spans="1:91" x14ac:dyDescent="0.2">
      <c r="A353" s="17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</row>
    <row r="354" spans="1:91" x14ac:dyDescent="0.2">
      <c r="A354" s="17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</row>
    <row r="355" spans="1:91" x14ac:dyDescent="0.2">
      <c r="A355" s="17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</row>
    <row r="356" spans="1:91" x14ac:dyDescent="0.2">
      <c r="A356" s="17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</row>
    <row r="357" spans="1:91" x14ac:dyDescent="0.2">
      <c r="A357" s="17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</row>
    <row r="358" spans="1:91" x14ac:dyDescent="0.2">
      <c r="A358" s="17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</row>
    <row r="359" spans="1:91" x14ac:dyDescent="0.2">
      <c r="A359" s="17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</row>
    <row r="360" spans="1:91" x14ac:dyDescent="0.2">
      <c r="A360" s="17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</row>
    <row r="361" spans="1:91" x14ac:dyDescent="0.2">
      <c r="A361" s="17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</row>
    <row r="362" spans="1:91" x14ac:dyDescent="0.2">
      <c r="A362" s="17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</row>
    <row r="363" spans="1:91" x14ac:dyDescent="0.2">
      <c r="A363" s="17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</row>
    <row r="364" spans="1:91" x14ac:dyDescent="0.2">
      <c r="A364" s="17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</row>
    <row r="365" spans="1:91" x14ac:dyDescent="0.2">
      <c r="A365" s="17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</row>
    <row r="366" spans="1:91" x14ac:dyDescent="0.2">
      <c r="A366" s="17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</row>
    <row r="367" spans="1:91" x14ac:dyDescent="0.2">
      <c r="A367" s="17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</row>
    <row r="368" spans="1:91" x14ac:dyDescent="0.2">
      <c r="A368" s="17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</row>
    <row r="369" spans="1:91" x14ac:dyDescent="0.2">
      <c r="A369" s="17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</row>
    <row r="370" spans="1:91" x14ac:dyDescent="0.2">
      <c r="A370" s="17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</row>
    <row r="371" spans="1:91" x14ac:dyDescent="0.2">
      <c r="A371" s="17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</row>
    <row r="372" spans="1:91" x14ac:dyDescent="0.2">
      <c r="A372" s="17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</row>
    <row r="373" spans="1:91" x14ac:dyDescent="0.2">
      <c r="A373" s="17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</row>
    <row r="374" spans="1:91" x14ac:dyDescent="0.2">
      <c r="A374" s="17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</row>
    <row r="375" spans="1:91" x14ac:dyDescent="0.2">
      <c r="A375" s="17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</row>
    <row r="376" spans="1:91" x14ac:dyDescent="0.2">
      <c r="A376" s="17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</row>
    <row r="377" spans="1:91" x14ac:dyDescent="0.2">
      <c r="A377" s="17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</row>
    <row r="378" spans="1:91" x14ac:dyDescent="0.2">
      <c r="A378" s="17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</row>
    <row r="379" spans="1:91" x14ac:dyDescent="0.2">
      <c r="A379" s="17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</row>
    <row r="380" spans="1:91" x14ac:dyDescent="0.2">
      <c r="A380" s="17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</row>
    <row r="381" spans="1:91" x14ac:dyDescent="0.2">
      <c r="A381" s="17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</row>
    <row r="382" spans="1:91" x14ac:dyDescent="0.2">
      <c r="A382" s="17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</row>
    <row r="383" spans="1:91" x14ac:dyDescent="0.2">
      <c r="A383" s="17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</row>
    <row r="384" spans="1:91" x14ac:dyDescent="0.2">
      <c r="A384" s="17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</row>
    <row r="385" spans="1:91" x14ac:dyDescent="0.2">
      <c r="A385" s="17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</row>
    <row r="386" spans="1:91" x14ac:dyDescent="0.2">
      <c r="A386" s="17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</row>
    <row r="387" spans="1:91" x14ac:dyDescent="0.2">
      <c r="A387" s="17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</row>
    <row r="388" spans="1:91" x14ac:dyDescent="0.2">
      <c r="A388" s="17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</row>
    <row r="389" spans="1:91" x14ac:dyDescent="0.2">
      <c r="A389" s="17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</row>
    <row r="390" spans="1:91" x14ac:dyDescent="0.2">
      <c r="A390" s="17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</row>
    <row r="391" spans="1:91" x14ac:dyDescent="0.2">
      <c r="A391" s="17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</row>
    <row r="392" spans="1:91" x14ac:dyDescent="0.2">
      <c r="A392" s="17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</row>
    <row r="393" spans="1:91" x14ac:dyDescent="0.2">
      <c r="A393" s="17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</row>
    <row r="394" spans="1:91" x14ac:dyDescent="0.2">
      <c r="A394" s="17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</row>
    <row r="395" spans="1:91" x14ac:dyDescent="0.2">
      <c r="A395" s="17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</row>
    <row r="396" spans="1:91" x14ac:dyDescent="0.2">
      <c r="A396" s="17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</row>
    <row r="397" spans="1:91" x14ac:dyDescent="0.2">
      <c r="A397" s="17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</row>
    <row r="398" spans="1:91" x14ac:dyDescent="0.2">
      <c r="A398" s="17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</row>
    <row r="399" spans="1:91" x14ac:dyDescent="0.2">
      <c r="A399" s="17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</row>
    <row r="400" spans="1:91" x14ac:dyDescent="0.2">
      <c r="A400" s="17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</row>
    <row r="401" spans="1:91" x14ac:dyDescent="0.2">
      <c r="A401" s="17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</row>
    <row r="402" spans="1:91" x14ac:dyDescent="0.2">
      <c r="A402" s="17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</row>
    <row r="403" spans="1:91" x14ac:dyDescent="0.2">
      <c r="A403" s="17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</row>
    <row r="404" spans="1:91" x14ac:dyDescent="0.2">
      <c r="A404" s="17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</row>
    <row r="405" spans="1:91" x14ac:dyDescent="0.2">
      <c r="A405" s="17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</row>
    <row r="406" spans="1:91" x14ac:dyDescent="0.2">
      <c r="A406" s="17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</row>
    <row r="407" spans="1:91" x14ac:dyDescent="0.2">
      <c r="A407" s="17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</row>
    <row r="408" spans="1:91" x14ac:dyDescent="0.2">
      <c r="A408" s="17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</row>
    <row r="409" spans="1:91" x14ac:dyDescent="0.2">
      <c r="A409" s="17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</row>
    <row r="410" spans="1:91" x14ac:dyDescent="0.2">
      <c r="A410" s="17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</row>
    <row r="411" spans="1:91" x14ac:dyDescent="0.2">
      <c r="A411" s="17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</row>
    <row r="412" spans="1:91" x14ac:dyDescent="0.2">
      <c r="A412" s="17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</row>
    <row r="413" spans="1:91" x14ac:dyDescent="0.2">
      <c r="A413" s="17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</row>
    <row r="414" spans="1:91" x14ac:dyDescent="0.2">
      <c r="A414" s="17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</row>
    <row r="415" spans="1:91" x14ac:dyDescent="0.2">
      <c r="A415" s="17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</row>
    <row r="416" spans="1:91" x14ac:dyDescent="0.2">
      <c r="A416" s="17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</row>
    <row r="417" spans="1:91" x14ac:dyDescent="0.2">
      <c r="A417" s="17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</row>
    <row r="418" spans="1:91" x14ac:dyDescent="0.2">
      <c r="A418" s="17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</row>
    <row r="419" spans="1:91" x14ac:dyDescent="0.2">
      <c r="A419" s="17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</row>
    <row r="420" spans="1:91" x14ac:dyDescent="0.2">
      <c r="A420" s="17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</row>
    <row r="421" spans="1:91" x14ac:dyDescent="0.2">
      <c r="A421" s="17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</row>
    <row r="422" spans="1:91" x14ac:dyDescent="0.2">
      <c r="A422" s="17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</row>
    <row r="423" spans="1:91" x14ac:dyDescent="0.2">
      <c r="A423" s="17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</row>
    <row r="424" spans="1:91" x14ac:dyDescent="0.2">
      <c r="A424" s="17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</row>
    <row r="425" spans="1:91" x14ac:dyDescent="0.2">
      <c r="A425" s="17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</row>
    <row r="426" spans="1:91" x14ac:dyDescent="0.2">
      <c r="A426" s="17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</row>
    <row r="427" spans="1:91" x14ac:dyDescent="0.2">
      <c r="A427" s="17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</row>
    <row r="428" spans="1:91" x14ac:dyDescent="0.2">
      <c r="A428" s="17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</row>
    <row r="429" spans="1:91" x14ac:dyDescent="0.2">
      <c r="A429" s="17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</row>
    <row r="430" spans="1:91" x14ac:dyDescent="0.2">
      <c r="A430" s="17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</row>
    <row r="431" spans="1:91" x14ac:dyDescent="0.2">
      <c r="A431" s="17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</row>
    <row r="432" spans="1:91" x14ac:dyDescent="0.2">
      <c r="A432" s="17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</row>
    <row r="433" spans="1:91" x14ac:dyDescent="0.2">
      <c r="A433" s="17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</row>
    <row r="434" spans="1:91" x14ac:dyDescent="0.2">
      <c r="A434" s="17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</row>
    <row r="435" spans="1:91" x14ac:dyDescent="0.2">
      <c r="A435" s="17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</row>
    <row r="436" spans="1:91" x14ac:dyDescent="0.2">
      <c r="A436" s="17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</row>
    <row r="437" spans="1:91" x14ac:dyDescent="0.2">
      <c r="A437" s="17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</row>
    <row r="438" spans="1:91" x14ac:dyDescent="0.2">
      <c r="A438" s="17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</row>
    <row r="439" spans="1:91" x14ac:dyDescent="0.2">
      <c r="A439" s="17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</row>
    <row r="440" spans="1:91" x14ac:dyDescent="0.2">
      <c r="A440" s="17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</row>
    <row r="441" spans="1:91" x14ac:dyDescent="0.2">
      <c r="A441" s="17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</row>
    <row r="442" spans="1:91" x14ac:dyDescent="0.2">
      <c r="A442" s="17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</row>
    <row r="443" spans="1:91" x14ac:dyDescent="0.2">
      <c r="A443" s="17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</row>
    <row r="444" spans="1:91" x14ac:dyDescent="0.2">
      <c r="A444" s="17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</row>
    <row r="445" spans="1:91" x14ac:dyDescent="0.2">
      <c r="A445" s="17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</row>
    <row r="446" spans="1:91" x14ac:dyDescent="0.2">
      <c r="A446" s="17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</row>
    <row r="447" spans="1:91" x14ac:dyDescent="0.2">
      <c r="A447" s="17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</row>
    <row r="448" spans="1:91" x14ac:dyDescent="0.2">
      <c r="A448" s="17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</row>
    <row r="449" spans="1:91" x14ac:dyDescent="0.2">
      <c r="A449" s="17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</row>
    <row r="450" spans="1:91" x14ac:dyDescent="0.2">
      <c r="A450" s="17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</row>
    <row r="451" spans="1:91" x14ac:dyDescent="0.2">
      <c r="A451" s="17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</row>
    <row r="452" spans="1:91" x14ac:dyDescent="0.2">
      <c r="A452" s="17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</row>
    <row r="453" spans="1:91" x14ac:dyDescent="0.2">
      <c r="A453" s="17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</row>
    <row r="454" spans="1:91" x14ac:dyDescent="0.2">
      <c r="A454" s="17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</row>
    <row r="455" spans="1:91" x14ac:dyDescent="0.2">
      <c r="A455" s="17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</row>
    <row r="456" spans="1:91" x14ac:dyDescent="0.2">
      <c r="A456" s="17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</row>
    <row r="457" spans="1:91" x14ac:dyDescent="0.2">
      <c r="A457" s="17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</row>
    <row r="458" spans="1:91" x14ac:dyDescent="0.2">
      <c r="A458" s="17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</row>
    <row r="459" spans="1:91" x14ac:dyDescent="0.2">
      <c r="A459" s="17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</row>
    <row r="460" spans="1:91" x14ac:dyDescent="0.2">
      <c r="A460" s="17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</row>
    <row r="461" spans="1:91" x14ac:dyDescent="0.2">
      <c r="A461" s="17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</row>
    <row r="462" spans="1:91" x14ac:dyDescent="0.2">
      <c r="A462" s="17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</row>
    <row r="463" spans="1:91" x14ac:dyDescent="0.2">
      <c r="A463" s="17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</row>
    <row r="464" spans="1:91" x14ac:dyDescent="0.2">
      <c r="A464" s="17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</row>
    <row r="465" spans="1:91" x14ac:dyDescent="0.2">
      <c r="A465" s="17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</row>
    <row r="466" spans="1:91" x14ac:dyDescent="0.2">
      <c r="A466" s="17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</row>
    <row r="467" spans="1:91" x14ac:dyDescent="0.2">
      <c r="A467" s="17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</row>
    <row r="468" spans="1:91" x14ac:dyDescent="0.2">
      <c r="A468" s="17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</row>
    <row r="469" spans="1:91" x14ac:dyDescent="0.2">
      <c r="A469" s="17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</row>
    <row r="470" spans="1:91" x14ac:dyDescent="0.2">
      <c r="A470" s="17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</row>
    <row r="471" spans="1:91" x14ac:dyDescent="0.2">
      <c r="A471" s="17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</row>
    <row r="472" spans="1:91" x14ac:dyDescent="0.2">
      <c r="A472" s="17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</row>
    <row r="473" spans="1:91" x14ac:dyDescent="0.2">
      <c r="A473" s="17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</row>
    <row r="474" spans="1:91" x14ac:dyDescent="0.2">
      <c r="A474" s="17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</row>
    <row r="475" spans="1:91" x14ac:dyDescent="0.2">
      <c r="A475" s="17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</row>
    <row r="476" spans="1:91" x14ac:dyDescent="0.2">
      <c r="A476" s="17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</row>
    <row r="477" spans="1:91" x14ac:dyDescent="0.2">
      <c r="A477" s="17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</row>
    <row r="478" spans="1:91" x14ac:dyDescent="0.2">
      <c r="A478" s="17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</row>
    <row r="479" spans="1:91" x14ac:dyDescent="0.2">
      <c r="A479" s="17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</row>
    <row r="480" spans="1:91" x14ac:dyDescent="0.2">
      <c r="A480" s="17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</row>
    <row r="481" spans="1:91" x14ac:dyDescent="0.2">
      <c r="A481" s="17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</row>
    <row r="482" spans="1:91" x14ac:dyDescent="0.2">
      <c r="A482" s="17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</row>
    <row r="483" spans="1:91" x14ac:dyDescent="0.2">
      <c r="A483" s="17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</row>
    <row r="484" spans="1:91" x14ac:dyDescent="0.2">
      <c r="A484" s="17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</row>
    <row r="485" spans="1:91" x14ac:dyDescent="0.2">
      <c r="A485" s="17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</row>
    <row r="486" spans="1:91" x14ac:dyDescent="0.2">
      <c r="A486" s="17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</row>
    <row r="487" spans="1:91" x14ac:dyDescent="0.2">
      <c r="A487" s="17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</row>
    <row r="488" spans="1:91" x14ac:dyDescent="0.2">
      <c r="A488" s="17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</row>
    <row r="489" spans="1:91" x14ac:dyDescent="0.2">
      <c r="A489" s="17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</row>
    <row r="490" spans="1:91" x14ac:dyDescent="0.2">
      <c r="A490" s="17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</row>
    <row r="491" spans="1:91" x14ac:dyDescent="0.2">
      <c r="A491" s="17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</row>
    <row r="492" spans="1:91" x14ac:dyDescent="0.2">
      <c r="A492" s="17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</row>
    <row r="493" spans="1:91" x14ac:dyDescent="0.2">
      <c r="A493" s="17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</row>
    <row r="494" spans="1:91" x14ac:dyDescent="0.2">
      <c r="A494" s="17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</row>
    <row r="495" spans="1:91" x14ac:dyDescent="0.2">
      <c r="A495" s="17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</row>
    <row r="496" spans="1:91" x14ac:dyDescent="0.2">
      <c r="A496" s="17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</row>
    <row r="497" spans="1:91" x14ac:dyDescent="0.2">
      <c r="A497" s="17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</row>
    <row r="498" spans="1:91" x14ac:dyDescent="0.2">
      <c r="A498" s="17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</row>
    <row r="499" spans="1:91" x14ac:dyDescent="0.2">
      <c r="A499" s="17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</row>
    <row r="500" spans="1:91" x14ac:dyDescent="0.2">
      <c r="A500" s="17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</row>
    <row r="501" spans="1:91" x14ac:dyDescent="0.2">
      <c r="A501" s="17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</row>
    <row r="502" spans="1:91" x14ac:dyDescent="0.2">
      <c r="A502" s="17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</row>
    <row r="503" spans="1:91" x14ac:dyDescent="0.2">
      <c r="A503" s="17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</row>
    <row r="504" spans="1:91" x14ac:dyDescent="0.2">
      <c r="A504" s="17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</row>
    <row r="505" spans="1:91" x14ac:dyDescent="0.2">
      <c r="A505" s="17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</row>
    <row r="506" spans="1:91" x14ac:dyDescent="0.2">
      <c r="A506" s="17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</row>
    <row r="507" spans="1:91" x14ac:dyDescent="0.2">
      <c r="A507" s="17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</row>
    <row r="508" spans="1:91" x14ac:dyDescent="0.2">
      <c r="A508" s="17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</row>
    <row r="509" spans="1:91" x14ac:dyDescent="0.2">
      <c r="A509" s="17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</row>
    <row r="510" spans="1:91" x14ac:dyDescent="0.2">
      <c r="A510" s="17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</row>
    <row r="511" spans="1:91" x14ac:dyDescent="0.2">
      <c r="A511" s="17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</row>
    <row r="512" spans="1:91" x14ac:dyDescent="0.2">
      <c r="A512" s="17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</row>
    <row r="513" spans="1:17" x14ac:dyDescent="0.2">
      <c r="A513" s="17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</row>
    <row r="514" spans="1:17" x14ac:dyDescent="0.2">
      <c r="A514" s="17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</row>
    <row r="515" spans="1:17" x14ac:dyDescent="0.2">
      <c r="A515" s="17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</row>
    <row r="516" spans="1:17" x14ac:dyDescent="0.2">
      <c r="A516" s="17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</row>
    <row r="517" spans="1:17" x14ac:dyDescent="0.2">
      <c r="A517" s="17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</row>
    <row r="518" spans="1:17" x14ac:dyDescent="0.2">
      <c r="A518" s="17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</row>
    <row r="519" spans="1:17" x14ac:dyDescent="0.2">
      <c r="A519" s="17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</row>
    <row r="520" spans="1:17" x14ac:dyDescent="0.2">
      <c r="A520" s="17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</row>
    <row r="521" spans="1:17" x14ac:dyDescent="0.2">
      <c r="A521" s="17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1:17" x14ac:dyDescent="0.2">
      <c r="A522" s="17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</row>
    <row r="523" spans="1:17" x14ac:dyDescent="0.2">
      <c r="A523" s="17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</row>
    <row r="524" spans="1:17" x14ac:dyDescent="0.2">
      <c r="A524" s="17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</row>
    <row r="525" spans="1:17" x14ac:dyDescent="0.2">
      <c r="A525" s="17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</row>
    <row r="526" spans="1:17" x14ac:dyDescent="0.2">
      <c r="A526" s="17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</row>
    <row r="527" spans="1:17" x14ac:dyDescent="0.2">
      <c r="A527" s="17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</row>
    <row r="528" spans="1:17" x14ac:dyDescent="0.2">
      <c r="A528" s="17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</row>
    <row r="529" spans="1:17" x14ac:dyDescent="0.2">
      <c r="A529" s="17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</row>
    <row r="530" spans="1:17" x14ac:dyDescent="0.2">
      <c r="A530" s="17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</row>
    <row r="531" spans="1:17" x14ac:dyDescent="0.2">
      <c r="A531" s="17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</row>
    <row r="532" spans="1:17" x14ac:dyDescent="0.2">
      <c r="A532" s="17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</row>
    <row r="533" spans="1:17" x14ac:dyDescent="0.2">
      <c r="A533" s="17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</row>
    <row r="534" spans="1:17" x14ac:dyDescent="0.2">
      <c r="A534" s="17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</row>
    <row r="535" spans="1:17" x14ac:dyDescent="0.2">
      <c r="A535" s="17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</row>
    <row r="536" spans="1:17" x14ac:dyDescent="0.2">
      <c r="A536" s="17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</row>
    <row r="537" spans="1:17" x14ac:dyDescent="0.2">
      <c r="A537" s="17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</row>
    <row r="538" spans="1:17" x14ac:dyDescent="0.2">
      <c r="A538" s="17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</row>
    <row r="539" spans="1:17" x14ac:dyDescent="0.2">
      <c r="A539" s="17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</row>
    <row r="540" spans="1:17" x14ac:dyDescent="0.2">
      <c r="A540" s="17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</row>
    <row r="541" spans="1:17" x14ac:dyDescent="0.2">
      <c r="A541" s="17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</row>
    <row r="542" spans="1:17" x14ac:dyDescent="0.2">
      <c r="A542" s="17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</row>
    <row r="543" spans="1:17" x14ac:dyDescent="0.2">
      <c r="A543" s="17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</row>
    <row r="544" spans="1:17" x14ac:dyDescent="0.2">
      <c r="A544" s="17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</row>
    <row r="545" spans="1:17" x14ac:dyDescent="0.2">
      <c r="A545" s="17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</row>
    <row r="546" spans="1:17" x14ac:dyDescent="0.2">
      <c r="A546" s="17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</row>
    <row r="547" spans="1:17" x14ac:dyDescent="0.2">
      <c r="A547" s="17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</row>
    <row r="548" spans="1:17" x14ac:dyDescent="0.2">
      <c r="A548" s="17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</row>
    <row r="549" spans="1:17" x14ac:dyDescent="0.2">
      <c r="A549" s="17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</row>
    <row r="550" spans="1:17" x14ac:dyDescent="0.2">
      <c r="A550" s="17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</row>
    <row r="551" spans="1:17" x14ac:dyDescent="0.2">
      <c r="A551" s="17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</row>
    <row r="552" spans="1:17" x14ac:dyDescent="0.2">
      <c r="A552" s="17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</row>
    <row r="553" spans="1:17" x14ac:dyDescent="0.2">
      <c r="A553" s="17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</row>
    <row r="554" spans="1:17" x14ac:dyDescent="0.2">
      <c r="A554" s="17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</row>
    <row r="555" spans="1:17" x14ac:dyDescent="0.2">
      <c r="A555" s="17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</row>
    <row r="556" spans="1:17" x14ac:dyDescent="0.2">
      <c r="A556" s="17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</row>
    <row r="557" spans="1:17" x14ac:dyDescent="0.2">
      <c r="A557" s="17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</row>
    <row r="558" spans="1:17" x14ac:dyDescent="0.2">
      <c r="A558" s="17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</row>
    <row r="559" spans="1:17" x14ac:dyDescent="0.2">
      <c r="A559" s="17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</row>
    <row r="560" spans="1:17" x14ac:dyDescent="0.2">
      <c r="A560" s="17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</row>
    <row r="561" spans="1:17" x14ac:dyDescent="0.2">
      <c r="A561" s="17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</row>
    <row r="562" spans="1:17" x14ac:dyDescent="0.2">
      <c r="A562" s="17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</row>
    <row r="563" spans="1:17" x14ac:dyDescent="0.2">
      <c r="A563" s="17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</row>
    <row r="564" spans="1:17" x14ac:dyDescent="0.2">
      <c r="A564" s="17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</row>
    <row r="565" spans="1:17" x14ac:dyDescent="0.2">
      <c r="A565" s="17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</row>
    <row r="566" spans="1:17" x14ac:dyDescent="0.2">
      <c r="A566" s="17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</row>
    <row r="567" spans="1:17" x14ac:dyDescent="0.2">
      <c r="A567" s="17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</row>
    <row r="568" spans="1:17" x14ac:dyDescent="0.2">
      <c r="A568" s="17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</row>
    <row r="569" spans="1:17" x14ac:dyDescent="0.2">
      <c r="A569" s="17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</row>
    <row r="570" spans="1:17" x14ac:dyDescent="0.2">
      <c r="A570" s="17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</row>
    <row r="571" spans="1:17" x14ac:dyDescent="0.2">
      <c r="A571" s="17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</row>
    <row r="572" spans="1:17" x14ac:dyDescent="0.2">
      <c r="A572" s="17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</row>
    <row r="573" spans="1:17" x14ac:dyDescent="0.2">
      <c r="A573" s="17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</row>
    <row r="574" spans="1:17" x14ac:dyDescent="0.2">
      <c r="A574" s="17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</row>
    <row r="575" spans="1:17" x14ac:dyDescent="0.2">
      <c r="A575" s="17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</row>
    <row r="576" spans="1:17" x14ac:dyDescent="0.2">
      <c r="A576" s="17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</row>
    <row r="577" spans="1:17" x14ac:dyDescent="0.2">
      <c r="A577" s="17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</row>
    <row r="578" spans="1:17" x14ac:dyDescent="0.2">
      <c r="A578" s="17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</row>
    <row r="579" spans="1:17" x14ac:dyDescent="0.2">
      <c r="A579" s="17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</row>
    <row r="580" spans="1:17" x14ac:dyDescent="0.2">
      <c r="A580" s="17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</row>
    <row r="581" spans="1:17" x14ac:dyDescent="0.2">
      <c r="A581" s="17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</row>
    <row r="582" spans="1:17" x14ac:dyDescent="0.2">
      <c r="A582" s="17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</row>
    <row r="583" spans="1:17" x14ac:dyDescent="0.2">
      <c r="A583" s="17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</row>
    <row r="584" spans="1:17" x14ac:dyDescent="0.2">
      <c r="A584" s="17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</row>
    <row r="585" spans="1:17" x14ac:dyDescent="0.2">
      <c r="A585" s="17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</row>
    <row r="586" spans="1:17" x14ac:dyDescent="0.2">
      <c r="A586" s="17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</row>
    <row r="587" spans="1:17" x14ac:dyDescent="0.2">
      <c r="A587" s="17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</row>
    <row r="588" spans="1:17" x14ac:dyDescent="0.2">
      <c r="A588" s="17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</row>
    <row r="589" spans="1:17" x14ac:dyDescent="0.2">
      <c r="A589" s="17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</row>
    <row r="590" spans="1:17" x14ac:dyDescent="0.2">
      <c r="A590" s="17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</row>
    <row r="591" spans="1:17" x14ac:dyDescent="0.2">
      <c r="A591" s="17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</row>
    <row r="592" spans="1:17" x14ac:dyDescent="0.2">
      <c r="A592" s="17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</row>
    <row r="593" spans="1:17" x14ac:dyDescent="0.2">
      <c r="A593" s="17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</row>
    <row r="594" spans="1:17" x14ac:dyDescent="0.2">
      <c r="A594" s="17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</row>
    <row r="595" spans="1:17" x14ac:dyDescent="0.2">
      <c r="A595" s="17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</row>
    <row r="596" spans="1:17" x14ac:dyDescent="0.2">
      <c r="A596" s="17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</row>
    <row r="597" spans="1:17" x14ac:dyDescent="0.2">
      <c r="A597" s="17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</row>
    <row r="598" spans="1:17" x14ac:dyDescent="0.2">
      <c r="A598" s="17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</row>
    <row r="599" spans="1:17" x14ac:dyDescent="0.2">
      <c r="A599" s="17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</row>
    <row r="600" spans="1:17" x14ac:dyDescent="0.2">
      <c r="A600" s="17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</row>
    <row r="601" spans="1:17" x14ac:dyDescent="0.2">
      <c r="A601" s="17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</row>
    <row r="602" spans="1:17" x14ac:dyDescent="0.2">
      <c r="A602" s="17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</row>
    <row r="603" spans="1:17" x14ac:dyDescent="0.2">
      <c r="A603" s="17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</row>
    <row r="604" spans="1:17" x14ac:dyDescent="0.2">
      <c r="A604" s="17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</row>
    <row r="605" spans="1:17" x14ac:dyDescent="0.2">
      <c r="A605" s="17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</row>
    <row r="606" spans="1:17" x14ac:dyDescent="0.2">
      <c r="A606" s="17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</row>
    <row r="607" spans="1:17" x14ac:dyDescent="0.2">
      <c r="A607" s="17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</row>
    <row r="608" spans="1:17" x14ac:dyDescent="0.2">
      <c r="A608" s="17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</row>
    <row r="609" spans="1:17" x14ac:dyDescent="0.2">
      <c r="A609" s="17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</row>
    <row r="610" spans="1:17" x14ac:dyDescent="0.2">
      <c r="A610" s="17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</row>
    <row r="611" spans="1:17" x14ac:dyDescent="0.2">
      <c r="A611" s="17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</row>
    <row r="612" spans="1:17" x14ac:dyDescent="0.2">
      <c r="A612" s="17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</row>
    <row r="613" spans="1:17" x14ac:dyDescent="0.2">
      <c r="A613" s="17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</row>
    <row r="614" spans="1:17" x14ac:dyDescent="0.2">
      <c r="A614" s="17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</row>
    <row r="615" spans="1:17" x14ac:dyDescent="0.2">
      <c r="A615" s="17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</row>
    <row r="616" spans="1:17" x14ac:dyDescent="0.2">
      <c r="A616" s="17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</row>
    <row r="617" spans="1:17" x14ac:dyDescent="0.2">
      <c r="A617" s="17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</row>
    <row r="618" spans="1:17" x14ac:dyDescent="0.2">
      <c r="A618" s="17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</row>
    <row r="619" spans="1:17" x14ac:dyDescent="0.2">
      <c r="A619" s="17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</row>
    <row r="620" spans="1:17" x14ac:dyDescent="0.2">
      <c r="A620" s="17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</row>
    <row r="621" spans="1:17" x14ac:dyDescent="0.2">
      <c r="A621" s="17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</row>
    <row r="622" spans="1:17" x14ac:dyDescent="0.2">
      <c r="A622" s="17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</row>
    <row r="623" spans="1:17" x14ac:dyDescent="0.2">
      <c r="A623" s="17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</row>
    <row r="624" spans="1:17" x14ac:dyDescent="0.2">
      <c r="A624" s="17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</row>
    <row r="625" spans="1:17" x14ac:dyDescent="0.2">
      <c r="A625" s="17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</row>
    <row r="626" spans="1:17" x14ac:dyDescent="0.2">
      <c r="A626" s="17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</row>
    <row r="627" spans="1:17" x14ac:dyDescent="0.2">
      <c r="A627" s="17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</row>
    <row r="628" spans="1:17" x14ac:dyDescent="0.2">
      <c r="A628" s="17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</row>
    <row r="629" spans="1:17" x14ac:dyDescent="0.2">
      <c r="A629" s="17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</row>
    <row r="630" spans="1:17" x14ac:dyDescent="0.2">
      <c r="A630" s="17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</row>
    <row r="631" spans="1:17" x14ac:dyDescent="0.2">
      <c r="A631" s="17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</row>
    <row r="632" spans="1:17" x14ac:dyDescent="0.2">
      <c r="A632" s="17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</row>
    <row r="633" spans="1:17" x14ac:dyDescent="0.2">
      <c r="A633" s="17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</row>
    <row r="634" spans="1:17" x14ac:dyDescent="0.2">
      <c r="A634" s="17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</row>
    <row r="635" spans="1:17" x14ac:dyDescent="0.2">
      <c r="A635" s="17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</row>
    <row r="636" spans="1:17" x14ac:dyDescent="0.2">
      <c r="A636" s="17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</row>
    <row r="637" spans="1:17" x14ac:dyDescent="0.2">
      <c r="A637" s="17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</row>
    <row r="638" spans="1:17" x14ac:dyDescent="0.2">
      <c r="A638" s="17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</row>
    <row r="639" spans="1:17" x14ac:dyDescent="0.2">
      <c r="A639" s="17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</row>
    <row r="640" spans="1:17" x14ac:dyDescent="0.2">
      <c r="A640" s="17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</row>
    <row r="641" spans="1:17" x14ac:dyDescent="0.2">
      <c r="A641" s="17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</row>
    <row r="642" spans="1:17" x14ac:dyDescent="0.2">
      <c r="A642" s="17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</row>
    <row r="643" spans="1:17" x14ac:dyDescent="0.2">
      <c r="A643" s="17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</row>
    <row r="644" spans="1:17" x14ac:dyDescent="0.2">
      <c r="A644" s="17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</row>
    <row r="645" spans="1:17" x14ac:dyDescent="0.2">
      <c r="A645" s="17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</row>
    <row r="646" spans="1:17" x14ac:dyDescent="0.2">
      <c r="A646" s="17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</row>
    <row r="647" spans="1:17" x14ac:dyDescent="0.2">
      <c r="A647" s="17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</row>
    <row r="648" spans="1:17" x14ac:dyDescent="0.2">
      <c r="A648" s="17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</row>
    <row r="649" spans="1:17" x14ac:dyDescent="0.2">
      <c r="A649" s="17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</row>
    <row r="650" spans="1:17" x14ac:dyDescent="0.2">
      <c r="A650" s="17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</row>
    <row r="651" spans="1:17" x14ac:dyDescent="0.2">
      <c r="A651" s="17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</row>
    <row r="652" spans="1:17" x14ac:dyDescent="0.2">
      <c r="A652" s="17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</row>
    <row r="653" spans="1:17" x14ac:dyDescent="0.2">
      <c r="A653" s="17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</row>
    <row r="654" spans="1:17" x14ac:dyDescent="0.2">
      <c r="A654" s="17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</row>
    <row r="655" spans="1:17" x14ac:dyDescent="0.2">
      <c r="A655" s="17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</row>
    <row r="656" spans="1:17" x14ac:dyDescent="0.2">
      <c r="A656" s="17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</row>
    <row r="657" spans="1:17" x14ac:dyDescent="0.2">
      <c r="A657" s="17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</row>
    <row r="658" spans="1:17" x14ac:dyDescent="0.2">
      <c r="A658" s="17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</row>
    <row r="659" spans="1:17" x14ac:dyDescent="0.2">
      <c r="A659" s="17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</row>
    <row r="660" spans="1:17" x14ac:dyDescent="0.2">
      <c r="A660" s="17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</row>
    <row r="661" spans="1:17" x14ac:dyDescent="0.2">
      <c r="A661" s="17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</row>
    <row r="662" spans="1:17" x14ac:dyDescent="0.2">
      <c r="A662" s="17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</row>
    <row r="663" spans="1:17" x14ac:dyDescent="0.2">
      <c r="A663" s="17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</row>
    <row r="664" spans="1:17" x14ac:dyDescent="0.2">
      <c r="A664" s="17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</row>
    <row r="665" spans="1:17" x14ac:dyDescent="0.2">
      <c r="A665" s="17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</row>
    <row r="666" spans="1:17" x14ac:dyDescent="0.2">
      <c r="A666" s="17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</row>
    <row r="667" spans="1:17" x14ac:dyDescent="0.2">
      <c r="A667" s="17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</row>
    <row r="668" spans="1:17" x14ac:dyDescent="0.2">
      <c r="A668" s="17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</row>
    <row r="669" spans="1:17" x14ac:dyDescent="0.2">
      <c r="A669" s="17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</row>
    <row r="670" spans="1:17" x14ac:dyDescent="0.2">
      <c r="A670" s="17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</row>
    <row r="671" spans="1:17" x14ac:dyDescent="0.2">
      <c r="A671" s="17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</row>
    <row r="672" spans="1:17" x14ac:dyDescent="0.2">
      <c r="A672" s="17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</row>
    <row r="673" spans="1:17" x14ac:dyDescent="0.2">
      <c r="A673" s="17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</row>
    <row r="674" spans="1:17" x14ac:dyDescent="0.2">
      <c r="A674" s="17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</row>
    <row r="675" spans="1:17" x14ac:dyDescent="0.2">
      <c r="A675" s="17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</row>
    <row r="676" spans="1:17" x14ac:dyDescent="0.2">
      <c r="A676" s="17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</row>
    <row r="677" spans="1:17" x14ac:dyDescent="0.2">
      <c r="A677" s="17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</row>
    <row r="678" spans="1:17" x14ac:dyDescent="0.2">
      <c r="A678" s="17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</row>
    <row r="679" spans="1:17" x14ac:dyDescent="0.2">
      <c r="A679" s="17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</row>
    <row r="680" spans="1:17" x14ac:dyDescent="0.2">
      <c r="A680" s="17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</row>
    <row r="681" spans="1:17" x14ac:dyDescent="0.2">
      <c r="A681" s="17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</row>
    <row r="682" spans="1:17" x14ac:dyDescent="0.2">
      <c r="A682" s="17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</row>
    <row r="683" spans="1:17" x14ac:dyDescent="0.2">
      <c r="A683" s="17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</row>
    <row r="684" spans="1:17" x14ac:dyDescent="0.2">
      <c r="A684" s="17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</row>
    <row r="685" spans="1:17" x14ac:dyDescent="0.2">
      <c r="A685" s="17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</row>
    <row r="686" spans="1:17" x14ac:dyDescent="0.2">
      <c r="A686" s="17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</row>
    <row r="687" spans="1:17" x14ac:dyDescent="0.2">
      <c r="A687" s="17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</row>
    <row r="688" spans="1:17" x14ac:dyDescent="0.2">
      <c r="A688" s="17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</row>
    <row r="689" spans="1:17" x14ac:dyDescent="0.2">
      <c r="A689" s="17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</row>
    <row r="690" spans="1:17" x14ac:dyDescent="0.2">
      <c r="A690" s="17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</row>
    <row r="691" spans="1:17" x14ac:dyDescent="0.2">
      <c r="A691" s="17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</row>
    <row r="692" spans="1:17" x14ac:dyDescent="0.2">
      <c r="A692" s="17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</row>
    <row r="693" spans="1:17" x14ac:dyDescent="0.2">
      <c r="A693" s="17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</row>
    <row r="694" spans="1:17" x14ac:dyDescent="0.2">
      <c r="A694" s="17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</row>
    <row r="695" spans="1:17" x14ac:dyDescent="0.2">
      <c r="A695" s="17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</row>
    <row r="696" spans="1:17" x14ac:dyDescent="0.2">
      <c r="A696" s="17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</row>
    <row r="697" spans="1:17" x14ac:dyDescent="0.2">
      <c r="A697" s="17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</row>
    <row r="698" spans="1:17" x14ac:dyDescent="0.2">
      <c r="A698" s="17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</row>
    <row r="699" spans="1:17" x14ac:dyDescent="0.2">
      <c r="A699" s="17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</row>
    <row r="700" spans="1:17" x14ac:dyDescent="0.2">
      <c r="A700" s="17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</row>
    <row r="701" spans="1:17" x14ac:dyDescent="0.2">
      <c r="A701" s="17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</row>
    <row r="702" spans="1:17" x14ac:dyDescent="0.2">
      <c r="A702" s="17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</row>
    <row r="703" spans="1:17" x14ac:dyDescent="0.2">
      <c r="A703" s="17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</row>
    <row r="704" spans="1:17" x14ac:dyDescent="0.2">
      <c r="A704" s="17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</row>
    <row r="705" spans="1:17" x14ac:dyDescent="0.2">
      <c r="A705" s="17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</row>
    <row r="706" spans="1:17" x14ac:dyDescent="0.2">
      <c r="A706" s="17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</row>
    <row r="707" spans="1:17" x14ac:dyDescent="0.2">
      <c r="A707" s="17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</row>
    <row r="708" spans="1:17" x14ac:dyDescent="0.2">
      <c r="A708" s="17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</row>
    <row r="709" spans="1:17" x14ac:dyDescent="0.2">
      <c r="A709" s="17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</row>
    <row r="710" spans="1:17" x14ac:dyDescent="0.2">
      <c r="A710" s="17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</row>
    <row r="711" spans="1:17" x14ac:dyDescent="0.2">
      <c r="A711" s="17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</row>
    <row r="712" spans="1:17" x14ac:dyDescent="0.2">
      <c r="A712" s="17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</row>
    <row r="713" spans="1:17" x14ac:dyDescent="0.2">
      <c r="A713" s="17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</row>
    <row r="714" spans="1:17" x14ac:dyDescent="0.2">
      <c r="A714" s="17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</row>
    <row r="715" spans="1:17" x14ac:dyDescent="0.2">
      <c r="A715" s="17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</row>
    <row r="716" spans="1:17" x14ac:dyDescent="0.2">
      <c r="A716" s="17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</row>
    <row r="717" spans="1:17" x14ac:dyDescent="0.2">
      <c r="A717" s="17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</row>
    <row r="718" spans="1:17" x14ac:dyDescent="0.2">
      <c r="A718" s="17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</row>
    <row r="719" spans="1:17" x14ac:dyDescent="0.2">
      <c r="A719" s="17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</row>
    <row r="720" spans="1:17" x14ac:dyDescent="0.2">
      <c r="A720" s="17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</row>
    <row r="721" spans="1:17" x14ac:dyDescent="0.2">
      <c r="A721" s="17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</row>
    <row r="722" spans="1:17" x14ac:dyDescent="0.2">
      <c r="A722" s="17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</row>
    <row r="723" spans="1:17" x14ac:dyDescent="0.2">
      <c r="A723" s="17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</row>
    <row r="724" spans="1:17" x14ac:dyDescent="0.2">
      <c r="A724" s="17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</row>
    <row r="725" spans="1:17" x14ac:dyDescent="0.2">
      <c r="A725" s="17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</row>
    <row r="726" spans="1:17" x14ac:dyDescent="0.2">
      <c r="A726" s="17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</row>
    <row r="727" spans="1:17" x14ac:dyDescent="0.2">
      <c r="A727" s="17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</row>
    <row r="728" spans="1:17" x14ac:dyDescent="0.2">
      <c r="A728" s="17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</row>
    <row r="729" spans="1:17" x14ac:dyDescent="0.2">
      <c r="A729" s="17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</row>
    <row r="730" spans="1:17" x14ac:dyDescent="0.2">
      <c r="A730" s="17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</row>
    <row r="731" spans="1:17" x14ac:dyDescent="0.2">
      <c r="A731" s="17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</row>
    <row r="732" spans="1:17" x14ac:dyDescent="0.2">
      <c r="A732" s="17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</row>
    <row r="733" spans="1:17" x14ac:dyDescent="0.2">
      <c r="A733" s="17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</row>
    <row r="734" spans="1:17" x14ac:dyDescent="0.2">
      <c r="A734" s="17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</row>
    <row r="735" spans="1:17" x14ac:dyDescent="0.2">
      <c r="A735" s="17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</row>
    <row r="736" spans="1:17" x14ac:dyDescent="0.2">
      <c r="A736" s="17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</row>
    <row r="737" spans="1:17" x14ac:dyDescent="0.2">
      <c r="A737" s="17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</row>
    <row r="738" spans="1:17" x14ac:dyDescent="0.2">
      <c r="A738" s="17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</row>
    <row r="739" spans="1:17" x14ac:dyDescent="0.2">
      <c r="A739" s="17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</row>
    <row r="740" spans="1:17" x14ac:dyDescent="0.2">
      <c r="A740" s="17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</row>
    <row r="741" spans="1:17" x14ac:dyDescent="0.2">
      <c r="A741" s="17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</row>
    <row r="742" spans="1:17" x14ac:dyDescent="0.2">
      <c r="A742" s="17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</row>
    <row r="743" spans="1:17" x14ac:dyDescent="0.2">
      <c r="A743" s="17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</row>
    <row r="744" spans="1:17" x14ac:dyDescent="0.2">
      <c r="A744" s="17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</row>
    <row r="745" spans="1:17" x14ac:dyDescent="0.2">
      <c r="A745" s="17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</row>
    <row r="746" spans="1:17" x14ac:dyDescent="0.2">
      <c r="A746" s="17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</row>
    <row r="747" spans="1:17" x14ac:dyDescent="0.2">
      <c r="A747" s="17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</row>
    <row r="748" spans="1:17" x14ac:dyDescent="0.2">
      <c r="A748" s="17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</row>
    <row r="749" spans="1:17" x14ac:dyDescent="0.2">
      <c r="A749" s="17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</row>
    <row r="750" spans="1:17" x14ac:dyDescent="0.2">
      <c r="A750" s="17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</row>
    <row r="751" spans="1:17" x14ac:dyDescent="0.2">
      <c r="A751" s="17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</row>
    <row r="752" spans="1:17" x14ac:dyDescent="0.2">
      <c r="A752" s="17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</row>
    <row r="753" spans="1:17" x14ac:dyDescent="0.2">
      <c r="A753" s="17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</row>
    <row r="754" spans="1:17" x14ac:dyDescent="0.2">
      <c r="A754" s="17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</row>
    <row r="755" spans="1:17" x14ac:dyDescent="0.2">
      <c r="A755" s="17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</row>
    <row r="756" spans="1:17" x14ac:dyDescent="0.2">
      <c r="A756" s="17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</row>
    <row r="757" spans="1:17" x14ac:dyDescent="0.2">
      <c r="A757" s="17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</row>
    <row r="758" spans="1:17" x14ac:dyDescent="0.2">
      <c r="A758" s="17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</row>
    <row r="759" spans="1:17" x14ac:dyDescent="0.2">
      <c r="A759" s="17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</row>
    <row r="760" spans="1:17" x14ac:dyDescent="0.2">
      <c r="A760" s="17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</row>
    <row r="761" spans="1:17" x14ac:dyDescent="0.2">
      <c r="A761" s="17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</row>
    <row r="762" spans="1:17" x14ac:dyDescent="0.2">
      <c r="A762" s="17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</row>
    <row r="763" spans="1:17" x14ac:dyDescent="0.2">
      <c r="A763" s="17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</row>
    <row r="764" spans="1:17" x14ac:dyDescent="0.2">
      <c r="A764" s="17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</row>
    <row r="765" spans="1:17" x14ac:dyDescent="0.2">
      <c r="A765" s="17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</row>
    <row r="766" spans="1:17" x14ac:dyDescent="0.2">
      <c r="A766" s="17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</row>
    <row r="767" spans="1:17" x14ac:dyDescent="0.2">
      <c r="A767" s="17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</row>
    <row r="768" spans="1:17" x14ac:dyDescent="0.2">
      <c r="A768" s="17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</row>
    <row r="769" spans="1:17" x14ac:dyDescent="0.2">
      <c r="A769" s="17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</row>
    <row r="770" spans="1:17" x14ac:dyDescent="0.2">
      <c r="A770" s="17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</row>
    <row r="771" spans="1:17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6"/>
    </row>
    <row r="772" spans="1:17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6"/>
    </row>
    <row r="773" spans="1:17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6"/>
    </row>
    <row r="774" spans="1:17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6"/>
    </row>
    <row r="775" spans="1:17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6"/>
    </row>
    <row r="776" spans="1:17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6"/>
    </row>
    <row r="777" spans="1:17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6"/>
    </row>
    <row r="778" spans="1:17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6"/>
    </row>
    <row r="779" spans="1:17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6"/>
    </row>
    <row r="780" spans="1:17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6"/>
    </row>
    <row r="781" spans="1:17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6"/>
    </row>
    <row r="782" spans="1:17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6"/>
    </row>
    <row r="783" spans="1:17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6"/>
    </row>
    <row r="784" spans="1:17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6"/>
    </row>
    <row r="785" spans="1:17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6"/>
    </row>
    <row r="786" spans="1:17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6"/>
    </row>
    <row r="787" spans="1:17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6"/>
    </row>
    <row r="788" spans="1:17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6"/>
    </row>
    <row r="789" spans="1:17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6"/>
    </row>
    <row r="790" spans="1:17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6"/>
    </row>
    <row r="791" spans="1:17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6"/>
    </row>
    <row r="792" spans="1:17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6"/>
    </row>
    <row r="793" spans="1:17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6"/>
    </row>
    <row r="794" spans="1:17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6"/>
    </row>
    <row r="795" spans="1:17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6"/>
    </row>
    <row r="796" spans="1:17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6"/>
    </row>
    <row r="797" spans="1:17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6"/>
    </row>
    <row r="798" spans="1:17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6"/>
    </row>
    <row r="799" spans="1:17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6"/>
    </row>
    <row r="800" spans="1:17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6"/>
    </row>
    <row r="801" spans="1:17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6"/>
    </row>
    <row r="802" spans="1:17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6"/>
    </row>
    <row r="803" spans="1:17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6"/>
    </row>
    <row r="804" spans="1:17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6"/>
    </row>
    <row r="805" spans="1:17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6"/>
    </row>
    <row r="806" spans="1:17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6"/>
    </row>
    <row r="807" spans="1:17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6"/>
    </row>
    <row r="808" spans="1:17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6"/>
    </row>
    <row r="809" spans="1:17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6"/>
    </row>
    <row r="810" spans="1:17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6"/>
    </row>
    <row r="811" spans="1:17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6"/>
    </row>
    <row r="812" spans="1:17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6"/>
    </row>
    <row r="813" spans="1:17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6"/>
    </row>
    <row r="814" spans="1:17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6"/>
    </row>
    <row r="815" spans="1:17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6"/>
    </row>
    <row r="816" spans="1:17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6"/>
    </row>
    <row r="817" spans="1:17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6"/>
    </row>
    <row r="818" spans="1:17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6"/>
    </row>
    <row r="819" spans="1:17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6"/>
    </row>
    <row r="820" spans="1:17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6"/>
    </row>
    <row r="821" spans="1:17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6"/>
    </row>
    <row r="822" spans="1:17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6"/>
    </row>
    <row r="823" spans="1:17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6"/>
    </row>
    <row r="824" spans="1:17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6"/>
    </row>
    <row r="825" spans="1:17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6"/>
    </row>
    <row r="826" spans="1:17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6"/>
    </row>
    <row r="827" spans="1:17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6"/>
    </row>
    <row r="828" spans="1:17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6"/>
    </row>
    <row r="829" spans="1:17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6"/>
    </row>
    <row r="830" spans="1:17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6"/>
    </row>
    <row r="831" spans="1:17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6"/>
    </row>
    <row r="832" spans="1:17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6"/>
    </row>
    <row r="833" spans="1:17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6"/>
    </row>
    <row r="834" spans="1:17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6"/>
    </row>
    <row r="835" spans="1:17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6"/>
    </row>
    <row r="836" spans="1:17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6"/>
    </row>
    <row r="837" spans="1:17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6"/>
    </row>
    <row r="838" spans="1:17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6"/>
    </row>
    <row r="839" spans="1:17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6"/>
    </row>
    <row r="840" spans="1:17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6"/>
    </row>
    <row r="841" spans="1:17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6"/>
    </row>
    <row r="842" spans="1:17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6"/>
    </row>
    <row r="843" spans="1:17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6"/>
    </row>
    <row r="844" spans="1:17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6"/>
    </row>
    <row r="845" spans="1:17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6"/>
    </row>
    <row r="846" spans="1:17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6"/>
    </row>
    <row r="847" spans="1:17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6"/>
    </row>
    <row r="848" spans="1:17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6"/>
    </row>
    <row r="849" spans="1:17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6"/>
    </row>
    <row r="850" spans="1:17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6"/>
    </row>
    <row r="851" spans="1:17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6"/>
    </row>
    <row r="852" spans="1:17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6"/>
    </row>
    <row r="853" spans="1:17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6"/>
    </row>
    <row r="854" spans="1:17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6"/>
    </row>
    <row r="855" spans="1:17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6"/>
    </row>
    <row r="856" spans="1:17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6"/>
    </row>
    <row r="857" spans="1:17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6"/>
    </row>
    <row r="858" spans="1:17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6"/>
    </row>
    <row r="859" spans="1:17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6"/>
    </row>
    <row r="860" spans="1:17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6"/>
    </row>
    <row r="861" spans="1:17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6"/>
    </row>
    <row r="862" spans="1:17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6"/>
    </row>
    <row r="863" spans="1:17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6"/>
    </row>
    <row r="864" spans="1:17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6"/>
    </row>
    <row r="865" spans="1:17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6"/>
    </row>
    <row r="866" spans="1:17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6"/>
    </row>
    <row r="867" spans="1:17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6"/>
    </row>
    <row r="868" spans="1:17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6"/>
    </row>
    <row r="869" spans="1:17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6"/>
    </row>
    <row r="870" spans="1:17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6"/>
    </row>
    <row r="871" spans="1:17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6"/>
    </row>
    <row r="872" spans="1:17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6"/>
    </row>
    <row r="873" spans="1:17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6"/>
    </row>
    <row r="874" spans="1:17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6"/>
    </row>
    <row r="875" spans="1:17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6"/>
    </row>
    <row r="876" spans="1:17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6"/>
    </row>
    <row r="877" spans="1:17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6"/>
    </row>
    <row r="878" spans="1:17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6"/>
    </row>
    <row r="879" spans="1:17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6"/>
    </row>
    <row r="880" spans="1:17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6"/>
    </row>
    <row r="881" spans="1:17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6"/>
    </row>
    <row r="882" spans="1:17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6"/>
    </row>
    <row r="883" spans="1:17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6"/>
    </row>
    <row r="884" spans="1:17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6"/>
    </row>
    <row r="885" spans="1:17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6"/>
    </row>
    <row r="886" spans="1:17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6"/>
    </row>
    <row r="887" spans="1:17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6"/>
    </row>
    <row r="888" spans="1:17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6"/>
    </row>
    <row r="889" spans="1:17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6"/>
    </row>
    <row r="890" spans="1:17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6"/>
    </row>
    <row r="891" spans="1:17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6"/>
    </row>
    <row r="892" spans="1:17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6"/>
    </row>
    <row r="893" spans="1:17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6"/>
    </row>
    <row r="894" spans="1:17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6"/>
    </row>
    <row r="895" spans="1:17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6"/>
    </row>
    <row r="896" spans="1:17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6"/>
    </row>
    <row r="897" spans="1:17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6"/>
    </row>
    <row r="898" spans="1:17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6"/>
    </row>
    <row r="899" spans="1:17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6"/>
    </row>
    <row r="900" spans="1:17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6"/>
    </row>
    <row r="901" spans="1:17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6"/>
    </row>
    <row r="902" spans="1:17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6"/>
    </row>
    <row r="903" spans="1:17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6"/>
    </row>
    <row r="904" spans="1:17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6"/>
    </row>
    <row r="905" spans="1:17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6"/>
    </row>
    <row r="906" spans="1:17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6"/>
    </row>
    <row r="907" spans="1:17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6"/>
    </row>
    <row r="908" spans="1:17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6"/>
    </row>
    <row r="909" spans="1:17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6"/>
    </row>
    <row r="910" spans="1:17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6"/>
    </row>
    <row r="911" spans="1:17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6"/>
    </row>
    <row r="912" spans="1:17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6"/>
    </row>
    <row r="913" spans="1:17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6"/>
    </row>
    <row r="914" spans="1:17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6"/>
    </row>
    <row r="915" spans="1:17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6"/>
    </row>
    <row r="916" spans="1:17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6"/>
    </row>
    <row r="917" spans="1:17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6"/>
    </row>
    <row r="918" spans="1:17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6"/>
    </row>
    <row r="919" spans="1:17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6"/>
    </row>
    <row r="920" spans="1:17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6"/>
    </row>
    <row r="921" spans="1:17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6"/>
    </row>
    <row r="922" spans="1:17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6"/>
    </row>
    <row r="923" spans="1:17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6"/>
    </row>
    <row r="924" spans="1:17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6"/>
    </row>
    <row r="925" spans="1:17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6"/>
    </row>
    <row r="926" spans="1:17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6"/>
    </row>
    <row r="927" spans="1:17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6"/>
    </row>
    <row r="928" spans="1:17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6"/>
    </row>
    <row r="929" spans="1:17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6"/>
    </row>
    <row r="930" spans="1:17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6"/>
    </row>
    <row r="931" spans="1:17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6"/>
    </row>
    <row r="932" spans="1:17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6"/>
    </row>
    <row r="933" spans="1:17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6"/>
    </row>
    <row r="934" spans="1:17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6"/>
    </row>
    <row r="935" spans="1:17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6"/>
    </row>
    <row r="936" spans="1:17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6"/>
    </row>
    <row r="937" spans="1:17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6"/>
    </row>
    <row r="938" spans="1:17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6"/>
    </row>
    <row r="939" spans="1:17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6"/>
    </row>
    <row r="940" spans="1:17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6"/>
    </row>
    <row r="941" spans="1:17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6"/>
    </row>
    <row r="942" spans="1:17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6"/>
    </row>
    <row r="943" spans="1:17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6"/>
    </row>
    <row r="944" spans="1:17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6"/>
    </row>
    <row r="945" spans="1:17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6"/>
    </row>
    <row r="946" spans="1:17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6"/>
    </row>
    <row r="947" spans="1:17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6"/>
    </row>
    <row r="948" spans="1:17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6"/>
    </row>
    <row r="949" spans="1:17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6"/>
    </row>
    <row r="950" spans="1:17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6"/>
    </row>
    <row r="951" spans="1:17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6"/>
    </row>
    <row r="952" spans="1:17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6"/>
    </row>
    <row r="953" spans="1:17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6"/>
    </row>
    <row r="954" spans="1:17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6"/>
    </row>
    <row r="955" spans="1:17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6"/>
    </row>
    <row r="956" spans="1:17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6"/>
    </row>
    <row r="957" spans="1:17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6"/>
    </row>
    <row r="958" spans="1:17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6"/>
    </row>
    <row r="959" spans="1:17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6"/>
    </row>
    <row r="960" spans="1:17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6"/>
    </row>
    <row r="961" spans="1:17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6"/>
    </row>
    <row r="962" spans="1:17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6"/>
    </row>
    <row r="963" spans="1:17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6"/>
    </row>
    <row r="964" spans="1:17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6"/>
    </row>
    <row r="965" spans="1:17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6"/>
    </row>
    <row r="966" spans="1:17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6"/>
    </row>
    <row r="967" spans="1:17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6"/>
    </row>
    <row r="968" spans="1:17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6"/>
    </row>
    <row r="969" spans="1:17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6"/>
    </row>
    <row r="970" spans="1:17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6"/>
    </row>
    <row r="971" spans="1:17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6"/>
    </row>
    <row r="972" spans="1:17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6"/>
    </row>
    <row r="973" spans="1:17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6"/>
    </row>
    <row r="974" spans="1:17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6"/>
    </row>
    <row r="975" spans="1:17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6"/>
    </row>
    <row r="976" spans="1:17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6"/>
    </row>
    <row r="977" spans="1:17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6"/>
    </row>
    <row r="978" spans="1:17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6"/>
    </row>
    <row r="979" spans="1:17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6"/>
    </row>
    <row r="980" spans="1:17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6"/>
    </row>
    <row r="981" spans="1:17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6"/>
    </row>
    <row r="982" spans="1:17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6"/>
    </row>
    <row r="983" spans="1:17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6"/>
    </row>
    <row r="984" spans="1:17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6"/>
    </row>
    <row r="985" spans="1:17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6"/>
    </row>
    <row r="986" spans="1:17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6"/>
    </row>
    <row r="987" spans="1:17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6"/>
    </row>
    <row r="988" spans="1:17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6"/>
    </row>
    <row r="989" spans="1:17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6"/>
    </row>
    <row r="990" spans="1:17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6"/>
    </row>
    <row r="991" spans="1:17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6"/>
    </row>
    <row r="992" spans="1:17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6"/>
    </row>
    <row r="993" spans="1:17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6"/>
    </row>
    <row r="994" spans="1:17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6"/>
    </row>
    <row r="995" spans="1:17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6"/>
    </row>
    <row r="996" spans="1:17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6"/>
    </row>
    <row r="997" spans="1:17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6"/>
    </row>
    <row r="998" spans="1:17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6"/>
    </row>
    <row r="999" spans="1:17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6"/>
    </row>
    <row r="1000" spans="1:17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6"/>
    </row>
    <row r="1001" spans="1:17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6"/>
    </row>
    <row r="1002" spans="1:17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6"/>
    </row>
    <row r="1003" spans="1:17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6"/>
    </row>
    <row r="1004" spans="1:17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6"/>
    </row>
    <row r="1005" spans="1:17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6"/>
    </row>
    <row r="1006" spans="1:17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6"/>
    </row>
    <row r="1007" spans="1:17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6"/>
    </row>
    <row r="1008" spans="1:17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6"/>
    </row>
    <row r="1009" spans="1:17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6"/>
    </row>
    <row r="1010" spans="1:17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6"/>
    </row>
    <row r="1011" spans="1:17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6"/>
    </row>
    <row r="1012" spans="1:17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6"/>
    </row>
    <row r="1013" spans="1:17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6"/>
    </row>
    <row r="1014" spans="1:17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6"/>
    </row>
    <row r="1015" spans="1:17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6"/>
    </row>
    <row r="1016" spans="1:17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6"/>
    </row>
    <row r="1017" spans="1:17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6"/>
    </row>
    <row r="1018" spans="1:17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6"/>
    </row>
    <row r="1019" spans="1:17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6"/>
    </row>
    <row r="1020" spans="1:17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6"/>
    </row>
    <row r="1021" spans="1:17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6"/>
    </row>
    <row r="1022" spans="1:17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6"/>
    </row>
    <row r="1023" spans="1:17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6"/>
    </row>
    <row r="1024" spans="1:17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6"/>
    </row>
    <row r="1025" spans="1:17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6"/>
    </row>
    <row r="1026" spans="1:17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6"/>
    </row>
    <row r="1027" spans="1:17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6"/>
    </row>
    <row r="1028" spans="1:17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6"/>
    </row>
    <row r="1029" spans="1:17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6"/>
    </row>
    <row r="1030" spans="1:17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6"/>
    </row>
    <row r="1031" spans="1:17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6"/>
    </row>
    <row r="1032" spans="1:17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6"/>
    </row>
    <row r="1033" spans="1:17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6"/>
    </row>
    <row r="1034" spans="1:17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6"/>
    </row>
    <row r="1035" spans="1:17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6"/>
    </row>
    <row r="1036" spans="1:17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6"/>
    </row>
    <row r="1037" spans="1:17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6"/>
    </row>
    <row r="1038" spans="1:17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6"/>
    </row>
    <row r="1039" spans="1:17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6"/>
    </row>
    <row r="1040" spans="1:17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6"/>
    </row>
    <row r="1041" spans="1:17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6"/>
    </row>
    <row r="1042" spans="1:17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6"/>
    </row>
    <row r="1043" spans="1:17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6"/>
    </row>
    <row r="1044" spans="1:17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6"/>
    </row>
    <row r="1045" spans="1:17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6"/>
    </row>
    <row r="1046" spans="1:17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6"/>
    </row>
    <row r="1047" spans="1:17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6"/>
    </row>
    <row r="1048" spans="1:17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6"/>
    </row>
    <row r="1049" spans="1:17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6"/>
    </row>
    <row r="1050" spans="1:17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6"/>
    </row>
    <row r="1051" spans="1:17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6"/>
    </row>
    <row r="1052" spans="1:17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6"/>
    </row>
    <row r="1053" spans="1:17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6"/>
    </row>
    <row r="1054" spans="1:17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6"/>
    </row>
    <row r="1055" spans="1:17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6"/>
    </row>
    <row r="1056" spans="1:17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6"/>
    </row>
    <row r="1057" spans="1:17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6"/>
    </row>
    <row r="1058" spans="1:17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6"/>
    </row>
    <row r="1059" spans="1:17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6"/>
    </row>
    <row r="1060" spans="1:17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6"/>
    </row>
    <row r="1061" spans="1:17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6"/>
    </row>
    <row r="1062" spans="1:17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6"/>
    </row>
    <row r="1063" spans="1:17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6"/>
    </row>
    <row r="1064" spans="1:17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6"/>
    </row>
    <row r="1065" spans="1:17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6"/>
    </row>
    <row r="1066" spans="1:17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6"/>
    </row>
    <row r="1067" spans="1:17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6"/>
    </row>
    <row r="1068" spans="1:17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6"/>
    </row>
    <row r="1069" spans="1:17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6"/>
    </row>
    <row r="1070" spans="1:17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6"/>
    </row>
    <row r="1071" spans="1:17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6"/>
    </row>
    <row r="1072" spans="1:17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6"/>
    </row>
    <row r="1073" spans="1:17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6"/>
    </row>
    <row r="1074" spans="1:17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6"/>
    </row>
    <row r="1075" spans="1:17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6"/>
    </row>
    <row r="1076" spans="1:17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6"/>
    </row>
    <row r="1077" spans="1:17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6"/>
    </row>
    <row r="1078" spans="1:17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6"/>
    </row>
    <row r="1079" spans="1:17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6"/>
    </row>
    <row r="1080" spans="1:17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6"/>
    </row>
    <row r="1081" spans="1:17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6"/>
    </row>
    <row r="1082" spans="1:17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6"/>
    </row>
    <row r="1083" spans="1:17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6"/>
    </row>
    <row r="1084" spans="1:17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6"/>
    </row>
    <row r="1085" spans="1:17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6"/>
    </row>
    <row r="1086" spans="1:17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6"/>
    </row>
    <row r="1087" spans="1:17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6"/>
    </row>
    <row r="1088" spans="1:17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6"/>
    </row>
    <row r="1089" spans="1:17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6"/>
    </row>
    <row r="1090" spans="1:17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6"/>
    </row>
    <row r="1091" spans="1:17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6"/>
    </row>
    <row r="1092" spans="1:17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6"/>
    </row>
    <row r="1093" spans="1:17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6"/>
    </row>
    <row r="1094" spans="1:17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6"/>
    </row>
    <row r="1095" spans="1:17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6"/>
    </row>
    <row r="1096" spans="1:17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6"/>
    </row>
    <row r="1097" spans="1:17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6"/>
    </row>
    <row r="1098" spans="1:17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6"/>
    </row>
    <row r="1099" spans="1:17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6"/>
    </row>
    <row r="1100" spans="1:17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6"/>
    </row>
    <row r="1101" spans="1:17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6"/>
    </row>
    <row r="1102" spans="1:17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6"/>
    </row>
    <row r="1103" spans="1:17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6"/>
    </row>
    <row r="1104" spans="1:17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6"/>
    </row>
    <row r="1105" spans="1:17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6"/>
    </row>
    <row r="1106" spans="1:17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6"/>
    </row>
    <row r="1107" spans="1:17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6"/>
    </row>
    <row r="1108" spans="1:17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6"/>
    </row>
    <row r="1109" spans="1:17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6"/>
    </row>
    <row r="1110" spans="1:17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6"/>
    </row>
    <row r="1111" spans="1:17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6"/>
    </row>
    <row r="1112" spans="1:17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6"/>
    </row>
    <row r="1113" spans="1:17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6"/>
    </row>
    <row r="1114" spans="1:17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6"/>
    </row>
    <row r="1115" spans="1:17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6"/>
    </row>
    <row r="1116" spans="1:17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6"/>
    </row>
    <row r="1117" spans="1:17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6"/>
    </row>
    <row r="1118" spans="1:17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6"/>
    </row>
    <row r="1119" spans="1:17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6"/>
    </row>
    <row r="1120" spans="1:17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6"/>
    </row>
    <row r="1121" spans="1:17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6"/>
    </row>
    <row r="1122" spans="1:17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6"/>
    </row>
    <row r="1123" spans="1:17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6"/>
    </row>
    <row r="1124" spans="1:17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6"/>
    </row>
    <row r="1125" spans="1:17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6"/>
    </row>
    <row r="1126" spans="1:17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6"/>
    </row>
    <row r="1127" spans="1:17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6"/>
    </row>
    <row r="1128" spans="1:17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6"/>
    </row>
    <row r="1129" spans="1:17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6"/>
    </row>
    <row r="1130" spans="1:17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6"/>
    </row>
    <row r="1131" spans="1:17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6"/>
    </row>
    <row r="1132" spans="1:17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6"/>
    </row>
    <row r="1133" spans="1:17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6"/>
    </row>
    <row r="1134" spans="1:17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6"/>
    </row>
    <row r="1135" spans="1:17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6"/>
    </row>
    <row r="1136" spans="1:17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6"/>
    </row>
    <row r="1137" spans="1:17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6"/>
    </row>
    <row r="1138" spans="1:17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6"/>
    </row>
    <row r="1139" spans="1:17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6"/>
    </row>
    <row r="1140" spans="1:17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6"/>
    </row>
    <row r="1141" spans="1:17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6"/>
    </row>
    <row r="1142" spans="1:17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6"/>
    </row>
    <row r="1143" spans="1:17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6"/>
    </row>
    <row r="1144" spans="1:17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6"/>
    </row>
    <row r="1145" spans="1:17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6"/>
    </row>
    <row r="1146" spans="1:17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6"/>
    </row>
    <row r="1147" spans="1:17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6"/>
    </row>
    <row r="1148" spans="1:17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6"/>
    </row>
    <row r="1149" spans="1:17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6"/>
    </row>
    <row r="1150" spans="1:17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6"/>
    </row>
    <row r="1151" spans="1:17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6"/>
    </row>
    <row r="1152" spans="1:17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6"/>
    </row>
    <row r="1153" spans="1:17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6"/>
    </row>
    <row r="1154" spans="1:17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6"/>
    </row>
    <row r="1155" spans="1:17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6"/>
    </row>
    <row r="1156" spans="1:17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6"/>
    </row>
    <row r="1157" spans="1:17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6"/>
    </row>
    <row r="1158" spans="1:17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6"/>
    </row>
    <row r="1159" spans="1:17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6"/>
    </row>
    <row r="1160" spans="1:17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6"/>
    </row>
    <row r="1161" spans="1:17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6"/>
    </row>
    <row r="1162" spans="1:17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6"/>
    </row>
    <row r="1163" spans="1:17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6"/>
    </row>
    <row r="1164" spans="1:17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6"/>
    </row>
    <row r="1165" spans="1:17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6"/>
    </row>
    <row r="1166" spans="1:17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6"/>
    </row>
    <row r="1167" spans="1:17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6"/>
    </row>
    <row r="1168" spans="1:17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6"/>
    </row>
    <row r="1169" spans="1:17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6"/>
    </row>
    <row r="1170" spans="1:17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6"/>
    </row>
    <row r="1171" spans="1:17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6"/>
    </row>
    <row r="1172" spans="1:17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6"/>
    </row>
    <row r="1173" spans="1:17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6"/>
    </row>
    <row r="1174" spans="1:17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6"/>
    </row>
    <row r="1175" spans="1:17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6"/>
    </row>
    <row r="1176" spans="1:17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6"/>
    </row>
    <row r="1177" spans="1:17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6"/>
    </row>
    <row r="1178" spans="1:17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6"/>
    </row>
    <row r="1179" spans="1:17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6"/>
    </row>
    <row r="1180" spans="1:17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6"/>
    </row>
    <row r="1181" spans="1:17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6"/>
    </row>
    <row r="1182" spans="1:17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6"/>
    </row>
    <row r="1183" spans="1:17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6"/>
    </row>
    <row r="1184" spans="1:17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6"/>
    </row>
    <row r="1185" spans="1:17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6"/>
    </row>
    <row r="1186" spans="1:17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6"/>
    </row>
    <row r="1187" spans="1:17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6"/>
    </row>
    <row r="1188" spans="1:17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6"/>
    </row>
    <row r="1189" spans="1:17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6"/>
    </row>
    <row r="1190" spans="1:17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6"/>
    </row>
    <row r="1191" spans="1:17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6"/>
    </row>
    <row r="1192" spans="1:17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6"/>
    </row>
    <row r="1193" spans="1:17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6"/>
    </row>
    <row r="1194" spans="1:17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6"/>
    </row>
    <row r="1195" spans="1:17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6"/>
    </row>
    <row r="1196" spans="1:17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6"/>
    </row>
    <row r="1197" spans="1:17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6"/>
    </row>
    <row r="1198" spans="1:17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6"/>
    </row>
    <row r="1199" spans="1:17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6"/>
    </row>
    <row r="1200" spans="1:17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6"/>
    </row>
    <row r="1201" spans="1:17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6"/>
    </row>
    <row r="1202" spans="1:17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6"/>
    </row>
    <row r="1203" spans="1:17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6"/>
    </row>
    <row r="1204" spans="1:17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6"/>
    </row>
    <row r="1205" spans="1:17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6"/>
    </row>
    <row r="1206" spans="1:17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6"/>
    </row>
    <row r="1207" spans="1:17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6"/>
    </row>
    <row r="1208" spans="1:17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6"/>
    </row>
    <row r="1209" spans="1:17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6"/>
    </row>
    <row r="1210" spans="1:17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6"/>
    </row>
    <row r="1211" spans="1:17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6"/>
    </row>
    <row r="1212" spans="1:17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6"/>
    </row>
    <row r="1213" spans="1:17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6"/>
    </row>
    <row r="1214" spans="1:17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6"/>
    </row>
    <row r="1215" spans="1:17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6"/>
    </row>
    <row r="1216" spans="1:17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6"/>
    </row>
    <row r="1217" spans="1:17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6"/>
    </row>
    <row r="1218" spans="1:17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6"/>
    </row>
    <row r="1219" spans="1:17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6"/>
    </row>
    <row r="1220" spans="1:17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6"/>
    </row>
    <row r="1221" spans="1:17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6"/>
    </row>
    <row r="1222" spans="1:17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6"/>
    </row>
    <row r="1223" spans="1:17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6"/>
    </row>
    <row r="1224" spans="1:17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6"/>
    </row>
    <row r="1225" spans="1:17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6"/>
    </row>
    <row r="1226" spans="1:17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6"/>
    </row>
    <row r="1227" spans="1:17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6"/>
    </row>
    <row r="1228" spans="1:17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6"/>
    </row>
    <row r="1229" spans="1:17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6"/>
    </row>
    <row r="1230" spans="1:17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6"/>
    </row>
    <row r="1231" spans="1:17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6"/>
    </row>
    <row r="1232" spans="1:17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6"/>
    </row>
    <row r="1233" spans="1:17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6"/>
    </row>
    <row r="1234" spans="1:17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6"/>
    </row>
    <row r="1235" spans="1:17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6"/>
    </row>
    <row r="1236" spans="1:17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6"/>
    </row>
    <row r="1237" spans="1:17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6"/>
    </row>
    <row r="1238" spans="1:17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6"/>
    </row>
    <row r="1239" spans="1:17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6"/>
    </row>
    <row r="1240" spans="1:17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6"/>
    </row>
    <row r="1241" spans="1:17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6"/>
    </row>
    <row r="1242" spans="1:17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6"/>
    </row>
    <row r="1243" spans="1:17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6"/>
    </row>
    <row r="1244" spans="1:17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6"/>
    </row>
    <row r="1245" spans="1:17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6"/>
    </row>
    <row r="1246" spans="1:17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6"/>
    </row>
    <row r="1247" spans="1:17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6"/>
    </row>
    <row r="1248" spans="1:17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6"/>
    </row>
    <row r="1249" spans="1:17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6"/>
    </row>
    <row r="1250" spans="1:17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6"/>
    </row>
    <row r="1251" spans="1:17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6"/>
    </row>
    <row r="1252" spans="1:17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6"/>
    </row>
    <row r="1253" spans="1:17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6"/>
    </row>
    <row r="1254" spans="1:17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6"/>
    </row>
    <row r="1255" spans="1:17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6"/>
    </row>
    <row r="1256" spans="1:17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6"/>
    </row>
    <row r="1257" spans="1:17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6"/>
    </row>
    <row r="1258" spans="1:17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6"/>
    </row>
    <row r="1259" spans="1:17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6"/>
    </row>
    <row r="1260" spans="1:17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6"/>
    </row>
    <row r="1261" spans="1:17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6"/>
    </row>
    <row r="1262" spans="1:17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6"/>
    </row>
    <row r="1263" spans="1:17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6"/>
    </row>
    <row r="1264" spans="1:17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6"/>
    </row>
    <row r="1265" spans="1:17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6"/>
    </row>
    <row r="1266" spans="1:17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6"/>
    </row>
    <row r="1267" spans="1:17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6"/>
    </row>
    <row r="1268" spans="1:17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6"/>
    </row>
    <row r="1269" spans="1:17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6"/>
    </row>
    <row r="1270" spans="1:17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6"/>
    </row>
    <row r="1271" spans="1:17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6"/>
    </row>
    <row r="1272" spans="1:17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6"/>
    </row>
    <row r="1273" spans="1:17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6"/>
    </row>
    <row r="1274" spans="1:17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6"/>
    </row>
    <row r="1275" spans="1:17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6"/>
    </row>
    <row r="1276" spans="1:17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6"/>
    </row>
    <row r="1277" spans="1:17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6"/>
    </row>
    <row r="1278" spans="1:17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6"/>
    </row>
    <row r="1279" spans="1:17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6"/>
    </row>
    <row r="1280" spans="1:17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6"/>
    </row>
    <row r="1281" spans="1:17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6"/>
    </row>
    <row r="1282" spans="1:17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6"/>
    </row>
    <row r="1283" spans="1:17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6"/>
    </row>
    <row r="1284" spans="1:17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6"/>
    </row>
    <row r="1285" spans="1:17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6"/>
    </row>
    <row r="1286" spans="1:17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6"/>
    </row>
    <row r="1287" spans="1:17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6"/>
    </row>
    <row r="1288" spans="1:17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6"/>
    </row>
    <row r="1289" spans="1:17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6"/>
    </row>
    <row r="1290" spans="1:17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6"/>
    </row>
    <row r="1291" spans="1:17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6"/>
    </row>
    <row r="1292" spans="1:17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6"/>
    </row>
    <row r="1293" spans="1:17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6"/>
    </row>
    <row r="1294" spans="1:17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6"/>
    </row>
    <row r="1295" spans="1:17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6"/>
    </row>
    <row r="1296" spans="1:17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6"/>
    </row>
    <row r="1297" spans="1:17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6"/>
    </row>
    <row r="1298" spans="1:17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6"/>
    </row>
    <row r="1299" spans="1:17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6"/>
    </row>
    <row r="1300" spans="1:17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6"/>
    </row>
    <row r="1301" spans="1:17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6"/>
    </row>
    <row r="1302" spans="1:17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6"/>
    </row>
    <row r="1303" spans="1:17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6"/>
    </row>
    <row r="1304" spans="1:17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6"/>
    </row>
    <row r="1305" spans="1:17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6"/>
    </row>
    <row r="1306" spans="1:17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6"/>
    </row>
    <row r="1307" spans="1:17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6"/>
    </row>
    <row r="1308" spans="1:17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6"/>
    </row>
    <row r="1309" spans="1:17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6"/>
    </row>
    <row r="1310" spans="1:17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6"/>
    </row>
    <row r="1311" spans="1:17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6"/>
    </row>
    <row r="1312" spans="1:17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6"/>
    </row>
    <row r="1313" spans="1:17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6"/>
    </row>
    <row r="1314" spans="1:17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6"/>
    </row>
    <row r="1315" spans="1:17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6"/>
    </row>
    <row r="1316" spans="1:17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6"/>
    </row>
    <row r="1317" spans="1:17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6"/>
    </row>
    <row r="1318" spans="1:17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6"/>
    </row>
    <row r="1319" spans="1:17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6"/>
    </row>
    <row r="1320" spans="1:17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6"/>
    </row>
    <row r="1321" spans="1:17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6"/>
    </row>
    <row r="1322" spans="1:17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6"/>
    </row>
    <row r="1323" spans="1:17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6"/>
    </row>
    <row r="1324" spans="1:17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6"/>
    </row>
    <row r="1325" spans="1:17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6"/>
    </row>
    <row r="1326" spans="1:17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6"/>
    </row>
    <row r="1327" spans="1:17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6"/>
    </row>
    <row r="1328" spans="1:17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6"/>
    </row>
    <row r="1329" spans="1:17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6"/>
    </row>
    <row r="1330" spans="1:17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6"/>
    </row>
    <row r="1331" spans="1:17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6"/>
    </row>
    <row r="1332" spans="1:17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6"/>
    </row>
    <row r="1333" spans="1:17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6"/>
    </row>
    <row r="1334" spans="1:17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6"/>
    </row>
    <row r="1335" spans="1:17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6"/>
    </row>
    <row r="1336" spans="1:17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6"/>
    </row>
    <row r="1337" spans="1:17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6"/>
    </row>
    <row r="1338" spans="1:17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6"/>
    </row>
    <row r="1339" spans="1:17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6"/>
    </row>
    <row r="1340" spans="1:17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6"/>
    </row>
    <row r="1341" spans="1:17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6"/>
    </row>
    <row r="1342" spans="1:17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6"/>
    </row>
    <row r="1343" spans="1:17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6"/>
    </row>
    <row r="1344" spans="1:17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6"/>
    </row>
    <row r="1345" spans="1:17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6"/>
    </row>
    <row r="1346" spans="1:17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6"/>
    </row>
    <row r="1347" spans="1:17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6"/>
    </row>
    <row r="1348" spans="1:17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6"/>
    </row>
    <row r="1349" spans="1:17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6"/>
    </row>
    <row r="1350" spans="1:17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6"/>
    </row>
    <row r="1351" spans="1:17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6"/>
    </row>
    <row r="1352" spans="1:17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6"/>
    </row>
    <row r="1353" spans="1:17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6"/>
    </row>
    <row r="1354" spans="1:17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6"/>
    </row>
    <row r="1355" spans="1:17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6"/>
    </row>
    <row r="1356" spans="1:17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6"/>
    </row>
    <row r="1357" spans="1:17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6"/>
    </row>
    <row r="1358" spans="1:17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6"/>
    </row>
    <row r="1359" spans="1:17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6"/>
    </row>
    <row r="1360" spans="1:17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6"/>
    </row>
    <row r="1361" spans="1:17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6"/>
    </row>
    <row r="1362" spans="1:17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6"/>
    </row>
    <row r="1363" spans="1:17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6"/>
    </row>
    <row r="1364" spans="1:17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6"/>
    </row>
    <row r="1365" spans="1:17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6"/>
    </row>
    <row r="1366" spans="1:17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6"/>
    </row>
    <row r="1367" spans="1:17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6"/>
    </row>
    <row r="1368" spans="1:17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6"/>
    </row>
    <row r="1369" spans="1:17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6"/>
    </row>
    <row r="1370" spans="1:17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6"/>
    </row>
    <row r="1371" spans="1:17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6"/>
    </row>
    <row r="1372" spans="1:17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6"/>
    </row>
    <row r="1373" spans="1:17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6"/>
    </row>
    <row r="1374" spans="1:17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6"/>
    </row>
    <row r="1375" spans="1:17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6"/>
    </row>
    <row r="1376" spans="1:17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6"/>
    </row>
    <row r="1377" spans="1:17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6"/>
    </row>
    <row r="1378" spans="1:17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6"/>
    </row>
    <row r="1379" spans="1:17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6"/>
    </row>
    <row r="1380" spans="1:17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6"/>
    </row>
    <row r="1381" spans="1:17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6"/>
    </row>
    <row r="1382" spans="1:17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6"/>
    </row>
    <row r="1383" spans="1:17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6"/>
    </row>
    <row r="1384" spans="1:17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6"/>
    </row>
    <row r="1385" spans="1:17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6"/>
    </row>
    <row r="1386" spans="1:17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6"/>
    </row>
    <row r="1387" spans="1:17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6"/>
    </row>
    <row r="1388" spans="1:17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6"/>
    </row>
    <row r="1389" spans="1:17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6"/>
    </row>
    <row r="1390" spans="1:17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6"/>
    </row>
    <row r="1391" spans="1:17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6"/>
    </row>
    <row r="1392" spans="1:17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6"/>
    </row>
    <row r="1393" spans="1:17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6"/>
    </row>
    <row r="1394" spans="1:17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6"/>
    </row>
    <row r="1395" spans="1:17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6"/>
    </row>
    <row r="1396" spans="1:17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6"/>
    </row>
    <row r="1397" spans="1:17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6"/>
    </row>
    <row r="1398" spans="1:17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6"/>
    </row>
    <row r="1399" spans="1:17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6"/>
    </row>
    <row r="1400" spans="1:17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6"/>
    </row>
    <row r="1401" spans="1:17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6"/>
    </row>
    <row r="1402" spans="1:17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6"/>
    </row>
    <row r="1403" spans="1:17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6"/>
    </row>
    <row r="1404" spans="1:17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6"/>
    </row>
    <row r="1405" spans="1:17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6"/>
    </row>
    <row r="1406" spans="1:17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6"/>
    </row>
    <row r="1407" spans="1:17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6"/>
    </row>
    <row r="1408" spans="1:17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6"/>
    </row>
    <row r="1409" spans="1:17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6"/>
    </row>
    <row r="1410" spans="1:17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6"/>
    </row>
    <row r="1411" spans="1:17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6"/>
    </row>
    <row r="1412" spans="1:17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6"/>
    </row>
    <row r="1413" spans="1:17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6"/>
    </row>
    <row r="1414" spans="1:17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6"/>
    </row>
    <row r="1415" spans="1:17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6"/>
    </row>
    <row r="1416" spans="1:17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6"/>
    </row>
    <row r="1417" spans="1:17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6"/>
    </row>
    <row r="1418" spans="1:17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6"/>
    </row>
    <row r="1419" spans="1:17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6"/>
    </row>
    <row r="1420" spans="1:17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6"/>
    </row>
    <row r="1421" spans="1:17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6"/>
    </row>
    <row r="1422" spans="1:17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6"/>
    </row>
    <row r="1423" spans="1:17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6"/>
    </row>
    <row r="1424" spans="1:17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6"/>
    </row>
    <row r="1425" spans="1:17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6"/>
    </row>
    <row r="1426" spans="1:17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6"/>
    </row>
    <row r="1427" spans="1:17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6"/>
    </row>
    <row r="1428" spans="1:17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6"/>
    </row>
    <row r="1429" spans="1:17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6"/>
    </row>
    <row r="1430" spans="1:17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6"/>
    </row>
    <row r="1431" spans="1:17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6"/>
    </row>
    <row r="1432" spans="1:17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6"/>
    </row>
    <row r="1433" spans="1:17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6"/>
    </row>
    <row r="1434" spans="1:17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6"/>
    </row>
    <row r="1435" spans="1:17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6"/>
    </row>
    <row r="1436" spans="1:17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6"/>
    </row>
    <row r="1437" spans="1:17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6"/>
    </row>
    <row r="1438" spans="1:17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6"/>
    </row>
    <row r="1439" spans="1:17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6"/>
    </row>
    <row r="1440" spans="1:17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6"/>
    </row>
    <row r="1441" spans="1:17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6"/>
    </row>
    <row r="1442" spans="1:17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6"/>
    </row>
    <row r="1443" spans="1:17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6"/>
    </row>
    <row r="1444" spans="1:17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6"/>
    </row>
    <row r="1445" spans="1:17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6"/>
    </row>
    <row r="1446" spans="1:17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6"/>
    </row>
    <row r="1447" spans="1:17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6"/>
    </row>
    <row r="1448" spans="1:17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6"/>
    </row>
    <row r="1449" spans="1:17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6"/>
    </row>
    <row r="1450" spans="1:17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6"/>
    </row>
    <row r="1451" spans="1:17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6"/>
    </row>
    <row r="1452" spans="1:17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6"/>
    </row>
    <row r="1453" spans="1:17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6"/>
    </row>
    <row r="1454" spans="1:17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6"/>
    </row>
    <row r="1455" spans="1:17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6"/>
    </row>
    <row r="1456" spans="1:17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6"/>
    </row>
    <row r="1457" spans="1:17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6"/>
    </row>
    <row r="1458" spans="1:17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6"/>
    </row>
    <row r="1459" spans="1:17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6"/>
    </row>
    <row r="1460" spans="1:17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6"/>
    </row>
    <row r="1461" spans="1:17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6"/>
    </row>
    <row r="1462" spans="1:17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6"/>
    </row>
    <row r="1463" spans="1:17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6"/>
    </row>
    <row r="1464" spans="1:17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6"/>
    </row>
    <row r="1465" spans="1:17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6"/>
    </row>
    <row r="1466" spans="1:17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6"/>
    </row>
    <row r="1467" spans="1:17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6"/>
    </row>
    <row r="1468" spans="1:17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6"/>
    </row>
    <row r="1469" spans="1:17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6"/>
    </row>
    <row r="1470" spans="1:17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6"/>
    </row>
    <row r="1471" spans="1:17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6"/>
    </row>
    <row r="1472" spans="1:17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6"/>
    </row>
    <row r="1473" spans="1:17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6"/>
    </row>
    <row r="1474" spans="1:17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6"/>
    </row>
    <row r="1475" spans="1:17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6"/>
    </row>
    <row r="1476" spans="1:17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6"/>
    </row>
    <row r="1477" spans="1:17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6"/>
    </row>
    <row r="1478" spans="1:17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6"/>
    </row>
    <row r="1479" spans="1:17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6"/>
    </row>
    <row r="1480" spans="1:17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6"/>
    </row>
    <row r="1481" spans="1:17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6"/>
    </row>
    <row r="1482" spans="1:17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6"/>
    </row>
    <row r="1483" spans="1:17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6"/>
    </row>
    <row r="1484" spans="1:17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6"/>
    </row>
    <row r="1485" spans="1:17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6"/>
    </row>
    <row r="1486" spans="1:17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6"/>
    </row>
    <row r="1487" spans="1:17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6"/>
    </row>
    <row r="1488" spans="1:17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6"/>
    </row>
    <row r="1489" spans="1:17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6"/>
    </row>
    <row r="1490" spans="1:17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6"/>
    </row>
    <row r="1491" spans="1:17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6"/>
    </row>
    <row r="1492" spans="1:17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6"/>
    </row>
    <row r="1493" spans="1:17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6"/>
    </row>
    <row r="1494" spans="1:17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6"/>
    </row>
    <row r="1495" spans="1:17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6"/>
    </row>
    <row r="1496" spans="1:17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6"/>
    </row>
    <row r="1497" spans="1:17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6"/>
    </row>
    <row r="1498" spans="1:17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6"/>
    </row>
    <row r="1499" spans="1:17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6"/>
    </row>
    <row r="1500" spans="1:17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6"/>
    </row>
    <row r="1501" spans="1:17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6"/>
    </row>
    <row r="1502" spans="1:17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6"/>
    </row>
    <row r="1503" spans="1:17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6"/>
    </row>
    <row r="1504" spans="1:17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6"/>
    </row>
    <row r="1505" spans="1:17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6"/>
    </row>
    <row r="1506" spans="1:17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6"/>
    </row>
    <row r="1507" spans="1:17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6"/>
    </row>
    <row r="1508" spans="1:17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6"/>
    </row>
    <row r="1509" spans="1:17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6"/>
    </row>
    <row r="1510" spans="1:17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6"/>
    </row>
    <row r="1511" spans="1:17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6"/>
    </row>
    <row r="1512" spans="1:17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6"/>
    </row>
    <row r="1513" spans="1:17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6"/>
    </row>
    <row r="1514" spans="1:17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6"/>
    </row>
    <row r="1515" spans="1:17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6"/>
    </row>
    <row r="1516" spans="1:17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6"/>
    </row>
    <row r="1517" spans="1:17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6"/>
    </row>
    <row r="1518" spans="1:17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6"/>
    </row>
    <row r="1519" spans="1:17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6"/>
    </row>
    <row r="1520" spans="1:17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6"/>
    </row>
    <row r="1521" spans="1:17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6"/>
    </row>
    <row r="1522" spans="1:17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6"/>
    </row>
    <row r="1523" spans="1:17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6"/>
    </row>
    <row r="1524" spans="1:17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6"/>
    </row>
    <row r="1525" spans="1:17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6"/>
    </row>
    <row r="1526" spans="1:17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6"/>
    </row>
    <row r="1527" spans="1:17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6"/>
    </row>
    <row r="1528" spans="1:17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6"/>
    </row>
    <row r="1529" spans="1:17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6"/>
    </row>
    <row r="1530" spans="1:17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6"/>
    </row>
    <row r="1531" spans="1:17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6"/>
    </row>
    <row r="1532" spans="1:17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6"/>
    </row>
    <row r="1533" spans="1:17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6"/>
    </row>
    <row r="1534" spans="1:17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6"/>
    </row>
    <row r="1535" spans="1:17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6"/>
    </row>
    <row r="1536" spans="1:17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6"/>
    </row>
    <row r="1537" spans="1:17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6"/>
    </row>
    <row r="1538" spans="1:17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6"/>
    </row>
    <row r="1539" spans="1:17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6"/>
    </row>
    <row r="1540" spans="1:17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6"/>
    </row>
    <row r="1541" spans="1:17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6"/>
    </row>
    <row r="1542" spans="1:17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6"/>
    </row>
    <row r="1543" spans="1:17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6"/>
    </row>
    <row r="1544" spans="1:17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6"/>
    </row>
    <row r="1545" spans="1:17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6"/>
    </row>
    <row r="1546" spans="1:17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6"/>
    </row>
    <row r="1547" spans="1:17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6"/>
    </row>
    <row r="1548" spans="1:17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6"/>
    </row>
    <row r="1549" spans="1:17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6"/>
    </row>
    <row r="1550" spans="1:17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6"/>
    </row>
    <row r="1551" spans="1:17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6"/>
    </row>
    <row r="1552" spans="1:17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6"/>
    </row>
    <row r="1553" spans="1:17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6"/>
    </row>
    <row r="1554" spans="1:17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6"/>
    </row>
    <row r="1555" spans="1:17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6"/>
    </row>
    <row r="1556" spans="1:17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6"/>
    </row>
    <row r="1557" spans="1:17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6"/>
    </row>
    <row r="1558" spans="1:17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6"/>
    </row>
    <row r="1559" spans="1:17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6"/>
    </row>
    <row r="1560" spans="1:17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6"/>
    </row>
    <row r="1561" spans="1:17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6"/>
    </row>
    <row r="1562" spans="1:17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6"/>
    </row>
    <row r="1563" spans="1:17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6"/>
    </row>
    <row r="1564" spans="1:17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6"/>
    </row>
    <row r="1565" spans="1:17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6"/>
    </row>
    <row r="1566" spans="1:17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6"/>
    </row>
    <row r="1567" spans="1:17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6"/>
    </row>
    <row r="1568" spans="1:17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6"/>
    </row>
    <row r="1569" spans="1:17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6"/>
    </row>
    <row r="1570" spans="1:17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6"/>
    </row>
    <row r="1571" spans="1:17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6"/>
    </row>
    <row r="1572" spans="1:17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6"/>
    </row>
    <row r="1573" spans="1:17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6"/>
    </row>
    <row r="1574" spans="1:17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6"/>
    </row>
    <row r="1575" spans="1:17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6"/>
    </row>
    <row r="1576" spans="1:17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6"/>
    </row>
    <row r="1577" spans="1:17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6"/>
    </row>
    <row r="1578" spans="1:17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6"/>
    </row>
    <row r="1579" spans="1:17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6"/>
    </row>
    <row r="1580" spans="1:17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6"/>
    </row>
    <row r="1581" spans="1:17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6"/>
    </row>
    <row r="1582" spans="1:17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6"/>
    </row>
    <row r="1583" spans="1:17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6"/>
    </row>
    <row r="1584" spans="1:17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6"/>
    </row>
    <row r="1585" spans="1:17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6"/>
    </row>
    <row r="1586" spans="1:17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6"/>
    </row>
    <row r="1587" spans="1:17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6"/>
    </row>
    <row r="1588" spans="1:17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6"/>
    </row>
    <row r="1589" spans="1:17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6"/>
    </row>
    <row r="1590" spans="1:17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6"/>
    </row>
    <row r="1591" spans="1:17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6"/>
    </row>
    <row r="1592" spans="1:17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6"/>
    </row>
    <row r="1593" spans="1:17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6"/>
    </row>
    <row r="1594" spans="1:17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6"/>
    </row>
    <row r="1595" spans="1:17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6"/>
    </row>
    <row r="1596" spans="1:17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6"/>
    </row>
    <row r="1597" spans="1:17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6"/>
    </row>
    <row r="1598" spans="1:17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6"/>
    </row>
    <row r="1599" spans="1:17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6"/>
    </row>
    <row r="1600" spans="1:17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6"/>
    </row>
    <row r="1601" spans="1:17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6"/>
    </row>
    <row r="1602" spans="1:17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6"/>
    </row>
    <row r="1603" spans="1:17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6"/>
    </row>
    <row r="1604" spans="1:17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6"/>
    </row>
    <row r="1605" spans="1:17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6"/>
    </row>
    <row r="1606" spans="1:17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6"/>
    </row>
    <row r="1607" spans="1:17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6"/>
    </row>
    <row r="1608" spans="1:17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6"/>
    </row>
    <row r="1609" spans="1:17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6"/>
    </row>
    <row r="1610" spans="1:17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6"/>
    </row>
    <row r="1611" spans="1:17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6"/>
    </row>
    <row r="1612" spans="1:17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6"/>
    </row>
    <row r="1613" spans="1:17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6"/>
    </row>
    <row r="1614" spans="1:17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6"/>
    </row>
    <row r="1615" spans="1:17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6"/>
    </row>
    <row r="1616" spans="1:17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6"/>
    </row>
    <row r="1617" spans="1:17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6"/>
    </row>
    <row r="1618" spans="1:17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6"/>
    </row>
    <row r="1619" spans="1:17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6"/>
    </row>
    <row r="1620" spans="1:17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6"/>
    </row>
    <row r="1621" spans="1:17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6"/>
    </row>
    <row r="1622" spans="1:17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6"/>
    </row>
    <row r="1623" spans="1:17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6"/>
    </row>
    <row r="1624" spans="1:17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6"/>
    </row>
    <row r="1625" spans="1:17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6"/>
    </row>
    <row r="1626" spans="1:17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6"/>
    </row>
    <row r="1627" spans="1:17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6"/>
    </row>
    <row r="1628" spans="1:17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6"/>
    </row>
    <row r="1629" spans="1:17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6"/>
    </row>
    <row r="1630" spans="1:17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6"/>
    </row>
    <row r="1631" spans="1:17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6"/>
    </row>
    <row r="1632" spans="1:17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6"/>
    </row>
    <row r="1633" spans="1:17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6"/>
    </row>
    <row r="1634" spans="1:17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6"/>
    </row>
    <row r="1635" spans="1:17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6"/>
    </row>
    <row r="1636" spans="1:17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6"/>
    </row>
    <row r="1637" spans="1:17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6"/>
    </row>
    <row r="1638" spans="1:17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6"/>
    </row>
    <row r="1639" spans="1:17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6"/>
    </row>
    <row r="1640" spans="1:17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6"/>
    </row>
    <row r="1641" spans="1:17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6"/>
    </row>
    <row r="1642" spans="1:17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6"/>
    </row>
    <row r="1643" spans="1:17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6"/>
    </row>
    <row r="1644" spans="1:17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6"/>
    </row>
    <row r="1645" spans="1:17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6"/>
    </row>
    <row r="1646" spans="1:17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6"/>
    </row>
    <row r="1647" spans="1:17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6"/>
    </row>
    <row r="1648" spans="1:17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6"/>
    </row>
    <row r="1649" spans="1:17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6"/>
    </row>
    <row r="1650" spans="1:17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6"/>
    </row>
    <row r="1651" spans="1:17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6"/>
    </row>
    <row r="1652" spans="1:17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6"/>
    </row>
    <row r="1653" spans="1:17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6"/>
    </row>
    <row r="1654" spans="1:17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6"/>
    </row>
    <row r="1655" spans="1:17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6"/>
    </row>
    <row r="1656" spans="1:17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6"/>
    </row>
    <row r="1657" spans="1:17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6"/>
    </row>
    <row r="1658" spans="1:17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6"/>
    </row>
    <row r="1659" spans="1:17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6"/>
    </row>
    <row r="1660" spans="1:17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6"/>
    </row>
    <row r="1661" spans="1:17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6"/>
    </row>
    <row r="1662" spans="1:17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6"/>
    </row>
    <row r="1663" spans="1:17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6"/>
    </row>
    <row r="1664" spans="1:17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6"/>
    </row>
    <row r="1665" spans="1:17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6"/>
    </row>
    <row r="1666" spans="1:17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6"/>
    </row>
    <row r="1667" spans="1:17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6"/>
    </row>
    <row r="1668" spans="1:17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6"/>
    </row>
    <row r="1669" spans="1:17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6"/>
    </row>
    <row r="1670" spans="1:17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6"/>
    </row>
    <row r="1671" spans="1:17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6"/>
    </row>
    <row r="1672" spans="1:17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6"/>
    </row>
    <row r="1673" spans="1:17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6"/>
    </row>
    <row r="1674" spans="1:17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6"/>
    </row>
    <row r="1675" spans="1:17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6"/>
    </row>
    <row r="1676" spans="1:17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6"/>
    </row>
    <row r="1677" spans="1:17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6"/>
    </row>
    <row r="1678" spans="1:17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6"/>
    </row>
    <row r="1679" spans="1:17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6"/>
    </row>
    <row r="1680" spans="1:17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6"/>
    </row>
    <row r="1681" spans="1:17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6"/>
    </row>
    <row r="1682" spans="1:17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6"/>
    </row>
    <row r="1683" spans="1:17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6"/>
    </row>
    <row r="1684" spans="1:17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6"/>
    </row>
    <row r="1685" spans="1:17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6"/>
    </row>
    <row r="1686" spans="1:17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6"/>
    </row>
    <row r="1687" spans="1:17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6"/>
    </row>
    <row r="1688" spans="1:17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6"/>
    </row>
    <row r="1689" spans="1:17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6"/>
    </row>
    <row r="1690" spans="1:17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6"/>
    </row>
    <row r="1691" spans="1:17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6"/>
    </row>
    <row r="1692" spans="1:17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6"/>
    </row>
    <row r="1693" spans="1:17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6"/>
    </row>
    <row r="1694" spans="1:17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6"/>
    </row>
    <row r="1695" spans="1:17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6"/>
    </row>
    <row r="1696" spans="1:17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6"/>
    </row>
    <row r="1697" spans="1:17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6"/>
    </row>
    <row r="1698" spans="1:17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6"/>
    </row>
    <row r="1699" spans="1:17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6"/>
    </row>
    <row r="1700" spans="1:17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6"/>
    </row>
    <row r="1701" spans="1:17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6"/>
    </row>
    <row r="1702" spans="1:17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6"/>
    </row>
    <row r="1703" spans="1:17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6"/>
    </row>
    <row r="1704" spans="1:17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6"/>
    </row>
    <row r="1705" spans="1:17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6"/>
    </row>
    <row r="1706" spans="1:17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6"/>
    </row>
    <row r="1707" spans="1:17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6"/>
    </row>
    <row r="1708" spans="1:17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6"/>
    </row>
    <row r="1709" spans="1:17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6"/>
    </row>
    <row r="1710" spans="1:17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6"/>
    </row>
    <row r="1711" spans="1:17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6"/>
    </row>
    <row r="1712" spans="1:17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6"/>
    </row>
    <row r="1713" spans="1:17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6"/>
    </row>
    <row r="1714" spans="1:17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6"/>
    </row>
    <row r="1715" spans="1:17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6"/>
    </row>
    <row r="1716" spans="1:17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6"/>
    </row>
    <row r="1717" spans="1:17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6"/>
    </row>
    <row r="1718" spans="1:17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6"/>
    </row>
    <row r="1719" spans="1:17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6"/>
    </row>
    <row r="1720" spans="1:17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6"/>
    </row>
    <row r="1721" spans="1:17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6"/>
    </row>
    <row r="1722" spans="1:17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6"/>
    </row>
    <row r="1723" spans="1:17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6"/>
    </row>
    <row r="1724" spans="1:17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6"/>
    </row>
    <row r="1725" spans="1:17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6"/>
    </row>
    <row r="1726" spans="1:17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6"/>
    </row>
    <row r="1727" spans="1:17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6"/>
    </row>
    <row r="1728" spans="1:17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6"/>
    </row>
    <row r="1729" spans="1:17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6"/>
    </row>
    <row r="1730" spans="1:17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6"/>
    </row>
    <row r="1731" spans="1:17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6"/>
    </row>
    <row r="1732" spans="1:17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6"/>
    </row>
    <row r="1733" spans="1:17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6"/>
    </row>
    <row r="1734" spans="1:17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6"/>
    </row>
    <row r="1735" spans="1:17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6"/>
    </row>
    <row r="1736" spans="1:17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6"/>
    </row>
    <row r="1737" spans="1:17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6"/>
    </row>
    <row r="1738" spans="1:17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6"/>
    </row>
    <row r="1739" spans="1:17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6"/>
    </row>
    <row r="1740" spans="1:17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6"/>
    </row>
    <row r="1741" spans="1:17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6"/>
    </row>
    <row r="1742" spans="1:17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6"/>
    </row>
    <row r="1743" spans="1:17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6"/>
    </row>
    <row r="1744" spans="1:17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6"/>
    </row>
    <row r="1745" spans="1:17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6"/>
    </row>
    <row r="1746" spans="1:17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6"/>
    </row>
    <row r="1747" spans="1:17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6"/>
    </row>
    <row r="1748" spans="1:17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6"/>
    </row>
    <row r="1749" spans="1:17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6"/>
    </row>
    <row r="1750" spans="1:17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6"/>
    </row>
    <row r="1751" spans="1:17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6"/>
    </row>
    <row r="1752" spans="1:17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6"/>
    </row>
    <row r="1753" spans="1:17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6"/>
    </row>
    <row r="1754" spans="1:17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6"/>
    </row>
    <row r="1755" spans="1:17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6"/>
    </row>
    <row r="1756" spans="1:17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6"/>
    </row>
    <row r="1757" spans="1:17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6"/>
    </row>
    <row r="1758" spans="1:17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6"/>
    </row>
    <row r="1759" spans="1:17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6"/>
    </row>
    <row r="1760" spans="1:17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6"/>
    </row>
    <row r="1761" spans="1:17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6"/>
    </row>
    <row r="1762" spans="1:17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6"/>
    </row>
    <row r="1763" spans="1:17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6"/>
    </row>
    <row r="1764" spans="1:17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6"/>
    </row>
    <row r="1765" spans="1:17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6"/>
    </row>
    <row r="1766" spans="1:17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6"/>
    </row>
    <row r="1767" spans="1:17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6"/>
    </row>
    <row r="1768" spans="1:17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6"/>
    </row>
    <row r="1769" spans="1:17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6"/>
    </row>
    <row r="1770" spans="1:17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6"/>
    </row>
    <row r="1771" spans="1:17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6"/>
    </row>
    <row r="1772" spans="1:17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6"/>
    </row>
    <row r="1773" spans="1:17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6"/>
    </row>
    <row r="1774" spans="1:17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6"/>
    </row>
    <row r="1775" spans="1:17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6"/>
    </row>
    <row r="1776" spans="1:17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6"/>
    </row>
    <row r="1777" spans="1:17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6"/>
    </row>
    <row r="1778" spans="1:17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6"/>
    </row>
    <row r="1779" spans="1:17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6"/>
    </row>
    <row r="1780" spans="1:17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6"/>
    </row>
    <row r="1781" spans="1:17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6"/>
    </row>
    <row r="1782" spans="1:17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6"/>
    </row>
    <row r="1783" spans="1:17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6"/>
    </row>
    <row r="1784" spans="1:17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6"/>
    </row>
    <row r="1785" spans="1:17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6"/>
    </row>
    <row r="1786" spans="1:17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6"/>
    </row>
    <row r="1787" spans="1:17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6"/>
    </row>
    <row r="1788" spans="1:17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6"/>
    </row>
    <row r="1789" spans="1:17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6"/>
    </row>
    <row r="1790" spans="1:17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6"/>
    </row>
    <row r="1791" spans="1:17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6"/>
    </row>
    <row r="1792" spans="1:17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6"/>
    </row>
    <row r="1793" spans="1:17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6"/>
    </row>
    <row r="1794" spans="1:17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6"/>
    </row>
    <row r="1795" spans="1:17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6"/>
    </row>
    <row r="1796" spans="1:17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6"/>
    </row>
    <row r="1797" spans="1:17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6"/>
    </row>
    <row r="1798" spans="1:17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6"/>
    </row>
    <row r="1799" spans="1:17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6"/>
    </row>
    <row r="1800" spans="1:17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6"/>
    </row>
    <row r="1801" spans="1:17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6"/>
    </row>
    <row r="1802" spans="1:17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6"/>
    </row>
    <row r="1803" spans="1:17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6"/>
    </row>
    <row r="1804" spans="1:17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6"/>
    </row>
    <row r="1805" spans="1:17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6"/>
    </row>
    <row r="1806" spans="1:17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6"/>
    </row>
    <row r="1807" spans="1:17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6"/>
    </row>
    <row r="1808" spans="1:17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6"/>
    </row>
    <row r="1809" spans="1:17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6"/>
    </row>
    <row r="1810" spans="1:17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6"/>
    </row>
    <row r="1811" spans="1:17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6"/>
    </row>
    <row r="1812" spans="1:17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6"/>
    </row>
    <row r="1813" spans="1:17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6"/>
    </row>
    <row r="1814" spans="1:17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6"/>
    </row>
    <row r="1815" spans="1:17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6"/>
    </row>
    <row r="1816" spans="1:17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6"/>
    </row>
    <row r="1817" spans="1:17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6"/>
    </row>
    <row r="1818" spans="1:17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6"/>
    </row>
    <row r="1819" spans="1:17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6"/>
    </row>
    <row r="1820" spans="1:17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6"/>
    </row>
    <row r="1821" spans="1:17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6"/>
    </row>
    <row r="1822" spans="1:17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6"/>
    </row>
    <row r="1823" spans="1:17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6"/>
    </row>
    <row r="1824" spans="1:17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6"/>
    </row>
    <row r="1825" spans="1:17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6"/>
    </row>
    <row r="1826" spans="1:17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6"/>
    </row>
    <row r="1827" spans="1:17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6"/>
    </row>
    <row r="1828" spans="1:17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6"/>
    </row>
    <row r="1829" spans="1:17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6"/>
    </row>
    <row r="1830" spans="1:17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6"/>
    </row>
    <row r="1831" spans="1:17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6"/>
    </row>
    <row r="1832" spans="1:17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6"/>
    </row>
    <row r="1833" spans="1:17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6"/>
    </row>
    <row r="1834" spans="1:17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6"/>
    </row>
    <row r="1835" spans="1:17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6"/>
    </row>
    <row r="1836" spans="1:17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6"/>
    </row>
    <row r="1837" spans="1:17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6"/>
    </row>
    <row r="1838" spans="1:17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6"/>
    </row>
    <row r="1839" spans="1:17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6"/>
    </row>
    <row r="1840" spans="1:17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6"/>
    </row>
    <row r="1841" spans="1:17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6"/>
    </row>
    <row r="1842" spans="1:17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6"/>
    </row>
    <row r="1843" spans="1:17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6"/>
    </row>
    <row r="1844" spans="1:17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6"/>
    </row>
    <row r="1845" spans="1:17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6"/>
    </row>
    <row r="1846" spans="1:17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6"/>
    </row>
    <row r="1847" spans="1:17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6"/>
    </row>
    <row r="1848" spans="1:17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6"/>
    </row>
    <row r="1849" spans="1:17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6"/>
    </row>
    <row r="1850" spans="1:17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6"/>
    </row>
    <row r="1851" spans="1:17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6"/>
    </row>
    <row r="1852" spans="1:17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6"/>
    </row>
    <row r="1853" spans="1:17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6"/>
    </row>
    <row r="1854" spans="1:17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6"/>
    </row>
    <row r="1855" spans="1:17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6"/>
    </row>
    <row r="1856" spans="1:17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6"/>
    </row>
    <row r="1857" spans="1:17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6"/>
    </row>
    <row r="1858" spans="1:17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6"/>
    </row>
    <row r="1859" spans="1:17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6"/>
    </row>
    <row r="1860" spans="1:17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6"/>
    </row>
    <row r="1861" spans="1:17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6"/>
    </row>
    <row r="1862" spans="1:17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6"/>
    </row>
    <row r="1863" spans="1:17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6"/>
    </row>
    <row r="1864" spans="1:17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6"/>
    </row>
    <row r="1865" spans="1:17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6"/>
    </row>
    <row r="1866" spans="1:17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6"/>
    </row>
    <row r="1867" spans="1:17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6"/>
    </row>
    <row r="1868" spans="1:17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6"/>
    </row>
    <row r="1869" spans="1:17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6"/>
    </row>
    <row r="1870" spans="1:17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6"/>
    </row>
    <row r="1871" spans="1:17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6"/>
    </row>
    <row r="1872" spans="1:17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6"/>
    </row>
    <row r="1873" spans="1:17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6"/>
    </row>
    <row r="1874" spans="1:17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6"/>
    </row>
    <row r="1875" spans="1:17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6"/>
    </row>
    <row r="1876" spans="1:17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6"/>
    </row>
    <row r="1877" spans="1:17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6"/>
    </row>
    <row r="1878" spans="1:17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6"/>
    </row>
    <row r="1879" spans="1:17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6"/>
    </row>
    <row r="1880" spans="1:17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6"/>
    </row>
    <row r="1881" spans="1:17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6"/>
    </row>
    <row r="1882" spans="1:17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6"/>
    </row>
    <row r="1883" spans="1:17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6"/>
    </row>
    <row r="1884" spans="1:17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6"/>
    </row>
    <row r="1885" spans="1:17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6"/>
    </row>
    <row r="1886" spans="1:17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6"/>
    </row>
    <row r="1887" spans="1:17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6"/>
    </row>
    <row r="1888" spans="1:17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6"/>
    </row>
    <row r="1889" spans="1:17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6"/>
    </row>
    <row r="1890" spans="1:17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6"/>
    </row>
    <row r="1891" spans="1:17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6"/>
    </row>
    <row r="1892" spans="1:17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6"/>
    </row>
    <row r="1893" spans="1:17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6"/>
    </row>
    <row r="1894" spans="1:17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6"/>
    </row>
    <row r="1895" spans="1:17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6"/>
    </row>
    <row r="1896" spans="1:17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6"/>
    </row>
    <row r="1897" spans="1:17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6"/>
    </row>
    <row r="1898" spans="1:17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6"/>
    </row>
    <row r="1899" spans="1:17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6"/>
    </row>
    <row r="1900" spans="1:17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6"/>
    </row>
    <row r="1901" spans="1:17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6"/>
    </row>
    <row r="1902" spans="1:17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6"/>
    </row>
    <row r="1903" spans="1:17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6"/>
    </row>
    <row r="1904" spans="1:17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6"/>
    </row>
    <row r="1905" spans="1:17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6"/>
    </row>
    <row r="1906" spans="1:17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6"/>
    </row>
    <row r="1907" spans="1:17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6"/>
    </row>
    <row r="1908" spans="1:17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6"/>
    </row>
    <row r="1909" spans="1:17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6"/>
    </row>
    <row r="1910" spans="1:17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6"/>
    </row>
    <row r="1911" spans="1:17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6"/>
    </row>
    <row r="1912" spans="1:17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6"/>
    </row>
    <row r="1913" spans="1:17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6"/>
    </row>
    <row r="1914" spans="1:17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6"/>
    </row>
    <row r="1915" spans="1:17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6"/>
    </row>
    <row r="1916" spans="1:17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6"/>
    </row>
    <row r="1917" spans="1:17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6"/>
    </row>
    <row r="1918" spans="1:17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6"/>
    </row>
    <row r="1919" spans="1:17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6"/>
    </row>
    <row r="1920" spans="1:17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6"/>
    </row>
    <row r="1921" spans="1:17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6"/>
    </row>
    <row r="1922" spans="1:17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6"/>
    </row>
    <row r="1923" spans="1:17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6"/>
    </row>
    <row r="1924" spans="1:17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6"/>
    </row>
    <row r="1925" spans="1:17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6"/>
    </row>
    <row r="1926" spans="1:17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6"/>
    </row>
    <row r="1927" spans="1:17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6"/>
    </row>
    <row r="1928" spans="1:17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6"/>
    </row>
    <row r="1929" spans="1:17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6"/>
    </row>
    <row r="1930" spans="1:17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6"/>
    </row>
    <row r="1931" spans="1:17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6"/>
    </row>
    <row r="1932" spans="1:17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6"/>
    </row>
    <row r="1933" spans="1:17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6"/>
    </row>
    <row r="1934" spans="1:17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6"/>
    </row>
    <row r="1935" spans="1:17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6"/>
    </row>
    <row r="1936" spans="1:17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6"/>
    </row>
    <row r="1937" spans="1:17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6"/>
    </row>
    <row r="1938" spans="1:17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6"/>
    </row>
    <row r="1939" spans="1:17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6"/>
    </row>
    <row r="1940" spans="1:17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6"/>
    </row>
    <row r="1941" spans="1:17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6"/>
    </row>
    <row r="1942" spans="1:17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6"/>
    </row>
    <row r="1943" spans="1:17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6"/>
    </row>
    <row r="1944" spans="1:17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6"/>
    </row>
    <row r="1945" spans="1:17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6"/>
    </row>
    <row r="1946" spans="1:17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6"/>
    </row>
    <row r="1947" spans="1:17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6"/>
    </row>
    <row r="1948" spans="1:17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6"/>
    </row>
    <row r="1949" spans="1:17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6"/>
    </row>
    <row r="1950" spans="1:17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6"/>
    </row>
    <row r="1951" spans="1:17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6"/>
    </row>
    <row r="1952" spans="1:17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6"/>
    </row>
    <row r="1953" spans="1:17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6"/>
    </row>
    <row r="1954" spans="1:17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6"/>
    </row>
    <row r="1955" spans="1:17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6"/>
    </row>
    <row r="1956" spans="1:17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6"/>
    </row>
    <row r="1957" spans="1:17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6"/>
    </row>
    <row r="1958" spans="1:17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6"/>
    </row>
    <row r="1959" spans="1:17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6"/>
    </row>
    <row r="1960" spans="1:17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6"/>
    </row>
    <row r="1961" spans="1:17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6"/>
    </row>
    <row r="1962" spans="1:17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6"/>
    </row>
    <row r="1963" spans="1:17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6"/>
    </row>
    <row r="1964" spans="1:17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6"/>
    </row>
    <row r="1965" spans="1:17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6"/>
    </row>
    <row r="1966" spans="1:17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6"/>
    </row>
    <row r="1967" spans="1:17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6"/>
    </row>
    <row r="1968" spans="1:17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6"/>
    </row>
    <row r="1969" spans="1:17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6"/>
    </row>
    <row r="1970" spans="1:17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6"/>
    </row>
    <row r="1971" spans="1:17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6"/>
    </row>
    <row r="1972" spans="1:17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6"/>
    </row>
    <row r="1973" spans="1:17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6"/>
    </row>
    <row r="1974" spans="1:17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6"/>
    </row>
    <row r="1975" spans="1:17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6"/>
    </row>
    <row r="1976" spans="1:17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6"/>
    </row>
    <row r="1977" spans="1:17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6"/>
    </row>
    <row r="1978" spans="1:17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6"/>
    </row>
    <row r="1979" spans="1:17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6"/>
    </row>
    <row r="1980" spans="1:17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6"/>
    </row>
    <row r="1981" spans="1:17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6"/>
    </row>
    <row r="1982" spans="1:17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6"/>
    </row>
    <row r="1983" spans="1:17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6"/>
    </row>
    <row r="1984" spans="1:17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6"/>
    </row>
    <row r="1985" spans="1:17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6"/>
    </row>
    <row r="1986" spans="1:17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6"/>
    </row>
    <row r="1987" spans="1:17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6"/>
    </row>
    <row r="1988" spans="1:17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6"/>
    </row>
    <row r="1989" spans="1:17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6"/>
    </row>
    <row r="1990" spans="1:17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6"/>
    </row>
    <row r="1991" spans="1:17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6"/>
    </row>
    <row r="1992" spans="1:17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6"/>
    </row>
    <row r="1993" spans="1:17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6"/>
    </row>
    <row r="1994" spans="1:17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6"/>
    </row>
    <row r="1995" spans="1:17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6"/>
    </row>
    <row r="1996" spans="1:17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6"/>
    </row>
    <row r="1997" spans="1:17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6"/>
    </row>
    <row r="1998" spans="1:17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6"/>
    </row>
    <row r="1999" spans="1:17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6"/>
    </row>
    <row r="2000" spans="1:17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6"/>
    </row>
    <row r="2001" spans="1:17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6"/>
    </row>
    <row r="2002" spans="1:17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6"/>
    </row>
    <row r="2003" spans="1:17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6"/>
    </row>
    <row r="2004" spans="1:17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6"/>
    </row>
    <row r="2005" spans="1:17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6"/>
    </row>
    <row r="2006" spans="1:17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6"/>
    </row>
    <row r="2007" spans="1:17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6"/>
    </row>
    <row r="2008" spans="1:17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6"/>
    </row>
    <row r="2009" spans="1:17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6"/>
    </row>
    <row r="2010" spans="1:17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6"/>
    </row>
    <row r="2011" spans="1:17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6"/>
    </row>
    <row r="2012" spans="1:17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6"/>
    </row>
    <row r="2013" spans="1:17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6"/>
    </row>
    <row r="2014" spans="1:17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6"/>
    </row>
    <row r="2015" spans="1:17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6"/>
    </row>
    <row r="2016" spans="1:17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6"/>
    </row>
    <row r="2017" spans="1:17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6"/>
    </row>
    <row r="2018" spans="1:17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6"/>
    </row>
    <row r="2019" spans="1:17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6"/>
    </row>
    <row r="2020" spans="1:17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6"/>
    </row>
    <row r="2021" spans="1:17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6"/>
    </row>
    <row r="2022" spans="1:17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6"/>
    </row>
    <row r="2023" spans="1:17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6"/>
    </row>
    <row r="2024" spans="1:17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6"/>
    </row>
    <row r="2025" spans="1:17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6"/>
    </row>
    <row r="2026" spans="1:17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6"/>
    </row>
    <row r="2027" spans="1:17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6"/>
    </row>
    <row r="2028" spans="1:17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6"/>
    </row>
    <row r="2029" spans="1:17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6"/>
    </row>
    <row r="2030" spans="1:17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6"/>
    </row>
    <row r="2031" spans="1:17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6"/>
    </row>
    <row r="2032" spans="1:17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6"/>
    </row>
    <row r="2033" spans="1:17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6"/>
    </row>
    <row r="2034" spans="1:17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6"/>
    </row>
    <row r="2035" spans="1:17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6"/>
    </row>
    <row r="2036" spans="1:17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6"/>
    </row>
    <row r="2037" spans="1:17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6"/>
    </row>
    <row r="2038" spans="1:17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6"/>
    </row>
    <row r="2039" spans="1:17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6"/>
    </row>
    <row r="2040" spans="1:17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6"/>
    </row>
    <row r="2041" spans="1:17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6"/>
    </row>
    <row r="2042" spans="1:17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6"/>
    </row>
    <row r="2043" spans="1:17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6"/>
    </row>
    <row r="2044" spans="1:17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6"/>
    </row>
    <row r="2045" spans="1:17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6"/>
    </row>
    <row r="2046" spans="1:17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6"/>
    </row>
    <row r="2047" spans="1:17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6"/>
    </row>
    <row r="2048" spans="1:17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6"/>
    </row>
    <row r="2049" spans="1:17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6"/>
    </row>
    <row r="2050" spans="1:17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6"/>
    </row>
    <row r="2051" spans="1:17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6"/>
    </row>
    <row r="2052" spans="1:17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6"/>
    </row>
    <row r="2053" spans="1:17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6"/>
    </row>
    <row r="2054" spans="1:17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6"/>
    </row>
    <row r="2055" spans="1:17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6"/>
    </row>
    <row r="2056" spans="1:17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6"/>
    </row>
    <row r="2057" spans="1:17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6"/>
    </row>
    <row r="2058" spans="1:17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6"/>
    </row>
    <row r="2059" spans="1:17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6"/>
    </row>
    <row r="2060" spans="1:17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6"/>
    </row>
    <row r="2061" spans="1:17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6"/>
    </row>
    <row r="2062" spans="1:17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6"/>
    </row>
    <row r="2063" spans="1:17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6"/>
    </row>
    <row r="2064" spans="1:17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6"/>
    </row>
    <row r="2065" spans="1:17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6"/>
    </row>
    <row r="2066" spans="1:17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6"/>
    </row>
    <row r="2067" spans="1:17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6"/>
    </row>
    <row r="2068" spans="1:17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6"/>
    </row>
    <row r="2069" spans="1:17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6"/>
    </row>
    <row r="2070" spans="1:17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6"/>
    </row>
    <row r="2071" spans="1:17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6"/>
    </row>
    <row r="2072" spans="1:17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6"/>
    </row>
    <row r="2073" spans="1:17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6"/>
    </row>
    <row r="2074" spans="1:17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6"/>
    </row>
    <row r="2075" spans="1:17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6"/>
    </row>
    <row r="2076" spans="1:17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6"/>
    </row>
    <row r="2077" spans="1:17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6"/>
    </row>
    <row r="2078" spans="1:17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6"/>
    </row>
    <row r="2079" spans="1:17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6"/>
    </row>
    <row r="2080" spans="1:17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6"/>
    </row>
    <row r="2081" spans="1:17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6"/>
    </row>
    <row r="2082" spans="1:17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6"/>
    </row>
    <row r="2083" spans="1:17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6"/>
    </row>
    <row r="2084" spans="1:17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6"/>
    </row>
    <row r="2085" spans="1:17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6"/>
    </row>
    <row r="2086" spans="1:17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6"/>
    </row>
    <row r="2087" spans="1:17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6"/>
    </row>
    <row r="2088" spans="1:17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6"/>
    </row>
    <row r="2089" spans="1:17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6"/>
    </row>
    <row r="2090" spans="1:17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6"/>
    </row>
    <row r="2091" spans="1:17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6"/>
    </row>
    <row r="2092" spans="1:17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6"/>
    </row>
    <row r="2093" spans="1:17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6"/>
    </row>
    <row r="2094" spans="1:17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6"/>
    </row>
    <row r="2095" spans="1:17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6"/>
    </row>
    <row r="2096" spans="1:17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6"/>
    </row>
    <row r="2097" spans="1:17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6"/>
    </row>
    <row r="2098" spans="1:17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6"/>
    </row>
    <row r="2099" spans="1:17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6"/>
    </row>
    <row r="2100" spans="1:17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6"/>
    </row>
    <row r="2101" spans="1:17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6"/>
    </row>
    <row r="2102" spans="1:17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6"/>
    </row>
    <row r="2103" spans="1:17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6"/>
    </row>
    <row r="2104" spans="1:17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6"/>
    </row>
    <row r="2105" spans="1:17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6"/>
    </row>
    <row r="2106" spans="1:17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6"/>
    </row>
    <row r="2107" spans="1:17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6"/>
    </row>
    <row r="2108" spans="1:17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6"/>
    </row>
    <row r="2109" spans="1:17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6"/>
    </row>
    <row r="2110" spans="1:17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6"/>
    </row>
    <row r="2111" spans="1:17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6"/>
    </row>
    <row r="2112" spans="1:17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6"/>
    </row>
    <row r="2113" spans="1:17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6"/>
    </row>
    <row r="2114" spans="1:17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6"/>
    </row>
    <row r="2115" spans="1:17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6"/>
    </row>
    <row r="2116" spans="1:17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6"/>
    </row>
    <row r="2117" spans="1:17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6"/>
    </row>
    <row r="2118" spans="1:17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6"/>
    </row>
    <row r="2119" spans="1:17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6"/>
    </row>
    <row r="2120" spans="1:17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6"/>
    </row>
    <row r="2121" spans="1:17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6"/>
    </row>
    <row r="2122" spans="1:17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6"/>
    </row>
    <row r="2123" spans="1:17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6"/>
    </row>
    <row r="2124" spans="1:17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6"/>
    </row>
    <row r="2125" spans="1:17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6"/>
    </row>
    <row r="2126" spans="1:17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6"/>
    </row>
    <row r="2127" spans="1:17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6"/>
    </row>
    <row r="2128" spans="1:17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6"/>
    </row>
    <row r="2129" spans="1:17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6"/>
    </row>
    <row r="2130" spans="1:17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6"/>
    </row>
    <row r="2131" spans="1:17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6"/>
    </row>
    <row r="2132" spans="1:17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6"/>
    </row>
    <row r="2133" spans="1:17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6"/>
    </row>
    <row r="2134" spans="1:17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6"/>
    </row>
    <row r="2135" spans="1:17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6"/>
    </row>
    <row r="2136" spans="1:17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6"/>
    </row>
    <row r="2137" spans="1:17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6"/>
    </row>
    <row r="2138" spans="1:17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6"/>
    </row>
    <row r="2139" spans="1:17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6"/>
    </row>
    <row r="2140" spans="1:17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6"/>
    </row>
    <row r="2141" spans="1:17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6"/>
    </row>
    <row r="2142" spans="1:17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6"/>
    </row>
    <row r="2143" spans="1:17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6"/>
    </row>
    <row r="2144" spans="1:17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6"/>
    </row>
    <row r="2145" spans="1:17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6"/>
    </row>
    <row r="2146" spans="1:17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6"/>
    </row>
    <row r="2147" spans="1:17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6"/>
    </row>
    <row r="2148" spans="1:17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6"/>
    </row>
    <row r="2149" spans="1:17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6"/>
    </row>
    <row r="2150" spans="1:17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6"/>
    </row>
    <row r="2151" spans="1:17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6"/>
    </row>
    <row r="2152" spans="1:17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6"/>
    </row>
    <row r="2153" spans="1:17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6"/>
    </row>
    <row r="2154" spans="1:17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6"/>
    </row>
    <row r="2155" spans="1:17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6"/>
    </row>
    <row r="2156" spans="1:17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6"/>
    </row>
    <row r="2157" spans="1:17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6"/>
    </row>
    <row r="2158" spans="1:17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6"/>
    </row>
    <row r="2159" spans="1:17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6"/>
    </row>
    <row r="2160" spans="1:17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6"/>
    </row>
    <row r="2161" spans="1:17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6"/>
    </row>
    <row r="2162" spans="1:17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6"/>
    </row>
    <row r="2163" spans="1:17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6"/>
    </row>
    <row r="2164" spans="1:17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6"/>
    </row>
    <row r="2165" spans="1:17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6"/>
    </row>
    <row r="2166" spans="1:17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6"/>
    </row>
    <row r="2167" spans="1:17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6"/>
    </row>
    <row r="2168" spans="1:17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6"/>
    </row>
    <row r="2169" spans="1:17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6"/>
    </row>
    <row r="2170" spans="1:17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6"/>
    </row>
    <row r="2171" spans="1:17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6"/>
    </row>
    <row r="2172" spans="1:17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6"/>
    </row>
    <row r="2173" spans="1:17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6"/>
    </row>
    <row r="2174" spans="1:17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6"/>
    </row>
    <row r="2175" spans="1:17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6"/>
    </row>
    <row r="2176" spans="1:17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6"/>
    </row>
    <row r="2177" spans="1:17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6"/>
    </row>
    <row r="2178" spans="1:17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6"/>
    </row>
    <row r="2179" spans="1:17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6"/>
    </row>
    <row r="2180" spans="1:17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6"/>
    </row>
    <row r="2181" spans="1:17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6"/>
    </row>
    <row r="2182" spans="1:17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6"/>
    </row>
    <row r="2183" spans="1:17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6"/>
    </row>
    <row r="2184" spans="1:17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6"/>
    </row>
    <row r="2185" spans="1:17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6"/>
    </row>
    <row r="2186" spans="1:17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6"/>
    </row>
    <row r="2187" spans="1:17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6"/>
    </row>
    <row r="2188" spans="1:17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6"/>
    </row>
    <row r="2189" spans="1:17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6"/>
    </row>
    <row r="2190" spans="1:17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6"/>
    </row>
    <row r="2191" spans="1:17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6"/>
    </row>
    <row r="2192" spans="1:17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6"/>
    </row>
    <row r="2193" spans="1:17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6"/>
    </row>
    <row r="2194" spans="1:17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6"/>
    </row>
    <row r="2195" spans="1:17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6"/>
    </row>
    <row r="2196" spans="1:17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6"/>
    </row>
    <row r="2197" spans="1:17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6"/>
    </row>
    <row r="2198" spans="1:17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6"/>
    </row>
    <row r="2199" spans="1:17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6"/>
    </row>
    <row r="2200" spans="1:17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6"/>
    </row>
    <row r="2201" spans="1:17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6"/>
    </row>
    <row r="2202" spans="1:17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6"/>
    </row>
    <row r="2203" spans="1:17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6"/>
    </row>
    <row r="2204" spans="1:17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6"/>
    </row>
    <row r="2205" spans="1:17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6"/>
    </row>
    <row r="2206" spans="1:17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6"/>
    </row>
    <row r="2207" spans="1:17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6"/>
    </row>
    <row r="2208" spans="1:17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6"/>
    </row>
    <row r="2209" spans="1:17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6"/>
    </row>
    <row r="2210" spans="1:17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6"/>
    </row>
    <row r="2211" spans="1:17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6"/>
    </row>
    <row r="2212" spans="1:17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6"/>
    </row>
    <row r="2213" spans="1:17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6"/>
    </row>
    <row r="2214" spans="1:17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6"/>
    </row>
    <row r="2215" spans="1:17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6"/>
    </row>
    <row r="2216" spans="1:17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6"/>
    </row>
    <row r="2217" spans="1:17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6"/>
    </row>
    <row r="2218" spans="1:17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6"/>
    </row>
    <row r="2219" spans="1:17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6"/>
    </row>
    <row r="2220" spans="1:17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6"/>
    </row>
    <row r="2221" spans="1:17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6"/>
    </row>
    <row r="2222" spans="1:17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6"/>
    </row>
    <row r="2223" spans="1:17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6"/>
    </row>
    <row r="2224" spans="1:17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6"/>
    </row>
    <row r="2225" spans="1:17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6"/>
    </row>
    <row r="2226" spans="1:17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6"/>
    </row>
    <row r="2227" spans="1:17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6"/>
    </row>
    <row r="2228" spans="1:17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6"/>
    </row>
    <row r="2229" spans="1:17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6"/>
    </row>
    <row r="2230" spans="1:17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6"/>
    </row>
    <row r="2231" spans="1:17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6"/>
    </row>
    <row r="2232" spans="1:17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6"/>
    </row>
    <row r="2233" spans="1:17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6"/>
    </row>
    <row r="2234" spans="1:17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6"/>
    </row>
    <row r="2235" spans="1:17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6"/>
    </row>
    <row r="2236" spans="1:17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6"/>
    </row>
    <row r="2237" spans="1:17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6"/>
    </row>
    <row r="2238" spans="1:17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6"/>
    </row>
    <row r="2239" spans="1:17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6"/>
    </row>
    <row r="2240" spans="1:17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6"/>
    </row>
    <row r="2241" spans="1:17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6"/>
    </row>
    <row r="2242" spans="1:17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6"/>
    </row>
    <row r="2243" spans="1:17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6"/>
    </row>
    <row r="2244" spans="1:17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6"/>
    </row>
    <row r="2245" spans="1:17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6"/>
    </row>
    <row r="2246" spans="1:17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6"/>
    </row>
    <row r="2247" spans="1:17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6"/>
    </row>
    <row r="2248" spans="1:17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6"/>
    </row>
    <row r="2249" spans="1:17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6"/>
    </row>
    <row r="2250" spans="1:17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6"/>
    </row>
    <row r="2251" spans="1:17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6"/>
    </row>
    <row r="2252" spans="1:17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6"/>
    </row>
    <row r="2253" spans="1:17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6"/>
    </row>
    <row r="2254" spans="1:17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6"/>
    </row>
    <row r="2255" spans="1:17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6"/>
    </row>
    <row r="2256" spans="1:17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6"/>
    </row>
    <row r="2257" spans="1:17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6"/>
    </row>
    <row r="2258" spans="1:17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6"/>
    </row>
    <row r="2259" spans="1:17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6"/>
    </row>
    <row r="2260" spans="1:17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6"/>
    </row>
    <row r="2261" spans="1:17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6"/>
    </row>
    <row r="2262" spans="1:17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6"/>
    </row>
    <row r="2263" spans="1:17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6"/>
    </row>
    <row r="2264" spans="1:17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6"/>
    </row>
    <row r="2265" spans="1:17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6"/>
    </row>
    <row r="2266" spans="1:17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6"/>
    </row>
    <row r="2267" spans="1:17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6"/>
    </row>
    <row r="2268" spans="1:17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6"/>
    </row>
    <row r="2269" spans="1:17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6"/>
    </row>
    <row r="2270" spans="1:17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6"/>
    </row>
    <row r="2271" spans="1:17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6"/>
    </row>
    <row r="2272" spans="1:17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6"/>
    </row>
    <row r="2273" spans="1:17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6"/>
    </row>
    <row r="2274" spans="1:17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6"/>
    </row>
    <row r="2275" spans="1:17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6"/>
    </row>
    <row r="2276" spans="1:17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6"/>
    </row>
    <row r="2277" spans="1:17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6"/>
    </row>
    <row r="2278" spans="1:17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6"/>
    </row>
    <row r="2279" spans="1:17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6"/>
    </row>
    <row r="2280" spans="1:17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6"/>
    </row>
    <row r="2281" spans="1:17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6"/>
    </row>
    <row r="2282" spans="1:17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6"/>
    </row>
    <row r="2283" spans="1:17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6"/>
    </row>
    <row r="2284" spans="1:17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6"/>
    </row>
    <row r="2285" spans="1:17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6"/>
    </row>
    <row r="2286" spans="1:17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6"/>
    </row>
    <row r="2287" spans="1:17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6"/>
    </row>
    <row r="2288" spans="1:17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6"/>
    </row>
    <row r="2289" spans="1:17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6"/>
    </row>
    <row r="2290" spans="1:17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6"/>
    </row>
    <row r="2291" spans="1:17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6"/>
    </row>
    <row r="2292" spans="1:17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6"/>
    </row>
    <row r="2293" spans="1:17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6"/>
    </row>
    <row r="2294" spans="1:17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6"/>
    </row>
    <row r="2295" spans="1:17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6"/>
    </row>
    <row r="2296" spans="1:17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6"/>
    </row>
    <row r="2297" spans="1:17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6"/>
    </row>
    <row r="2298" spans="1:17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6"/>
    </row>
    <row r="2299" spans="1:17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6"/>
    </row>
    <row r="2300" spans="1:17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6"/>
    </row>
    <row r="2301" spans="1:17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6"/>
    </row>
    <row r="2302" spans="1:17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6"/>
    </row>
    <row r="2303" spans="1:17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6"/>
    </row>
    <row r="2304" spans="1:17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6"/>
    </row>
    <row r="2305" spans="1:17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6"/>
    </row>
    <row r="2306" spans="1:17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6"/>
    </row>
    <row r="2307" spans="1:17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6"/>
    </row>
    <row r="2308" spans="1:17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6"/>
    </row>
    <row r="2309" spans="1:17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6"/>
    </row>
    <row r="2310" spans="1:17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6"/>
    </row>
    <row r="2311" spans="1:17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6"/>
    </row>
    <row r="2312" spans="1:17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6"/>
    </row>
    <row r="2313" spans="1:17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6"/>
    </row>
    <row r="2314" spans="1:17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6"/>
    </row>
    <row r="2315" spans="1:17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6"/>
    </row>
    <row r="2316" spans="1:17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6"/>
    </row>
    <row r="2317" spans="1:17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6"/>
    </row>
    <row r="2318" spans="1:17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6"/>
    </row>
    <row r="2319" spans="1:17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6"/>
    </row>
    <row r="2320" spans="1:17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6"/>
    </row>
    <row r="2321" spans="1:17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6"/>
    </row>
    <row r="2322" spans="1:17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6"/>
    </row>
    <row r="2323" spans="1:17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6"/>
    </row>
    <row r="2324" spans="1:17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6"/>
    </row>
    <row r="2325" spans="1:17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6"/>
    </row>
    <row r="2326" spans="1:17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6"/>
    </row>
    <row r="2327" spans="1:17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6"/>
    </row>
    <row r="2328" spans="1:17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6"/>
    </row>
    <row r="2329" spans="1:17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6"/>
    </row>
    <row r="2330" spans="1:17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6"/>
    </row>
    <row r="2331" spans="1:17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6"/>
    </row>
    <row r="2332" spans="1:17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6"/>
    </row>
    <row r="2333" spans="1:17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6"/>
    </row>
    <row r="2334" spans="1:17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6"/>
    </row>
    <row r="2335" spans="1:17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6"/>
    </row>
    <row r="2336" spans="1:17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6"/>
    </row>
    <row r="2337" spans="1:17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6"/>
    </row>
    <row r="2338" spans="1:17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6"/>
    </row>
    <row r="2339" spans="1:17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6"/>
    </row>
    <row r="2340" spans="1:17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6"/>
    </row>
    <row r="2341" spans="1:17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6"/>
    </row>
    <row r="2342" spans="1:17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6"/>
    </row>
    <row r="2343" spans="1:17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6"/>
    </row>
    <row r="2344" spans="1:17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6"/>
    </row>
    <row r="2345" spans="1:17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6"/>
    </row>
    <row r="2346" spans="1:17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6"/>
    </row>
    <row r="2347" spans="1:17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6"/>
    </row>
    <row r="2348" spans="1:17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6"/>
    </row>
    <row r="2349" spans="1:17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6"/>
    </row>
    <row r="2350" spans="1:17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6"/>
    </row>
    <row r="2351" spans="1:17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6"/>
    </row>
    <row r="2352" spans="1:17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6"/>
    </row>
    <row r="2353" spans="1:17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6"/>
    </row>
    <row r="2354" spans="1:17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6"/>
    </row>
    <row r="2355" spans="1:17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6"/>
    </row>
    <row r="2356" spans="1:17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6"/>
    </row>
    <row r="2357" spans="1:17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6"/>
    </row>
    <row r="2358" spans="1:17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6"/>
    </row>
    <row r="2359" spans="1:17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6"/>
    </row>
    <row r="2360" spans="1:17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6"/>
    </row>
    <row r="2361" spans="1:17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6"/>
    </row>
    <row r="2362" spans="1:17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6"/>
    </row>
    <row r="2363" spans="1:17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6"/>
    </row>
    <row r="2364" spans="1:17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6"/>
    </row>
    <row r="2365" spans="1:17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6"/>
    </row>
    <row r="2366" spans="1:17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6"/>
    </row>
    <row r="2367" spans="1:17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6"/>
    </row>
    <row r="2368" spans="1:17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6"/>
    </row>
    <row r="2369" spans="1:17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6"/>
    </row>
    <row r="2370" spans="1:17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6"/>
    </row>
    <row r="2371" spans="1:17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6"/>
    </row>
    <row r="2372" spans="1:17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6"/>
    </row>
    <row r="2373" spans="1:17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6"/>
    </row>
    <row r="2374" spans="1:17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6"/>
    </row>
    <row r="2375" spans="1:17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6"/>
    </row>
    <row r="2376" spans="1:17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6"/>
    </row>
    <row r="2377" spans="1:17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6"/>
    </row>
    <row r="2378" spans="1:17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6"/>
    </row>
    <row r="2379" spans="1:17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6"/>
    </row>
    <row r="2380" spans="1:17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6"/>
    </row>
    <row r="2381" spans="1:17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6"/>
    </row>
    <row r="2382" spans="1:17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6"/>
    </row>
    <row r="2383" spans="1:17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6"/>
    </row>
    <row r="2384" spans="1:17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6"/>
    </row>
    <row r="2385" spans="1:17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6"/>
    </row>
    <row r="2386" spans="1:17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6"/>
    </row>
    <row r="2387" spans="1:17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6"/>
    </row>
    <row r="2388" spans="1:17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6"/>
    </row>
    <row r="2389" spans="1:17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6"/>
    </row>
    <row r="2390" spans="1:17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6"/>
    </row>
    <row r="2391" spans="1:17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6"/>
    </row>
    <row r="2392" spans="1:17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6"/>
    </row>
    <row r="2393" spans="1:17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6"/>
    </row>
    <row r="2394" spans="1:17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6"/>
    </row>
    <row r="2395" spans="1:17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6"/>
    </row>
    <row r="2396" spans="1:17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6"/>
    </row>
    <row r="2397" spans="1:17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6"/>
    </row>
    <row r="2398" spans="1:17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6"/>
    </row>
    <row r="2399" spans="1:17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6"/>
    </row>
    <row r="2400" spans="1:17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6"/>
    </row>
    <row r="2401" spans="1:17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6"/>
    </row>
    <row r="2402" spans="1:17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6"/>
    </row>
    <row r="2403" spans="1:17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6"/>
    </row>
    <row r="2404" spans="1:17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6"/>
    </row>
    <row r="2405" spans="1:17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6"/>
    </row>
    <row r="2406" spans="1:17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6"/>
    </row>
    <row r="2407" spans="1:17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6"/>
    </row>
    <row r="2408" spans="1:17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6"/>
    </row>
    <row r="2409" spans="1:17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6"/>
    </row>
    <row r="2410" spans="1:17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6"/>
    </row>
    <row r="2411" spans="1:17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6"/>
    </row>
    <row r="2412" spans="1:17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6"/>
    </row>
    <row r="2413" spans="1:17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6"/>
    </row>
    <row r="2414" spans="1:17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6"/>
    </row>
    <row r="2415" spans="1:17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6"/>
    </row>
    <row r="2416" spans="1:17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6"/>
    </row>
    <row r="2417" spans="1:17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6"/>
    </row>
    <row r="2418" spans="1:17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6"/>
    </row>
    <row r="2419" spans="1:17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6"/>
    </row>
    <row r="2420" spans="1:17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6"/>
    </row>
    <row r="2421" spans="1:17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6"/>
    </row>
    <row r="2422" spans="1:17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6"/>
    </row>
    <row r="2423" spans="1:17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6"/>
    </row>
    <row r="2424" spans="1:17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6"/>
    </row>
    <row r="2425" spans="1:17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6"/>
    </row>
    <row r="2426" spans="1:17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6"/>
    </row>
    <row r="2427" spans="1:17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6"/>
    </row>
    <row r="2428" spans="1:17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6"/>
    </row>
    <row r="2429" spans="1:17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6"/>
    </row>
    <row r="2430" spans="1:17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6"/>
    </row>
    <row r="2431" spans="1:17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6"/>
    </row>
    <row r="2432" spans="1:17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6"/>
    </row>
    <row r="2433" spans="1:17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6"/>
    </row>
    <row r="2434" spans="1:17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6"/>
    </row>
    <row r="2435" spans="1:17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6"/>
    </row>
    <row r="2436" spans="1:17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6"/>
    </row>
    <row r="2437" spans="1:17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6"/>
    </row>
    <row r="2438" spans="1:17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6"/>
    </row>
    <row r="2439" spans="1:17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6"/>
    </row>
    <row r="2440" spans="1:17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6"/>
    </row>
    <row r="2441" spans="1:17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6"/>
    </row>
    <row r="2442" spans="1:17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6"/>
    </row>
    <row r="2443" spans="1:17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6"/>
    </row>
    <row r="2444" spans="1:17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6"/>
    </row>
    <row r="2445" spans="1:17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6"/>
    </row>
    <row r="2446" spans="1:17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6"/>
    </row>
    <row r="2447" spans="1:17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6"/>
    </row>
    <row r="2448" spans="1:17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6"/>
    </row>
    <row r="2449" spans="1:17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6"/>
    </row>
    <row r="2450" spans="1:17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6"/>
    </row>
    <row r="2451" spans="1:17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6"/>
    </row>
    <row r="2452" spans="1:17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6"/>
    </row>
    <row r="2453" spans="1:17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6"/>
    </row>
    <row r="2454" spans="1:17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6"/>
    </row>
    <row r="2455" spans="1:17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6"/>
    </row>
    <row r="2456" spans="1:17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6"/>
    </row>
    <row r="2457" spans="1:17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6"/>
    </row>
    <row r="2458" spans="1:17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6"/>
    </row>
    <row r="2459" spans="1:17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6"/>
    </row>
    <row r="2460" spans="1:17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6"/>
    </row>
    <row r="2461" spans="1:17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6"/>
    </row>
    <row r="2462" spans="1:17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6"/>
    </row>
    <row r="2463" spans="1:17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6"/>
    </row>
    <row r="2464" spans="1:17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6"/>
    </row>
    <row r="2465" spans="1:17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6"/>
    </row>
    <row r="2466" spans="1:17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6"/>
    </row>
    <row r="2467" spans="1:17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6"/>
    </row>
    <row r="2468" spans="1:17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6"/>
    </row>
    <row r="2469" spans="1:17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6"/>
    </row>
    <row r="2470" spans="1:17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6"/>
    </row>
    <row r="2471" spans="1:17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6"/>
    </row>
    <row r="2472" spans="1:17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6"/>
    </row>
    <row r="2473" spans="1:17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6"/>
    </row>
    <row r="2474" spans="1:17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6"/>
    </row>
    <row r="2475" spans="1:17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6"/>
    </row>
    <row r="2476" spans="1:17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6"/>
    </row>
    <row r="2477" spans="1:17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6"/>
    </row>
    <row r="2478" spans="1:17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6"/>
    </row>
    <row r="2479" spans="1:17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6"/>
    </row>
    <row r="2480" spans="1:17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6"/>
    </row>
    <row r="2481" spans="1:17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6"/>
    </row>
    <row r="2482" spans="1:17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6"/>
    </row>
    <row r="2483" spans="1:17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6"/>
    </row>
    <row r="2484" spans="1:17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6"/>
    </row>
    <row r="2485" spans="1:17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6"/>
    </row>
    <row r="2486" spans="1:17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6"/>
    </row>
    <row r="2487" spans="1:17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6"/>
    </row>
    <row r="2488" spans="1:17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6"/>
    </row>
    <row r="2489" spans="1:17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6"/>
    </row>
    <row r="2490" spans="1:17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6"/>
    </row>
    <row r="2491" spans="1:17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6"/>
    </row>
    <row r="2492" spans="1:17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6"/>
    </row>
    <row r="2493" spans="1:17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6"/>
    </row>
    <row r="2494" spans="1:17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6"/>
    </row>
    <row r="2495" spans="1:17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6"/>
    </row>
    <row r="2496" spans="1:17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6"/>
    </row>
    <row r="2497" spans="1:17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6"/>
    </row>
    <row r="2498" spans="1:17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6"/>
    </row>
    <row r="2499" spans="1:17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6"/>
    </row>
    <row r="2500" spans="1:17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6"/>
    </row>
    <row r="2501" spans="1:17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6"/>
    </row>
    <row r="2502" spans="1:17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6"/>
    </row>
    <row r="2503" spans="1:17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6"/>
    </row>
    <row r="2504" spans="1:17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6"/>
    </row>
    <row r="2505" spans="1:17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6"/>
    </row>
    <row r="2506" spans="1:17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6"/>
    </row>
    <row r="2507" spans="1:17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6"/>
    </row>
    <row r="2508" spans="1:17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6"/>
    </row>
    <row r="2509" spans="1:17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6"/>
    </row>
    <row r="2510" spans="1:17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6"/>
    </row>
    <row r="2511" spans="1:17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6"/>
    </row>
    <row r="2512" spans="1:17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6"/>
    </row>
    <row r="2513" spans="1:17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6"/>
    </row>
    <row r="2514" spans="1:17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6"/>
    </row>
    <row r="2515" spans="1:17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6"/>
    </row>
    <row r="2516" spans="1:17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6"/>
    </row>
    <row r="2517" spans="1:17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6"/>
    </row>
    <row r="2518" spans="1:17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6"/>
    </row>
    <row r="2519" spans="1:17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6"/>
    </row>
    <row r="2520" spans="1:17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6"/>
    </row>
    <row r="2521" spans="1:17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6"/>
    </row>
    <row r="2522" spans="1:17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6"/>
    </row>
    <row r="2523" spans="1:17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6"/>
    </row>
    <row r="2524" spans="1:17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6"/>
    </row>
    <row r="2525" spans="1:17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6"/>
    </row>
    <row r="2526" spans="1:17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6"/>
    </row>
    <row r="2527" spans="1:17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6"/>
    </row>
    <row r="2528" spans="1:17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6"/>
    </row>
    <row r="2529" spans="1:17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6"/>
    </row>
    <row r="2530" spans="1:17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6"/>
    </row>
    <row r="2531" spans="1:17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6"/>
    </row>
    <row r="2532" spans="1:17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6"/>
    </row>
    <row r="2533" spans="1:17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6"/>
    </row>
    <row r="2534" spans="1:17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6"/>
    </row>
    <row r="2535" spans="1:17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6"/>
    </row>
    <row r="2536" spans="1:17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6"/>
    </row>
    <row r="2537" spans="1:17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6"/>
    </row>
    <row r="2538" spans="1:17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6"/>
    </row>
    <row r="2539" spans="1:17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6"/>
    </row>
    <row r="2540" spans="1:17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6"/>
    </row>
    <row r="2541" spans="1:17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6"/>
    </row>
    <row r="2542" spans="1:17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6"/>
    </row>
    <row r="2543" spans="1:17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6"/>
    </row>
    <row r="2544" spans="1:17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6"/>
    </row>
    <row r="2545" spans="1:17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6"/>
    </row>
    <row r="2546" spans="1:17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6"/>
    </row>
    <row r="2547" spans="1:17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6"/>
    </row>
    <row r="2548" spans="1:17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6"/>
    </row>
    <row r="2549" spans="1:17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6"/>
    </row>
    <row r="2550" spans="1:17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6"/>
    </row>
    <row r="2551" spans="1:17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6"/>
    </row>
    <row r="2552" spans="1:17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6"/>
    </row>
    <row r="2553" spans="1:17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6"/>
    </row>
    <row r="2554" spans="1:17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6"/>
    </row>
    <row r="2555" spans="1:17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6"/>
    </row>
    <row r="2556" spans="1:17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6"/>
    </row>
    <row r="2557" spans="1:17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6"/>
    </row>
    <row r="2558" spans="1:17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6"/>
    </row>
    <row r="2559" spans="1:17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6"/>
    </row>
    <row r="2560" spans="1:17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6"/>
    </row>
    <row r="2561" spans="1:17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6"/>
    </row>
    <row r="2562" spans="1:17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6"/>
    </row>
    <row r="2563" spans="1:17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6"/>
    </row>
    <row r="2564" spans="1:17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6"/>
    </row>
    <row r="2565" spans="1:17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6"/>
    </row>
    <row r="2566" spans="1:17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6"/>
    </row>
    <row r="2567" spans="1:17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6"/>
    </row>
    <row r="2568" spans="1:17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6"/>
    </row>
    <row r="2569" spans="1:17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6"/>
    </row>
    <row r="2570" spans="1:17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6"/>
    </row>
    <row r="2571" spans="1:17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6"/>
    </row>
    <row r="2572" spans="1:17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6"/>
    </row>
    <row r="2573" spans="1:17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6"/>
    </row>
    <row r="2574" spans="1:17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6"/>
    </row>
    <row r="2575" spans="1:17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6"/>
    </row>
    <row r="2576" spans="1:17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6"/>
    </row>
    <row r="2577" spans="1:17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6"/>
    </row>
    <row r="2578" spans="1:17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6"/>
    </row>
    <row r="2579" spans="1:17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6"/>
    </row>
    <row r="2580" spans="1:17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6"/>
    </row>
    <row r="2581" spans="1:17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6"/>
    </row>
    <row r="2582" spans="1:17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6"/>
    </row>
    <row r="2583" spans="1:17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6"/>
    </row>
    <row r="2584" spans="1:17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6"/>
    </row>
    <row r="2585" spans="1:17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6"/>
    </row>
    <row r="2586" spans="1:17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6"/>
    </row>
    <row r="2587" spans="1:17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6"/>
    </row>
    <row r="2588" spans="1:17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6"/>
    </row>
    <row r="2589" spans="1:17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6"/>
    </row>
    <row r="2590" spans="1:17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6"/>
    </row>
    <row r="2591" spans="1:17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6"/>
    </row>
    <row r="2592" spans="1:17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6"/>
    </row>
    <row r="2593" spans="1:17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6"/>
    </row>
    <row r="2594" spans="1:17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6"/>
    </row>
    <row r="2595" spans="1:17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6"/>
    </row>
    <row r="2596" spans="1:17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6"/>
    </row>
    <row r="2597" spans="1:17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6"/>
    </row>
    <row r="2598" spans="1:17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6"/>
    </row>
    <row r="2599" spans="1:17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6"/>
    </row>
    <row r="2600" spans="1:17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6"/>
    </row>
    <row r="2601" spans="1:17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6"/>
    </row>
    <row r="2602" spans="1:17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6"/>
    </row>
    <row r="2603" spans="1:17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6"/>
    </row>
    <row r="2604" spans="1:17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6"/>
    </row>
    <row r="2605" spans="1:17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6"/>
    </row>
    <row r="2606" spans="1:17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6"/>
    </row>
    <row r="2607" spans="1:17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6"/>
    </row>
    <row r="2608" spans="1:17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6"/>
    </row>
    <row r="2609" spans="1:17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6"/>
    </row>
    <row r="2610" spans="1:17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6"/>
    </row>
    <row r="2611" spans="1:17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6"/>
    </row>
    <row r="2612" spans="1:17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6"/>
    </row>
    <row r="2613" spans="1:17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6"/>
    </row>
    <row r="2614" spans="1:17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6"/>
    </row>
    <row r="2615" spans="1:17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6"/>
    </row>
    <row r="2616" spans="1:17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6"/>
    </row>
    <row r="2617" spans="1:17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6"/>
    </row>
    <row r="2618" spans="1:17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6"/>
    </row>
    <row r="2619" spans="1:17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6"/>
    </row>
    <row r="2620" spans="1:17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6"/>
    </row>
    <row r="2621" spans="1:17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6"/>
    </row>
    <row r="2622" spans="1:17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6"/>
    </row>
    <row r="2623" spans="1:17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6"/>
    </row>
    <row r="2624" spans="1:17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6"/>
    </row>
    <row r="2625" spans="1:17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6"/>
    </row>
    <row r="2626" spans="1:17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6"/>
    </row>
    <row r="2627" spans="1:17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6"/>
    </row>
    <row r="2628" spans="1:17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6"/>
    </row>
    <row r="2629" spans="1:17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6"/>
    </row>
    <row r="2630" spans="1:17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6"/>
    </row>
    <row r="2631" spans="1:17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6"/>
    </row>
    <row r="2632" spans="1:17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6"/>
    </row>
    <row r="2633" spans="1:17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6"/>
    </row>
    <row r="2634" spans="1:17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6"/>
    </row>
    <row r="2635" spans="1:17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6"/>
    </row>
    <row r="2636" spans="1:17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6"/>
    </row>
    <row r="2637" spans="1:17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6"/>
    </row>
    <row r="2638" spans="1:17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6"/>
    </row>
    <row r="2639" spans="1:17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6"/>
    </row>
    <row r="2640" spans="1:17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6"/>
    </row>
    <row r="2641" spans="1:17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6"/>
    </row>
    <row r="2642" spans="1:17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6"/>
    </row>
    <row r="2643" spans="1:17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6"/>
    </row>
    <row r="2644" spans="1:17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6"/>
    </row>
    <row r="2645" spans="1:17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6"/>
    </row>
    <row r="2646" spans="1:17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6"/>
    </row>
    <row r="2647" spans="1:17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6"/>
    </row>
    <row r="2648" spans="1:17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6"/>
    </row>
    <row r="2649" spans="1:17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6"/>
    </row>
    <row r="2650" spans="1:17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6"/>
    </row>
    <row r="2651" spans="1:17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6"/>
    </row>
    <row r="2652" spans="1:17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6"/>
    </row>
    <row r="2653" spans="1:17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6"/>
    </row>
    <row r="2654" spans="1:17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6"/>
    </row>
    <row r="2655" spans="1:17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6"/>
    </row>
    <row r="2656" spans="1:17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6"/>
    </row>
    <row r="2657" spans="1:17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6"/>
    </row>
    <row r="2658" spans="1:17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6"/>
    </row>
    <row r="2659" spans="1:17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6"/>
    </row>
    <row r="2660" spans="1:17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6"/>
    </row>
    <row r="2661" spans="1:17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6"/>
    </row>
    <row r="2662" spans="1:17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6"/>
    </row>
    <row r="2663" spans="1:17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6"/>
    </row>
    <row r="2664" spans="1:17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6"/>
    </row>
    <row r="2665" spans="1:17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6"/>
    </row>
    <row r="2666" spans="1:17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6"/>
    </row>
    <row r="2667" spans="1:17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6"/>
    </row>
    <row r="2668" spans="1:17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6"/>
    </row>
    <row r="2669" spans="1:17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6"/>
    </row>
    <row r="2670" spans="1:17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6"/>
    </row>
    <row r="2671" spans="1:17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6"/>
    </row>
    <row r="2672" spans="1:17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6"/>
    </row>
    <row r="2673" spans="1:17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6"/>
    </row>
    <row r="2674" spans="1:17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6"/>
    </row>
    <row r="2675" spans="1:17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6"/>
    </row>
    <row r="2676" spans="1:17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6"/>
    </row>
    <row r="2677" spans="1:17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6"/>
    </row>
    <row r="2678" spans="1:17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6"/>
    </row>
    <row r="2679" spans="1:17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6"/>
    </row>
    <row r="2680" spans="1:17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6"/>
    </row>
    <row r="2681" spans="1:17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6"/>
    </row>
    <row r="2682" spans="1:17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6"/>
    </row>
    <row r="2683" spans="1:17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6"/>
    </row>
    <row r="2684" spans="1:17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6"/>
    </row>
    <row r="2685" spans="1:17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6"/>
    </row>
    <row r="2686" spans="1:17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6"/>
    </row>
    <row r="2687" spans="1:17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6"/>
    </row>
    <row r="2688" spans="1:17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6"/>
    </row>
    <row r="2689" spans="1:17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6"/>
    </row>
    <row r="2690" spans="1:17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6"/>
    </row>
    <row r="2691" spans="1:17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6"/>
    </row>
    <row r="2692" spans="1:17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6"/>
    </row>
    <row r="2693" spans="1:17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6"/>
    </row>
    <row r="2694" spans="1:17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6"/>
    </row>
    <row r="2695" spans="1:17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6"/>
    </row>
    <row r="2696" spans="1:17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6"/>
    </row>
    <row r="2697" spans="1:17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6"/>
    </row>
    <row r="2698" spans="1:17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6"/>
    </row>
    <row r="2699" spans="1:17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6"/>
    </row>
    <row r="2700" spans="1:17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6"/>
    </row>
    <row r="2701" spans="1:17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6"/>
    </row>
    <row r="2702" spans="1:17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6"/>
    </row>
    <row r="2703" spans="1:17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6"/>
    </row>
    <row r="2704" spans="1:17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6"/>
    </row>
    <row r="2705" spans="1:17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6"/>
    </row>
    <row r="2706" spans="1:17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6"/>
    </row>
    <row r="2707" spans="1:17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6"/>
    </row>
    <row r="2708" spans="1:17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6"/>
    </row>
    <row r="2709" spans="1:17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6"/>
    </row>
    <row r="2710" spans="1:17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6"/>
    </row>
    <row r="2711" spans="1:17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6"/>
    </row>
    <row r="2712" spans="1:17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6"/>
    </row>
    <row r="2713" spans="1:17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6"/>
    </row>
    <row r="2714" spans="1:17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6"/>
    </row>
    <row r="2715" spans="1:17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6"/>
    </row>
    <row r="2716" spans="1:17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6"/>
    </row>
    <row r="2717" spans="1:17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6"/>
    </row>
    <row r="2718" spans="1:17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6"/>
    </row>
    <row r="2719" spans="1:17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6"/>
    </row>
    <row r="2720" spans="1:17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6"/>
    </row>
    <row r="2721" spans="1:17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6"/>
    </row>
    <row r="2722" spans="1:17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6"/>
    </row>
    <row r="2723" spans="1:17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6"/>
    </row>
    <row r="2724" spans="1:17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6"/>
    </row>
    <row r="2725" spans="1:17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6"/>
    </row>
    <row r="2726" spans="1:17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6"/>
    </row>
    <row r="2727" spans="1:17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6"/>
    </row>
    <row r="2728" spans="1:17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6"/>
    </row>
    <row r="2729" spans="1:17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6"/>
    </row>
    <row r="2730" spans="1:17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6"/>
    </row>
    <row r="2731" spans="1:17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6"/>
    </row>
    <row r="2732" spans="1:17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6"/>
    </row>
    <row r="2733" spans="1:17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6"/>
    </row>
    <row r="2734" spans="1:17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6"/>
    </row>
    <row r="2735" spans="1:17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6"/>
    </row>
    <row r="2736" spans="1:17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6"/>
    </row>
    <row r="2737" spans="1:17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6"/>
    </row>
    <row r="2738" spans="1:17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6"/>
    </row>
    <row r="2739" spans="1:17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6"/>
    </row>
    <row r="2740" spans="1:17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6"/>
    </row>
    <row r="2741" spans="1:17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6"/>
    </row>
    <row r="2742" spans="1:17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6"/>
    </row>
    <row r="2743" spans="1:17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6"/>
    </row>
    <row r="2744" spans="1:17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6"/>
    </row>
    <row r="2745" spans="1:17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6"/>
    </row>
    <row r="2746" spans="1:17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6"/>
    </row>
    <row r="2747" spans="1:17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6"/>
    </row>
    <row r="2748" spans="1:17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6"/>
    </row>
    <row r="2749" spans="1:17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6"/>
    </row>
    <row r="2750" spans="1:17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6"/>
    </row>
    <row r="2751" spans="1:17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6"/>
    </row>
    <row r="2752" spans="1:17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6"/>
    </row>
    <row r="2753" spans="1:17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6"/>
    </row>
    <row r="2754" spans="1:17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6"/>
    </row>
    <row r="2755" spans="1:17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6"/>
    </row>
    <row r="2756" spans="1:17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6"/>
    </row>
    <row r="2757" spans="1:17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6"/>
    </row>
    <row r="2758" spans="1:17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6"/>
    </row>
    <row r="2759" spans="1:17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6"/>
    </row>
    <row r="2760" spans="1:17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6"/>
    </row>
    <row r="2761" spans="1:17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6"/>
    </row>
    <row r="2762" spans="1:17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6"/>
    </row>
    <row r="2763" spans="1:17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6"/>
    </row>
    <row r="2764" spans="1:17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6"/>
    </row>
    <row r="2765" spans="1:17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6"/>
    </row>
    <row r="2766" spans="1:17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6"/>
    </row>
    <row r="2767" spans="1:17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6"/>
    </row>
    <row r="2768" spans="1:17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6"/>
    </row>
    <row r="2769" spans="1:17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6"/>
    </row>
    <row r="2770" spans="1:17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6"/>
    </row>
    <row r="2771" spans="1:17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6"/>
    </row>
    <row r="2772" spans="1:17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6"/>
    </row>
    <row r="2773" spans="1:17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6"/>
    </row>
    <row r="2774" spans="1:17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6"/>
    </row>
    <row r="2775" spans="1:17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6"/>
    </row>
    <row r="2776" spans="1:17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6"/>
    </row>
    <row r="2777" spans="1:17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6"/>
    </row>
    <row r="2778" spans="1:17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6"/>
    </row>
    <row r="2779" spans="1:17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6"/>
    </row>
    <row r="2780" spans="1:17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6"/>
    </row>
    <row r="2781" spans="1:17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6"/>
    </row>
    <row r="2782" spans="1:17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6"/>
    </row>
    <row r="2783" spans="1:17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6"/>
    </row>
    <row r="2784" spans="1:17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6"/>
    </row>
    <row r="2785" spans="1:17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6"/>
    </row>
    <row r="2786" spans="1:17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6"/>
    </row>
    <row r="2787" spans="1:17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6"/>
    </row>
    <row r="2788" spans="1:17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6"/>
    </row>
    <row r="2789" spans="1:17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6"/>
    </row>
    <row r="2790" spans="1:17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6"/>
    </row>
    <row r="2791" spans="1:17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6"/>
    </row>
    <row r="2792" spans="1:17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6"/>
    </row>
    <row r="2793" spans="1:17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6"/>
    </row>
    <row r="2794" spans="1:17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6"/>
    </row>
    <row r="2795" spans="1:17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6"/>
    </row>
    <row r="2796" spans="1:17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6"/>
    </row>
    <row r="2797" spans="1:17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6"/>
    </row>
    <row r="2798" spans="1:17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6"/>
    </row>
    <row r="2799" spans="1:17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6"/>
    </row>
    <row r="2800" spans="1:17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6"/>
    </row>
    <row r="2801" spans="1:17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6"/>
    </row>
    <row r="2802" spans="1:17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6"/>
    </row>
    <row r="2803" spans="1:17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6"/>
    </row>
    <row r="2804" spans="1:17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6"/>
    </row>
    <row r="2805" spans="1:17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6"/>
    </row>
    <row r="2806" spans="1:17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6"/>
    </row>
    <row r="2807" spans="1:17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6"/>
    </row>
    <row r="2808" spans="1:17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6"/>
    </row>
    <row r="2809" spans="1:17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6"/>
    </row>
    <row r="2810" spans="1:17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6"/>
    </row>
    <row r="2811" spans="1:17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6"/>
    </row>
    <row r="2812" spans="1:17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6"/>
    </row>
    <row r="2813" spans="1:17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6"/>
    </row>
    <row r="2814" spans="1:17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6"/>
    </row>
    <row r="2815" spans="1:17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6"/>
    </row>
    <row r="2816" spans="1:17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6"/>
    </row>
    <row r="2817" spans="1:17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6"/>
    </row>
    <row r="2818" spans="1:17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6"/>
    </row>
    <row r="2819" spans="1:17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6"/>
    </row>
    <row r="2820" spans="1:17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6"/>
    </row>
    <row r="2821" spans="1:17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6"/>
    </row>
    <row r="2822" spans="1:17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6"/>
    </row>
    <row r="2823" spans="1:17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6"/>
    </row>
    <row r="2824" spans="1:17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6"/>
    </row>
    <row r="2825" spans="1:17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6"/>
    </row>
    <row r="2826" spans="1:17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6"/>
    </row>
    <row r="2827" spans="1:17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6"/>
    </row>
    <row r="2828" spans="1:17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6"/>
    </row>
    <row r="2829" spans="1:17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6"/>
    </row>
    <row r="2830" spans="1:17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6"/>
    </row>
    <row r="2831" spans="1:17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6"/>
    </row>
    <row r="2832" spans="1:17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6"/>
    </row>
    <row r="2833" spans="1:17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6"/>
    </row>
    <row r="2834" spans="1:17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6"/>
    </row>
    <row r="2835" spans="1:17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6"/>
    </row>
    <row r="2836" spans="1:17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6"/>
    </row>
    <row r="2837" spans="1:17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6"/>
    </row>
    <row r="2838" spans="1:17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6"/>
    </row>
    <row r="2839" spans="1:17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6"/>
    </row>
    <row r="2840" spans="1:17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6"/>
    </row>
    <row r="2841" spans="1:17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6"/>
    </row>
    <row r="2842" spans="1:17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6"/>
    </row>
    <row r="2843" spans="1:17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6"/>
    </row>
    <row r="2844" spans="1:17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6"/>
    </row>
    <row r="2845" spans="1:17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6"/>
    </row>
    <row r="2846" spans="1:17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6"/>
    </row>
    <row r="2847" spans="1:17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6"/>
    </row>
    <row r="2848" spans="1:17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6"/>
    </row>
    <row r="2849" spans="1:17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6"/>
    </row>
    <row r="2850" spans="1:17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6"/>
    </row>
    <row r="2851" spans="1:17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6"/>
    </row>
    <row r="2852" spans="1:17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6"/>
    </row>
    <row r="2853" spans="1:17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6"/>
    </row>
    <row r="2854" spans="1:17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6"/>
    </row>
    <row r="2855" spans="1:17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6"/>
    </row>
    <row r="2856" spans="1:17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6"/>
    </row>
    <row r="2857" spans="1:17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6"/>
    </row>
    <row r="2858" spans="1:17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6"/>
    </row>
    <row r="2859" spans="1:17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6"/>
    </row>
    <row r="2860" spans="1:17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6"/>
    </row>
    <row r="2861" spans="1:17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6"/>
    </row>
    <row r="2862" spans="1:17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6"/>
    </row>
    <row r="2863" spans="1:17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6"/>
    </row>
    <row r="2864" spans="1:17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6"/>
    </row>
    <row r="2865" spans="1:17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6"/>
    </row>
    <row r="2866" spans="1:17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6"/>
    </row>
    <row r="2867" spans="1:17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6"/>
    </row>
    <row r="2868" spans="1:17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6"/>
    </row>
    <row r="2869" spans="1:17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6"/>
    </row>
    <row r="2870" spans="1:17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6"/>
    </row>
    <row r="2871" spans="1:17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6"/>
    </row>
    <row r="2872" spans="1:17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6"/>
    </row>
    <row r="2873" spans="1:17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6"/>
    </row>
    <row r="2874" spans="1:17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6"/>
    </row>
    <row r="2875" spans="1:17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6"/>
    </row>
    <row r="2876" spans="1:17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6"/>
    </row>
    <row r="2877" spans="1:17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6"/>
    </row>
    <row r="2878" spans="1:17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6"/>
    </row>
    <row r="2879" spans="1:17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6"/>
    </row>
    <row r="2880" spans="1:17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6"/>
    </row>
    <row r="2881" spans="1:17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6"/>
    </row>
    <row r="2882" spans="1:17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6"/>
    </row>
    <row r="2883" spans="1:17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6"/>
    </row>
    <row r="2884" spans="1:17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6"/>
    </row>
    <row r="2885" spans="1:17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6"/>
    </row>
    <row r="2886" spans="1:17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6"/>
    </row>
    <row r="2887" spans="1:17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6"/>
    </row>
    <row r="2888" spans="1:17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6"/>
    </row>
    <row r="2889" spans="1:17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6"/>
    </row>
    <row r="2890" spans="1:17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6"/>
    </row>
    <row r="2891" spans="1:17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6"/>
    </row>
    <row r="2892" spans="1:17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6"/>
    </row>
    <row r="2893" spans="1:17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6"/>
    </row>
    <row r="2894" spans="1:17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6"/>
    </row>
    <row r="2895" spans="1:17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6"/>
    </row>
    <row r="2896" spans="1:17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6"/>
    </row>
    <row r="2897" spans="1:17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6"/>
    </row>
    <row r="2898" spans="1:17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6"/>
    </row>
    <row r="2899" spans="1:17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6"/>
    </row>
    <row r="2900" spans="1:17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6"/>
    </row>
    <row r="2901" spans="1:17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6"/>
    </row>
    <row r="2902" spans="1:17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6"/>
    </row>
    <row r="2903" spans="1:17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6"/>
    </row>
    <row r="2904" spans="1:17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6"/>
    </row>
    <row r="2905" spans="1:17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6"/>
    </row>
    <row r="2906" spans="1:17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6"/>
    </row>
    <row r="2907" spans="1:17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6"/>
    </row>
    <row r="2908" spans="1:17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6"/>
    </row>
    <row r="2909" spans="1:17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6"/>
    </row>
    <row r="2910" spans="1:17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6"/>
    </row>
    <row r="2911" spans="1:17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6"/>
    </row>
    <row r="2912" spans="1:17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6"/>
    </row>
    <row r="2913" spans="1:17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6"/>
    </row>
    <row r="2914" spans="1:17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6"/>
    </row>
    <row r="2915" spans="1:17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6"/>
    </row>
    <row r="2916" spans="1:17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6"/>
    </row>
    <row r="2917" spans="1:17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6"/>
    </row>
    <row r="2918" spans="1:17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6"/>
    </row>
    <row r="2919" spans="1:17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6"/>
    </row>
    <row r="2920" spans="1:17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6"/>
    </row>
    <row r="2921" spans="1:17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6"/>
    </row>
    <row r="2922" spans="1:17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6"/>
    </row>
    <row r="2923" spans="1:17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6"/>
    </row>
    <row r="2924" spans="1:17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6"/>
    </row>
    <row r="2925" spans="1:17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6"/>
    </row>
    <row r="2926" spans="1:17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6"/>
    </row>
    <row r="2927" spans="1:17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6"/>
    </row>
    <row r="2928" spans="1:17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6"/>
    </row>
    <row r="2929" spans="1:17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6"/>
    </row>
    <row r="2930" spans="1:17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6"/>
    </row>
    <row r="2931" spans="1:17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6"/>
    </row>
    <row r="2932" spans="1:17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6"/>
    </row>
    <row r="2933" spans="1:17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6"/>
    </row>
    <row r="2934" spans="1:17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6"/>
    </row>
    <row r="2935" spans="1:17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6"/>
    </row>
    <row r="2936" spans="1:17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6"/>
    </row>
    <row r="2937" spans="1:17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6"/>
    </row>
    <row r="2938" spans="1:17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6"/>
    </row>
    <row r="2939" spans="1:17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6"/>
    </row>
    <row r="2940" spans="1:17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6"/>
    </row>
    <row r="2941" spans="1:17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6"/>
    </row>
    <row r="2942" spans="1:17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6"/>
    </row>
    <row r="2943" spans="1:17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6"/>
    </row>
    <row r="2944" spans="1:17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6"/>
    </row>
    <row r="2945" spans="1:17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6"/>
    </row>
    <row r="2946" spans="1:17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6"/>
    </row>
    <row r="2947" spans="1:17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6"/>
    </row>
    <row r="2948" spans="1:17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6"/>
    </row>
    <row r="2949" spans="1:17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6"/>
    </row>
    <row r="2950" spans="1:17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6"/>
    </row>
    <row r="2951" spans="1:17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6"/>
    </row>
    <row r="2952" spans="1:17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6"/>
    </row>
    <row r="2953" spans="1:17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6"/>
    </row>
    <row r="2954" spans="1:17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6"/>
    </row>
    <row r="2955" spans="1:17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6"/>
    </row>
    <row r="2956" spans="1:17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6"/>
    </row>
    <row r="2957" spans="1:17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6"/>
    </row>
    <row r="2958" spans="1:17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6"/>
    </row>
    <row r="2959" spans="1:17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6"/>
    </row>
    <row r="2960" spans="1:17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6"/>
    </row>
    <row r="2961" spans="1:17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6"/>
    </row>
    <row r="2962" spans="1:17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6"/>
    </row>
    <row r="2963" spans="1:17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6"/>
    </row>
    <row r="2964" spans="1:17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6"/>
    </row>
    <row r="2965" spans="1:17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6"/>
    </row>
    <row r="2966" spans="1:17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6"/>
    </row>
    <row r="2967" spans="1:17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6"/>
    </row>
    <row r="2968" spans="1:17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6"/>
    </row>
    <row r="2969" spans="1:17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6"/>
    </row>
    <row r="2970" spans="1:17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6"/>
    </row>
    <row r="2971" spans="1:17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6"/>
    </row>
    <row r="2972" spans="1:17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6"/>
    </row>
    <row r="2973" spans="1:17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6"/>
    </row>
    <row r="2974" spans="1:17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6"/>
    </row>
    <row r="2975" spans="1:17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6"/>
    </row>
    <row r="2976" spans="1:17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6"/>
    </row>
    <row r="2977" spans="1:17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6"/>
    </row>
    <row r="2978" spans="1:17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6"/>
    </row>
    <row r="2979" spans="1:17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6"/>
    </row>
    <row r="2980" spans="1:17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6"/>
    </row>
    <row r="2981" spans="1:17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6"/>
    </row>
    <row r="2982" spans="1:17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6"/>
    </row>
    <row r="2983" spans="1:17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6"/>
    </row>
    <row r="2984" spans="1:17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6"/>
    </row>
    <row r="2985" spans="1:17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6"/>
    </row>
    <row r="2986" spans="1:17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6"/>
    </row>
    <row r="2987" spans="1:17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6"/>
    </row>
    <row r="2988" spans="1:17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6"/>
    </row>
    <row r="2989" spans="1:17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6"/>
    </row>
    <row r="2990" spans="1:17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6"/>
    </row>
    <row r="2991" spans="1:17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6"/>
    </row>
    <row r="2992" spans="1:17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6"/>
    </row>
    <row r="2993" spans="1:17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6"/>
    </row>
    <row r="2994" spans="1:17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6"/>
    </row>
    <row r="2995" spans="1:17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6"/>
    </row>
    <row r="2996" spans="1:17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6"/>
    </row>
    <row r="2997" spans="1:17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6"/>
    </row>
    <row r="2998" spans="1:17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6"/>
    </row>
    <row r="2999" spans="1:17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6"/>
    </row>
    <row r="3000" spans="1:17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6"/>
    </row>
    <row r="3001" spans="1:17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6"/>
    </row>
    <row r="3002" spans="1:17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6"/>
    </row>
    <row r="3003" spans="1:17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6"/>
    </row>
    <row r="3004" spans="1:17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6"/>
    </row>
    <row r="3005" spans="1:17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6"/>
    </row>
    <row r="3006" spans="1:17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6"/>
    </row>
    <row r="3007" spans="1:17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6"/>
    </row>
    <row r="3008" spans="1:17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6"/>
    </row>
    <row r="3009" spans="1:17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6"/>
    </row>
    <row r="3010" spans="1:17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6"/>
    </row>
    <row r="3011" spans="1:17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6"/>
    </row>
    <row r="3012" spans="1:17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6"/>
    </row>
    <row r="3013" spans="1:17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6"/>
    </row>
    <row r="3014" spans="1:17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6"/>
    </row>
    <row r="3015" spans="1:17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6"/>
    </row>
    <row r="3016" spans="1:17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6"/>
    </row>
    <row r="3017" spans="1:17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6"/>
    </row>
    <row r="3018" spans="1:17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6"/>
    </row>
    <row r="3019" spans="1:17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6"/>
    </row>
    <row r="3020" spans="1:17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6"/>
    </row>
    <row r="3021" spans="1:17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6"/>
    </row>
    <row r="3022" spans="1:17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6"/>
    </row>
    <row r="3023" spans="1:17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6"/>
    </row>
    <row r="3024" spans="1:17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6"/>
    </row>
    <row r="3025" spans="1:17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6"/>
    </row>
    <row r="3026" spans="1:17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6"/>
    </row>
    <row r="3027" spans="1:17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6"/>
    </row>
    <row r="3028" spans="1:17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6"/>
    </row>
    <row r="3029" spans="1:17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6"/>
    </row>
    <row r="3030" spans="1:17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6"/>
    </row>
    <row r="3031" spans="1:17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6"/>
    </row>
    <row r="3032" spans="1:17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6"/>
    </row>
    <row r="3033" spans="1:17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6"/>
    </row>
    <row r="3034" spans="1:17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6"/>
    </row>
    <row r="3035" spans="1:17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6"/>
    </row>
    <row r="3036" spans="1:17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6"/>
    </row>
    <row r="3037" spans="1:17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6"/>
    </row>
    <row r="3038" spans="1:17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6"/>
    </row>
    <row r="3039" spans="1:17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6"/>
    </row>
    <row r="3040" spans="1:17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6"/>
    </row>
    <row r="3041" spans="1:17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6"/>
    </row>
    <row r="3042" spans="1:17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6"/>
    </row>
    <row r="3043" spans="1:17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6"/>
    </row>
    <row r="3044" spans="1:17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6"/>
    </row>
    <row r="3045" spans="1:17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6"/>
    </row>
    <row r="3046" spans="1:17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6"/>
    </row>
    <row r="3047" spans="1:17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6"/>
    </row>
    <row r="3048" spans="1:17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6"/>
    </row>
    <row r="3049" spans="1:17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6"/>
    </row>
    <row r="3050" spans="1:17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6"/>
    </row>
    <row r="3051" spans="1:17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6"/>
    </row>
    <row r="3052" spans="1:17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6"/>
    </row>
    <row r="3053" spans="1:17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6"/>
    </row>
    <row r="3054" spans="1:17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6"/>
    </row>
    <row r="3055" spans="1:17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6"/>
    </row>
    <row r="3056" spans="1:17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6"/>
    </row>
    <row r="3057" spans="1:17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6"/>
    </row>
    <row r="3058" spans="1:17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6"/>
    </row>
    <row r="3059" spans="1:17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6"/>
    </row>
    <row r="3060" spans="1:17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6"/>
    </row>
    <row r="3061" spans="1:17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6"/>
    </row>
    <row r="3062" spans="1:17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6"/>
    </row>
    <row r="3063" spans="1:17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6"/>
    </row>
    <row r="3064" spans="1:17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6"/>
    </row>
    <row r="3065" spans="1:17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6"/>
    </row>
    <row r="3066" spans="1:17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6"/>
    </row>
    <row r="3067" spans="1:17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6"/>
    </row>
    <row r="3068" spans="1:17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6"/>
    </row>
    <row r="3069" spans="1:17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6"/>
    </row>
    <row r="3070" spans="1:17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6"/>
    </row>
    <row r="3071" spans="1:17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6"/>
    </row>
    <row r="3072" spans="1:17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6"/>
    </row>
    <row r="3073" spans="1:17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6"/>
    </row>
    <row r="3074" spans="1:17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6"/>
    </row>
    <row r="3075" spans="1:17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6"/>
    </row>
    <row r="3076" spans="1:17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6"/>
    </row>
    <row r="3077" spans="1:17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6"/>
    </row>
    <row r="3078" spans="1:17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6"/>
    </row>
    <row r="3079" spans="1:17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6"/>
    </row>
    <row r="3080" spans="1:17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6"/>
    </row>
    <row r="3081" spans="1:17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6"/>
    </row>
    <row r="3082" spans="1:17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6"/>
    </row>
    <row r="3083" spans="1:17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6"/>
    </row>
    <row r="3084" spans="1:17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6"/>
    </row>
    <row r="3085" spans="1:17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6"/>
    </row>
    <row r="3086" spans="1:17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6"/>
    </row>
    <row r="3087" spans="1:17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6"/>
    </row>
    <row r="3088" spans="1:17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6"/>
    </row>
    <row r="3089" spans="1:17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6"/>
    </row>
    <row r="3090" spans="1:17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6"/>
    </row>
    <row r="3091" spans="1:17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6"/>
    </row>
    <row r="3092" spans="1:17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6"/>
    </row>
    <row r="3093" spans="1:17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6"/>
    </row>
    <row r="3094" spans="1:17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6"/>
    </row>
    <row r="3095" spans="1:17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6"/>
    </row>
    <row r="3096" spans="1:17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6"/>
    </row>
    <row r="3097" spans="1:17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6"/>
    </row>
    <row r="3098" spans="1:17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6"/>
    </row>
    <row r="3099" spans="1:17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6"/>
    </row>
    <row r="3100" spans="1:17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6"/>
    </row>
    <row r="3101" spans="1:17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6"/>
    </row>
    <row r="3102" spans="1:17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6"/>
    </row>
    <row r="3103" spans="1:17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6"/>
    </row>
    <row r="3104" spans="1:17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6"/>
    </row>
    <row r="3105" spans="1:17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6"/>
    </row>
    <row r="3106" spans="1:17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6"/>
    </row>
    <row r="3107" spans="1:17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6"/>
    </row>
    <row r="3108" spans="1:17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6"/>
    </row>
    <row r="3109" spans="1:17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6"/>
    </row>
    <row r="3110" spans="1:17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6"/>
    </row>
    <row r="3111" spans="1:17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6"/>
    </row>
    <row r="3112" spans="1:17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6"/>
    </row>
    <row r="3113" spans="1:17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6"/>
    </row>
    <row r="3114" spans="1:17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6"/>
    </row>
    <row r="3115" spans="1:17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6"/>
    </row>
    <row r="3116" spans="1:17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6"/>
    </row>
    <row r="3117" spans="1:17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6"/>
    </row>
    <row r="3118" spans="1:17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6"/>
    </row>
    <row r="3119" spans="1:17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6"/>
    </row>
    <row r="3120" spans="1:17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6"/>
    </row>
    <row r="3121" spans="1:17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6"/>
    </row>
    <row r="3122" spans="1:17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6"/>
    </row>
    <row r="3123" spans="1:17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6"/>
    </row>
    <row r="3124" spans="1:17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6"/>
    </row>
    <row r="3125" spans="1:17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6"/>
    </row>
    <row r="3126" spans="1:17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6"/>
    </row>
    <row r="3127" spans="1:17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6"/>
    </row>
    <row r="3128" spans="1:17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6"/>
    </row>
    <row r="3129" spans="1:17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6"/>
    </row>
    <row r="3130" spans="1:17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6"/>
    </row>
    <row r="3131" spans="1:17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6"/>
    </row>
    <row r="3132" spans="1:17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6"/>
    </row>
    <row r="3133" spans="1:17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6"/>
    </row>
    <row r="3134" spans="1:17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6"/>
    </row>
    <row r="3135" spans="1:17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6"/>
    </row>
    <row r="3136" spans="1:17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6"/>
    </row>
    <row r="3137" spans="1:17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6"/>
    </row>
    <row r="3138" spans="1:17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6"/>
    </row>
    <row r="3139" spans="1:17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6"/>
    </row>
    <row r="3140" spans="1:17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6"/>
    </row>
    <row r="3141" spans="1:17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6"/>
    </row>
    <row r="3142" spans="1:17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6"/>
    </row>
    <row r="3143" spans="1:17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6"/>
    </row>
    <row r="3144" spans="1:17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6"/>
    </row>
    <row r="3145" spans="1:17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6"/>
    </row>
    <row r="3146" spans="1:17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6"/>
    </row>
    <row r="3147" spans="1:17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6"/>
    </row>
    <row r="3148" spans="1:17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6"/>
    </row>
    <row r="3149" spans="1:17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6"/>
    </row>
    <row r="3150" spans="1:17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6"/>
    </row>
    <row r="3151" spans="1:17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6"/>
    </row>
    <row r="3152" spans="1:17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6"/>
    </row>
    <row r="3153" spans="1:17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6"/>
    </row>
    <row r="3154" spans="1:17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6"/>
    </row>
    <row r="3155" spans="1:17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6"/>
    </row>
    <row r="3156" spans="1:17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6"/>
    </row>
    <row r="3157" spans="1:17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6"/>
    </row>
    <row r="3158" spans="1:17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6"/>
    </row>
    <row r="3159" spans="1:17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6"/>
    </row>
    <row r="3160" spans="1:17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6"/>
    </row>
    <row r="3161" spans="1:17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6"/>
    </row>
    <row r="3162" spans="1:17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6"/>
    </row>
    <row r="3163" spans="1:17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6"/>
    </row>
    <row r="3164" spans="1:17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6"/>
    </row>
    <row r="3165" spans="1:17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6"/>
    </row>
    <row r="3166" spans="1:17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6"/>
    </row>
    <row r="3167" spans="1:17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6"/>
    </row>
    <row r="3168" spans="1:17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6"/>
    </row>
    <row r="3169" spans="1:17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6"/>
    </row>
    <row r="3170" spans="1:17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6"/>
    </row>
    <row r="3171" spans="1:17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6"/>
    </row>
    <row r="3172" spans="1:17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6"/>
    </row>
    <row r="3173" spans="1:17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6"/>
    </row>
    <row r="3174" spans="1:17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6"/>
    </row>
    <row r="3175" spans="1:17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6"/>
    </row>
    <row r="3176" spans="1:17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6"/>
    </row>
    <row r="3177" spans="1:17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6"/>
    </row>
    <row r="3178" spans="1:17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6"/>
    </row>
    <row r="3179" spans="1:17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6"/>
    </row>
    <row r="3180" spans="1:17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6"/>
    </row>
    <row r="3181" spans="1:17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6"/>
    </row>
    <row r="3182" spans="1:17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6"/>
    </row>
    <row r="3183" spans="1:17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6"/>
    </row>
    <row r="3184" spans="1:17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6"/>
    </row>
    <row r="3185" spans="1:17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6"/>
    </row>
    <row r="3186" spans="1:17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6"/>
    </row>
    <row r="3187" spans="1:17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6"/>
    </row>
    <row r="3188" spans="1:17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6"/>
    </row>
    <row r="3189" spans="1:17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6"/>
    </row>
    <row r="3190" spans="1:17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6"/>
    </row>
    <row r="3191" spans="1:17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6"/>
    </row>
    <row r="3192" spans="1:17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6"/>
    </row>
    <row r="3193" spans="1:17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6"/>
    </row>
    <row r="3194" spans="1:17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6"/>
    </row>
    <row r="3195" spans="1:17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6"/>
    </row>
    <row r="3196" spans="1:17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6"/>
    </row>
    <row r="3197" spans="1:17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6"/>
    </row>
    <row r="3198" spans="1:17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6"/>
    </row>
    <row r="3199" spans="1:17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6"/>
    </row>
    <row r="3200" spans="1:17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6"/>
    </row>
    <row r="3201" spans="1:17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6"/>
    </row>
    <row r="3202" spans="1:17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6"/>
    </row>
    <row r="3203" spans="1:17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6"/>
    </row>
    <row r="3204" spans="1:17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6"/>
    </row>
    <row r="3205" spans="1:17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6"/>
    </row>
    <row r="3206" spans="1:17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6"/>
    </row>
    <row r="3207" spans="1:17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6"/>
    </row>
    <row r="3208" spans="1:17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6"/>
    </row>
    <row r="3209" spans="1:17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6"/>
    </row>
    <row r="3210" spans="1:17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6"/>
    </row>
    <row r="3211" spans="1:17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6"/>
    </row>
    <row r="3212" spans="1:17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6"/>
    </row>
    <row r="3213" spans="1:17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6"/>
    </row>
    <row r="3214" spans="1:17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6"/>
    </row>
    <row r="3215" spans="1:17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6"/>
    </row>
    <row r="3216" spans="1:17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6"/>
    </row>
    <row r="3217" spans="1:17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6"/>
    </row>
    <row r="3218" spans="1:17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6"/>
    </row>
    <row r="3219" spans="1:17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6"/>
    </row>
    <row r="3220" spans="1:17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6"/>
    </row>
    <row r="3221" spans="1:17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6"/>
    </row>
    <row r="3222" spans="1:17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6"/>
    </row>
    <row r="3223" spans="1:17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6"/>
    </row>
    <row r="3224" spans="1:17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6"/>
    </row>
    <row r="3225" spans="1:17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6"/>
    </row>
    <row r="3226" spans="1:17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6"/>
    </row>
    <row r="3227" spans="1:17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6"/>
    </row>
    <row r="3228" spans="1:17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6"/>
    </row>
    <row r="3229" spans="1:17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6"/>
    </row>
    <row r="3230" spans="1:17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6"/>
    </row>
    <row r="3231" spans="1:17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6"/>
    </row>
    <row r="3232" spans="1:17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6"/>
    </row>
    <row r="3233" spans="1:17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6"/>
    </row>
    <row r="3234" spans="1:17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6"/>
    </row>
    <row r="3235" spans="1:17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6"/>
    </row>
    <row r="3236" spans="1:17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6"/>
    </row>
    <row r="3237" spans="1:17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6"/>
    </row>
    <row r="3238" spans="1:17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6"/>
    </row>
    <row r="3239" spans="1:17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6"/>
    </row>
    <row r="3240" spans="1:17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6"/>
    </row>
    <row r="3241" spans="1:17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6"/>
    </row>
    <row r="3242" spans="1:17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6"/>
    </row>
    <row r="3243" spans="1:17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6"/>
    </row>
    <row r="3244" spans="1:17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6"/>
    </row>
    <row r="3245" spans="1:17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6"/>
    </row>
    <row r="3246" spans="1:17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6"/>
    </row>
    <row r="3247" spans="1:17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6"/>
    </row>
    <row r="3248" spans="1:17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6"/>
    </row>
    <row r="3249" spans="1:17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6"/>
    </row>
    <row r="3250" spans="1:17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6"/>
    </row>
    <row r="3251" spans="1:17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6"/>
    </row>
    <row r="3252" spans="1:17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6"/>
    </row>
    <row r="3253" spans="1:17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6"/>
    </row>
    <row r="3254" spans="1:17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6"/>
    </row>
    <row r="3255" spans="1:17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6"/>
    </row>
    <row r="3256" spans="1:17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6"/>
    </row>
    <row r="3257" spans="1:17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6"/>
    </row>
    <row r="3258" spans="1:17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6"/>
    </row>
    <row r="3259" spans="1:17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6"/>
    </row>
    <row r="3260" spans="1:17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6"/>
    </row>
    <row r="3261" spans="1:17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6"/>
    </row>
    <row r="3262" spans="1:17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6"/>
    </row>
    <row r="3263" spans="1:17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6"/>
    </row>
    <row r="3264" spans="1:17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6"/>
    </row>
    <row r="3265" spans="1:17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6"/>
    </row>
    <row r="3266" spans="1:17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6"/>
    </row>
    <row r="3267" spans="1:17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6"/>
    </row>
    <row r="3268" spans="1:17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6"/>
    </row>
    <row r="3269" spans="1:17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6"/>
    </row>
    <row r="3270" spans="1:17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6"/>
    </row>
    <row r="3271" spans="1:17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6"/>
    </row>
    <row r="3272" spans="1:17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6"/>
    </row>
    <row r="3273" spans="1:17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6"/>
    </row>
    <row r="3274" spans="1:17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6"/>
    </row>
    <row r="3275" spans="1:17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6"/>
    </row>
    <row r="3276" spans="1:17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6"/>
    </row>
    <row r="3277" spans="1:17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6"/>
    </row>
    <row r="3278" spans="1:17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6"/>
    </row>
    <row r="3279" spans="1:17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6"/>
    </row>
    <row r="3280" spans="1:17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6"/>
    </row>
    <row r="3281" spans="1:17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6"/>
    </row>
    <row r="3282" spans="1:17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6"/>
    </row>
    <row r="3283" spans="1:17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6"/>
    </row>
    <row r="3284" spans="1:17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6"/>
    </row>
    <row r="3285" spans="1:17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6"/>
    </row>
    <row r="3286" spans="1:17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6"/>
    </row>
    <row r="3287" spans="1:17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6"/>
    </row>
    <row r="3288" spans="1:17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6"/>
    </row>
    <row r="3289" spans="1:17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6"/>
    </row>
    <row r="3290" spans="1:17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6"/>
    </row>
    <row r="3291" spans="1:17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6"/>
    </row>
    <row r="3292" spans="1:17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6"/>
    </row>
    <row r="3293" spans="1:17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6"/>
    </row>
    <row r="3294" spans="1:17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6"/>
    </row>
    <row r="3295" spans="1:17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6"/>
    </row>
    <row r="3296" spans="1:17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6"/>
    </row>
    <row r="3297" spans="1:17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6"/>
    </row>
    <row r="3298" spans="1:17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6"/>
    </row>
    <row r="3299" spans="1:17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6"/>
    </row>
    <row r="3300" spans="1:17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6"/>
    </row>
    <row r="3301" spans="1:17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6"/>
    </row>
    <row r="3302" spans="1:17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6"/>
    </row>
    <row r="3303" spans="1:17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6"/>
    </row>
    <row r="3304" spans="1:17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6"/>
    </row>
    <row r="3305" spans="1:17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6"/>
    </row>
    <row r="3306" spans="1:17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6"/>
    </row>
    <row r="3307" spans="1:17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6"/>
    </row>
    <row r="3308" spans="1:17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6"/>
    </row>
    <row r="3309" spans="1:17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6"/>
    </row>
    <row r="3310" spans="1:17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6"/>
    </row>
    <row r="3311" spans="1:17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6"/>
    </row>
    <row r="3312" spans="1:17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6"/>
    </row>
    <row r="3313" spans="1:17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6"/>
    </row>
    <row r="3314" spans="1:17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6"/>
    </row>
    <row r="3315" spans="1:17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6"/>
    </row>
    <row r="3316" spans="1:17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6"/>
    </row>
    <row r="3317" spans="1:17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6"/>
    </row>
    <row r="3318" spans="1:17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6"/>
    </row>
    <row r="3319" spans="1:17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6"/>
    </row>
    <row r="3320" spans="1:17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6"/>
    </row>
    <row r="3321" spans="1:17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6"/>
    </row>
    <row r="3322" spans="1:17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6"/>
    </row>
    <row r="3323" spans="1:17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6"/>
    </row>
    <row r="3324" spans="1:17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6"/>
    </row>
    <row r="3325" spans="1:17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6"/>
    </row>
    <row r="3326" spans="1:17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6"/>
    </row>
    <row r="3327" spans="1:17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6"/>
    </row>
    <row r="3328" spans="1:17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6"/>
    </row>
    <row r="3329" spans="1:17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6"/>
    </row>
    <row r="3330" spans="1:17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6"/>
    </row>
    <row r="3331" spans="1:17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6"/>
    </row>
    <row r="3332" spans="1:17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6"/>
    </row>
    <row r="3333" spans="1:17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6"/>
    </row>
    <row r="3334" spans="1:17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6"/>
    </row>
    <row r="3335" spans="1:17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6"/>
    </row>
    <row r="3336" spans="1:17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6"/>
    </row>
    <row r="3337" spans="1:17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6"/>
    </row>
    <row r="3338" spans="1:17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6"/>
    </row>
    <row r="3339" spans="1:17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6"/>
    </row>
    <row r="3340" spans="1:17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6"/>
    </row>
    <row r="3341" spans="1:17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6"/>
    </row>
    <row r="3342" spans="1:17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6"/>
    </row>
    <row r="3343" spans="1:17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6"/>
    </row>
    <row r="3344" spans="1:17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6"/>
    </row>
    <row r="3345" spans="1:17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6"/>
    </row>
    <row r="3346" spans="1:17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6"/>
    </row>
    <row r="3347" spans="1:17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6"/>
    </row>
    <row r="3348" spans="1:17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6"/>
    </row>
    <row r="3349" spans="1:17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6"/>
    </row>
    <row r="3350" spans="1:17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6"/>
    </row>
    <row r="3351" spans="1:17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6"/>
    </row>
    <row r="3352" spans="1:17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6"/>
    </row>
    <row r="3353" spans="1:17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6"/>
    </row>
    <row r="3354" spans="1:17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6"/>
    </row>
    <row r="3355" spans="1:17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6"/>
    </row>
    <row r="3356" spans="1:17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6"/>
    </row>
    <row r="3357" spans="1:17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6"/>
    </row>
    <row r="3358" spans="1:17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6"/>
    </row>
    <row r="3359" spans="1:17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6"/>
    </row>
    <row r="3360" spans="1:17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6"/>
    </row>
    <row r="3361" spans="1:17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6"/>
    </row>
    <row r="3362" spans="1:17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6"/>
    </row>
    <row r="3363" spans="1:17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6"/>
    </row>
    <row r="3364" spans="1:17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6"/>
    </row>
    <row r="3365" spans="1:17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6"/>
    </row>
    <row r="3366" spans="1:17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6"/>
    </row>
    <row r="3367" spans="1:17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6"/>
    </row>
    <row r="3368" spans="1:17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6"/>
    </row>
    <row r="3369" spans="1:17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6"/>
    </row>
    <row r="3370" spans="1:17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6"/>
    </row>
    <row r="3371" spans="1:17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6"/>
    </row>
    <row r="3372" spans="1:17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6"/>
    </row>
    <row r="3373" spans="1:17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6"/>
    </row>
    <row r="3374" spans="1:17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6"/>
    </row>
    <row r="3375" spans="1:17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6"/>
    </row>
    <row r="3376" spans="1:17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6"/>
    </row>
    <row r="3377" spans="1:17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6"/>
    </row>
    <row r="3378" spans="1:17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6"/>
    </row>
    <row r="3379" spans="1:17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6"/>
    </row>
    <row r="3380" spans="1:17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6"/>
    </row>
    <row r="3381" spans="1:17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6"/>
    </row>
    <row r="3382" spans="1:17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6"/>
    </row>
    <row r="3383" spans="1:17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6"/>
    </row>
    <row r="3384" spans="1:17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6"/>
    </row>
    <row r="3385" spans="1:17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6"/>
    </row>
    <row r="3386" spans="1:17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6"/>
    </row>
    <row r="3387" spans="1:17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6"/>
    </row>
    <row r="3388" spans="1:17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6"/>
    </row>
    <row r="3389" spans="1:17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6"/>
    </row>
    <row r="3390" spans="1:17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6"/>
    </row>
    <row r="3391" spans="1:17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6"/>
    </row>
    <row r="3392" spans="1:17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6"/>
    </row>
    <row r="3393" spans="1:17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6"/>
    </row>
    <row r="3394" spans="1:17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6"/>
    </row>
    <row r="3395" spans="1:17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6"/>
    </row>
    <row r="3396" spans="1:17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6"/>
    </row>
    <row r="3397" spans="1:17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6"/>
    </row>
    <row r="3398" spans="1:17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6"/>
    </row>
    <row r="3399" spans="1:17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6"/>
    </row>
    <row r="3400" spans="1:17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6"/>
    </row>
    <row r="3401" spans="1:17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6"/>
    </row>
    <row r="3402" spans="1:17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6"/>
    </row>
    <row r="3403" spans="1:17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6"/>
    </row>
    <row r="3404" spans="1:17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6"/>
    </row>
    <row r="3405" spans="1:17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6"/>
    </row>
    <row r="3406" spans="1:17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6"/>
    </row>
    <row r="3407" spans="1:17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6"/>
    </row>
    <row r="3408" spans="1:17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6"/>
    </row>
    <row r="3409" spans="1:17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6"/>
    </row>
    <row r="3410" spans="1:17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6"/>
    </row>
    <row r="3411" spans="1:17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6"/>
    </row>
    <row r="3412" spans="1:17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6"/>
    </row>
    <row r="3413" spans="1:17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6"/>
    </row>
    <row r="3414" spans="1:17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6"/>
    </row>
    <row r="3415" spans="1:17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6"/>
    </row>
    <row r="3416" spans="1:17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6"/>
    </row>
    <row r="3417" spans="1:17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6"/>
    </row>
    <row r="3418" spans="1:17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6"/>
    </row>
    <row r="3419" spans="1:17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6"/>
    </row>
    <row r="3420" spans="1:17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6"/>
    </row>
    <row r="3421" spans="1:17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6"/>
    </row>
    <row r="3422" spans="1:17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6"/>
    </row>
    <row r="3423" spans="1:17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6"/>
    </row>
    <row r="3424" spans="1:17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6"/>
    </row>
    <row r="3425" spans="1:17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6"/>
    </row>
    <row r="3426" spans="1:17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6"/>
    </row>
    <row r="3427" spans="1:17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6"/>
    </row>
    <row r="3428" spans="1:17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6"/>
    </row>
    <row r="3429" spans="1:17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6"/>
    </row>
    <row r="3430" spans="1:17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6"/>
    </row>
    <row r="3431" spans="1:17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6"/>
    </row>
    <row r="3432" spans="1:17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6"/>
    </row>
    <row r="3433" spans="1:17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6"/>
    </row>
    <row r="3434" spans="1:17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6"/>
    </row>
    <row r="3435" spans="1:17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6"/>
    </row>
    <row r="3436" spans="1:17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6"/>
    </row>
    <row r="3437" spans="1:17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6"/>
    </row>
    <row r="3438" spans="1:17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6"/>
    </row>
    <row r="3439" spans="1:17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6"/>
    </row>
    <row r="3440" spans="1:17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6"/>
    </row>
    <row r="3441" spans="1:17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6"/>
    </row>
    <row r="3442" spans="1:17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6"/>
    </row>
    <row r="3443" spans="1:17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6"/>
    </row>
    <row r="3444" spans="1:17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6"/>
    </row>
    <row r="3445" spans="1:17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6"/>
    </row>
    <row r="3446" spans="1:17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6"/>
    </row>
    <row r="3447" spans="1:17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6"/>
    </row>
    <row r="3448" spans="1:17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6"/>
    </row>
    <row r="3449" spans="1:17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6"/>
    </row>
    <row r="3450" spans="1:17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6"/>
    </row>
    <row r="3451" spans="1:17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6"/>
    </row>
    <row r="3452" spans="1:17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6"/>
    </row>
    <row r="3453" spans="1:17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6"/>
    </row>
    <row r="3454" spans="1:17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6"/>
    </row>
    <row r="3455" spans="1:17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6"/>
    </row>
    <row r="3456" spans="1:17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6"/>
    </row>
    <row r="3457" spans="1:17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6"/>
    </row>
    <row r="3458" spans="1:17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6"/>
    </row>
    <row r="3459" spans="1:17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6"/>
    </row>
    <row r="3460" spans="1:17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6"/>
    </row>
    <row r="3461" spans="1:17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6"/>
    </row>
    <row r="3462" spans="1:17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6"/>
    </row>
    <row r="3463" spans="1:17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6"/>
    </row>
    <row r="3464" spans="1:17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6"/>
    </row>
    <row r="3465" spans="1:17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6"/>
    </row>
    <row r="3466" spans="1:17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6"/>
    </row>
    <row r="3467" spans="1:17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6"/>
    </row>
    <row r="3468" spans="1:17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6"/>
    </row>
    <row r="3469" spans="1:17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6"/>
    </row>
    <row r="3470" spans="1:17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6"/>
    </row>
    <row r="3471" spans="1:17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6"/>
    </row>
    <row r="3472" spans="1:17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6"/>
    </row>
    <row r="3473" spans="1:17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6"/>
    </row>
    <row r="3474" spans="1:17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6"/>
    </row>
    <row r="3475" spans="1:17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6"/>
    </row>
    <row r="3476" spans="1:17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6"/>
    </row>
    <row r="3477" spans="1:17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6"/>
    </row>
    <row r="3478" spans="1:17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6"/>
    </row>
    <row r="3479" spans="1:17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6"/>
    </row>
    <row r="3480" spans="1:17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6"/>
    </row>
    <row r="3481" spans="1:17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6"/>
    </row>
    <row r="3482" spans="1:17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6"/>
    </row>
    <row r="3483" spans="1:17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6"/>
    </row>
    <row r="3484" spans="1:17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6"/>
    </row>
    <row r="3485" spans="1:17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6"/>
    </row>
    <row r="3486" spans="1:17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6"/>
    </row>
    <row r="3487" spans="1:17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6"/>
    </row>
    <row r="3488" spans="1:17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6"/>
    </row>
    <row r="3489" spans="1:17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6"/>
    </row>
    <row r="3490" spans="1:17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6"/>
    </row>
    <row r="3491" spans="1:17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6"/>
    </row>
    <row r="3492" spans="1:17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6"/>
    </row>
    <row r="3493" spans="1:17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6"/>
    </row>
    <row r="3494" spans="1:17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6"/>
    </row>
    <row r="3495" spans="1:17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6"/>
    </row>
    <row r="3496" spans="1:17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6"/>
    </row>
    <row r="3497" spans="1:17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6"/>
    </row>
    <row r="3498" spans="1:17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6"/>
    </row>
    <row r="3499" spans="1:17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6"/>
    </row>
    <row r="3500" spans="1:17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6"/>
    </row>
    <row r="3501" spans="1:17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6"/>
    </row>
    <row r="3502" spans="1:17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6"/>
    </row>
    <row r="3503" spans="1:17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6"/>
    </row>
    <row r="3504" spans="1:17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6"/>
    </row>
    <row r="3505" spans="1:17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6"/>
    </row>
    <row r="3506" spans="1:17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6"/>
    </row>
    <row r="3507" spans="1:17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6"/>
    </row>
    <row r="3508" spans="1:17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6"/>
    </row>
    <row r="3509" spans="1:17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6"/>
    </row>
    <row r="3510" spans="1:17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6"/>
    </row>
    <row r="3511" spans="1:17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6"/>
    </row>
    <row r="3512" spans="1:17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6"/>
    </row>
    <row r="3513" spans="1:17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6"/>
    </row>
    <row r="3514" spans="1:17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6"/>
    </row>
    <row r="3515" spans="1:17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6"/>
    </row>
    <row r="3516" spans="1:17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6"/>
    </row>
    <row r="3517" spans="1:17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6"/>
    </row>
    <row r="3518" spans="1:17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6"/>
    </row>
    <row r="3519" spans="1:17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6"/>
    </row>
    <row r="3520" spans="1:17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6"/>
    </row>
    <row r="3521" spans="1:17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6"/>
    </row>
    <row r="3522" spans="1:17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6"/>
    </row>
    <row r="3523" spans="1:17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6"/>
    </row>
    <row r="3524" spans="1:17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6"/>
    </row>
    <row r="3525" spans="1:17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6"/>
    </row>
    <row r="3526" spans="1:17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6"/>
    </row>
    <row r="3527" spans="1:17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6"/>
    </row>
    <row r="3528" spans="1:17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6"/>
    </row>
    <row r="3529" spans="1:17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6"/>
    </row>
    <row r="3530" spans="1:17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6"/>
    </row>
    <row r="3531" spans="1:17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6"/>
    </row>
    <row r="3532" spans="1:17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6"/>
    </row>
    <row r="3533" spans="1:17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6"/>
    </row>
    <row r="3534" spans="1:17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6"/>
    </row>
    <row r="3535" spans="1:17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6"/>
    </row>
    <row r="3536" spans="1:17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6"/>
    </row>
    <row r="3537" spans="1:17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6"/>
    </row>
    <row r="3538" spans="1:17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6"/>
    </row>
    <row r="3539" spans="1:17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6"/>
    </row>
    <row r="3540" spans="1:17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6"/>
    </row>
    <row r="3541" spans="1:17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6"/>
    </row>
    <row r="3542" spans="1:17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6"/>
    </row>
    <row r="3543" spans="1:17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6"/>
    </row>
    <row r="3544" spans="1:17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6"/>
    </row>
    <row r="3545" spans="1:17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6"/>
    </row>
    <row r="3546" spans="1:17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6"/>
    </row>
    <row r="3547" spans="1:17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6"/>
    </row>
    <row r="3548" spans="1:17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6"/>
    </row>
    <row r="3549" spans="1:17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6"/>
    </row>
    <row r="3550" spans="1:17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6"/>
    </row>
    <row r="3551" spans="1:17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6"/>
    </row>
    <row r="3552" spans="1:17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6"/>
    </row>
    <row r="3553" spans="1:17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6"/>
    </row>
    <row r="3554" spans="1:17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6"/>
    </row>
    <row r="3555" spans="1:17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6"/>
    </row>
    <row r="3556" spans="1:17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6"/>
    </row>
    <row r="3557" spans="1:17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6"/>
    </row>
    <row r="3558" spans="1:17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6"/>
    </row>
    <row r="3559" spans="1:17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6"/>
    </row>
    <row r="3560" spans="1:17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6"/>
    </row>
    <row r="3561" spans="1:17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6"/>
    </row>
    <row r="3562" spans="1:17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6"/>
    </row>
    <row r="3563" spans="1:17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6"/>
    </row>
    <row r="3564" spans="1:17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6"/>
    </row>
    <row r="3565" spans="1:17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6"/>
    </row>
    <row r="3566" spans="1:17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6"/>
    </row>
    <row r="3567" spans="1:17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6"/>
    </row>
    <row r="3568" spans="1:17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6"/>
    </row>
    <row r="3569" spans="1:17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6"/>
    </row>
    <row r="3570" spans="1:17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6"/>
    </row>
    <row r="3571" spans="1:17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6"/>
    </row>
    <row r="3572" spans="1:17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6"/>
    </row>
    <row r="3573" spans="1:17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6"/>
    </row>
    <row r="3574" spans="1:17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6"/>
    </row>
    <row r="3575" spans="1:17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6"/>
    </row>
    <row r="3576" spans="1:17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6"/>
    </row>
    <row r="3577" spans="1:17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6"/>
    </row>
    <row r="3578" spans="1:17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6"/>
    </row>
    <row r="3579" spans="1:17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6"/>
    </row>
    <row r="3580" spans="1:17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6"/>
    </row>
    <row r="3581" spans="1:17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6"/>
    </row>
    <row r="3582" spans="1:17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6"/>
    </row>
    <row r="3583" spans="1:17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6"/>
    </row>
    <row r="3584" spans="1:17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6"/>
    </row>
    <row r="3585" spans="1:17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6"/>
    </row>
    <row r="3586" spans="1:17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6"/>
    </row>
    <row r="3587" spans="1:17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6"/>
    </row>
    <row r="3588" spans="1:17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6"/>
    </row>
    <row r="3589" spans="1:17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6"/>
    </row>
    <row r="3590" spans="1:17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6"/>
    </row>
    <row r="3591" spans="1:17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6"/>
    </row>
    <row r="3592" spans="1:17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6"/>
    </row>
    <row r="3593" spans="1:17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6"/>
    </row>
    <row r="3594" spans="1:17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6"/>
    </row>
    <row r="3595" spans="1:17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6"/>
    </row>
    <row r="3596" spans="1:17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6"/>
    </row>
    <row r="3597" spans="1:17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6"/>
    </row>
    <row r="3598" spans="1:17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6"/>
    </row>
    <row r="3599" spans="1:17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6"/>
    </row>
    <row r="3600" spans="1:17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6"/>
    </row>
    <row r="3601" spans="1:17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6"/>
    </row>
    <row r="3602" spans="1:17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6"/>
    </row>
    <row r="3603" spans="1:17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6"/>
    </row>
    <row r="3604" spans="1:17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6"/>
    </row>
    <row r="3605" spans="1:17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6"/>
    </row>
    <row r="3606" spans="1:17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6"/>
    </row>
    <row r="3607" spans="1:17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6"/>
    </row>
    <row r="3608" spans="1:17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6"/>
    </row>
    <row r="3609" spans="1:17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6"/>
    </row>
    <row r="3610" spans="1:17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6"/>
    </row>
    <row r="3611" spans="1:17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6"/>
    </row>
    <row r="3612" spans="1:17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6"/>
    </row>
    <row r="3613" spans="1:17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6"/>
    </row>
    <row r="3614" spans="1:17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6"/>
    </row>
    <row r="3615" spans="1:17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6"/>
    </row>
    <row r="3616" spans="1:17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6"/>
    </row>
    <row r="3617" spans="1:17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6"/>
    </row>
    <row r="3618" spans="1:17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6"/>
    </row>
    <row r="3619" spans="1:17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6"/>
    </row>
    <row r="3620" spans="1:17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6"/>
    </row>
    <row r="3621" spans="1:17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6"/>
    </row>
    <row r="3622" spans="1:17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6"/>
    </row>
    <row r="3623" spans="1:17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6"/>
    </row>
    <row r="3624" spans="1:17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6"/>
    </row>
    <row r="3625" spans="1:17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6"/>
    </row>
    <row r="3626" spans="1:17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6"/>
    </row>
    <row r="3627" spans="1:17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6"/>
    </row>
    <row r="3628" spans="1:17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6"/>
    </row>
    <row r="3629" spans="1:17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6"/>
    </row>
    <row r="3630" spans="1:17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6"/>
    </row>
    <row r="3631" spans="1:17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6"/>
    </row>
    <row r="3632" spans="1:17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6"/>
    </row>
    <row r="3633" spans="1:17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6"/>
    </row>
    <row r="3634" spans="1:17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6"/>
    </row>
    <row r="3635" spans="1:17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6"/>
    </row>
    <row r="3636" spans="1:17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6"/>
    </row>
    <row r="3637" spans="1:17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6"/>
    </row>
    <row r="3638" spans="1:17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6"/>
    </row>
    <row r="3639" spans="1:17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6"/>
    </row>
    <row r="3640" spans="1:17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6"/>
    </row>
    <row r="3641" spans="1:17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6"/>
    </row>
    <row r="3642" spans="1:17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6"/>
    </row>
    <row r="3643" spans="1:17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6"/>
    </row>
    <row r="3644" spans="1:17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6"/>
    </row>
    <row r="3645" spans="1:17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6"/>
    </row>
    <row r="3646" spans="1:17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6"/>
    </row>
    <row r="3647" spans="1:17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6"/>
    </row>
    <row r="3648" spans="1:17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6"/>
    </row>
    <row r="3649" spans="1:17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6"/>
    </row>
    <row r="3650" spans="1:17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6"/>
    </row>
    <row r="3651" spans="1:17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6"/>
    </row>
    <row r="3652" spans="1:17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6"/>
    </row>
    <row r="3653" spans="1:17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6"/>
    </row>
    <row r="3654" spans="1:17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6"/>
    </row>
    <row r="3655" spans="1:17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6"/>
    </row>
    <row r="3656" spans="1:17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6"/>
    </row>
    <row r="3657" spans="1:17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6"/>
    </row>
    <row r="3658" spans="1:17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6"/>
    </row>
    <row r="3659" spans="1:17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6"/>
    </row>
    <row r="3660" spans="1:17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6"/>
    </row>
    <row r="3661" spans="1:17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6"/>
    </row>
    <row r="3662" spans="1:17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6"/>
    </row>
    <row r="3663" spans="1:17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6"/>
    </row>
    <row r="3664" spans="1:17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6"/>
    </row>
    <row r="3665" spans="1:17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6"/>
    </row>
    <row r="3666" spans="1:17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6"/>
    </row>
    <row r="3667" spans="1:17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6"/>
    </row>
    <row r="3668" spans="1:17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6"/>
    </row>
    <row r="3669" spans="1:17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6"/>
    </row>
    <row r="3670" spans="1:17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6"/>
    </row>
    <row r="3671" spans="1:17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6"/>
    </row>
    <row r="3672" spans="1:17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6"/>
    </row>
    <row r="3673" spans="1:17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6"/>
    </row>
    <row r="3674" spans="1:17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6"/>
    </row>
    <row r="3675" spans="1:17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6"/>
    </row>
    <row r="3676" spans="1:17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6"/>
    </row>
    <row r="3677" spans="1:17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6"/>
    </row>
    <row r="3678" spans="1:17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6"/>
    </row>
    <row r="3679" spans="1:17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6"/>
    </row>
    <row r="3680" spans="1:17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6"/>
    </row>
    <row r="3681" spans="1:17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6"/>
    </row>
    <row r="3682" spans="1:17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6"/>
    </row>
    <row r="3683" spans="1:17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6"/>
    </row>
    <row r="3684" spans="1:17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6"/>
    </row>
    <row r="3685" spans="1:17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6"/>
    </row>
    <row r="3686" spans="1:17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6"/>
    </row>
    <row r="3687" spans="1:17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6"/>
    </row>
    <row r="3688" spans="1:17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6"/>
    </row>
    <row r="3689" spans="1:17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6"/>
    </row>
    <row r="3690" spans="1:17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6"/>
    </row>
    <row r="3691" spans="1:17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6"/>
    </row>
    <row r="3692" spans="1:17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6"/>
    </row>
    <row r="3693" spans="1:17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6"/>
    </row>
    <row r="3694" spans="1:17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6"/>
    </row>
    <row r="3695" spans="1:17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6"/>
    </row>
    <row r="3696" spans="1:17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6"/>
    </row>
    <row r="3697" spans="1:17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6"/>
    </row>
    <row r="3698" spans="1:17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6"/>
    </row>
    <row r="3699" spans="1:17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6"/>
    </row>
    <row r="3700" spans="1:17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6"/>
    </row>
    <row r="3701" spans="1:17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6"/>
    </row>
    <row r="3702" spans="1:17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6"/>
    </row>
    <row r="3703" spans="1:17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6"/>
    </row>
    <row r="3704" spans="1:17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6"/>
    </row>
    <row r="3705" spans="1:17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6"/>
    </row>
    <row r="3706" spans="1:17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6"/>
    </row>
    <row r="3707" spans="1:17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6"/>
    </row>
    <row r="3708" spans="1:17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6"/>
    </row>
    <row r="3709" spans="1:17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6"/>
    </row>
    <row r="3710" spans="1:17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6"/>
    </row>
    <row r="3711" spans="1:17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6"/>
    </row>
    <row r="3712" spans="1:17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6"/>
    </row>
    <row r="3713" spans="1:17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6"/>
    </row>
    <row r="3714" spans="1:17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6"/>
    </row>
    <row r="3715" spans="1:17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6"/>
    </row>
    <row r="3716" spans="1:17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6"/>
    </row>
    <row r="3717" spans="1:17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6"/>
    </row>
    <row r="3718" spans="1:17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6"/>
    </row>
    <row r="3719" spans="1:17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6"/>
    </row>
    <row r="3720" spans="1:17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6"/>
    </row>
    <row r="3721" spans="1:17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6"/>
    </row>
    <row r="3722" spans="1:17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6"/>
    </row>
    <row r="3723" spans="1:17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6"/>
    </row>
    <row r="3724" spans="1:17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6"/>
    </row>
    <row r="3725" spans="1:17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6"/>
    </row>
    <row r="3726" spans="1:17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6"/>
    </row>
    <row r="3727" spans="1:17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6"/>
    </row>
    <row r="3728" spans="1:17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6"/>
    </row>
    <row r="3729" spans="1:17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6"/>
    </row>
    <row r="3730" spans="1:17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6"/>
    </row>
    <row r="3731" spans="1:17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6"/>
    </row>
    <row r="3732" spans="1:17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6"/>
    </row>
    <row r="3733" spans="1:17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6"/>
    </row>
    <row r="3734" spans="1:17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6"/>
    </row>
    <row r="3735" spans="1:17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6"/>
    </row>
    <row r="3736" spans="1:17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6"/>
    </row>
    <row r="3737" spans="1:17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6"/>
    </row>
    <row r="3738" spans="1:17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6"/>
    </row>
    <row r="3739" spans="1:17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6"/>
    </row>
    <row r="3740" spans="1:17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6"/>
    </row>
    <row r="3741" spans="1:17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6"/>
    </row>
    <row r="3742" spans="1:17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6"/>
    </row>
    <row r="3743" spans="1:17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6"/>
    </row>
    <row r="3744" spans="1:17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6"/>
    </row>
    <row r="3745" spans="1:17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6"/>
    </row>
    <row r="3746" spans="1:17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6"/>
    </row>
    <row r="3747" spans="1:17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6"/>
    </row>
    <row r="3748" spans="1:17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6"/>
    </row>
    <row r="3749" spans="1:17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6"/>
    </row>
    <row r="3750" spans="1:17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6"/>
    </row>
    <row r="3751" spans="1:17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6"/>
    </row>
    <row r="3752" spans="1:17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6"/>
    </row>
    <row r="3753" spans="1:17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6"/>
    </row>
    <row r="3754" spans="1:17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6"/>
    </row>
    <row r="3755" spans="1:17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6"/>
    </row>
    <row r="3756" spans="1:17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6"/>
    </row>
    <row r="3757" spans="1:17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6"/>
    </row>
    <row r="3758" spans="1:17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6"/>
    </row>
    <row r="3759" spans="1:17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6"/>
    </row>
    <row r="3760" spans="1:17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6"/>
    </row>
    <row r="3761" spans="1:17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6"/>
    </row>
    <row r="3762" spans="1:17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6"/>
    </row>
    <row r="3763" spans="1:17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6"/>
    </row>
    <row r="3764" spans="1:17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6"/>
    </row>
    <row r="3765" spans="1:17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6"/>
    </row>
    <row r="3766" spans="1:17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6"/>
    </row>
    <row r="3767" spans="1:17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6"/>
    </row>
    <row r="3768" spans="1:17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6"/>
    </row>
    <row r="3769" spans="1:17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6"/>
    </row>
    <row r="3770" spans="1:17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6"/>
    </row>
    <row r="3771" spans="1:17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6"/>
    </row>
    <row r="3772" spans="1:17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6"/>
    </row>
    <row r="3773" spans="1:17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6"/>
    </row>
    <row r="3774" spans="1:17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6"/>
    </row>
    <row r="3775" spans="1:17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6"/>
    </row>
    <row r="3776" spans="1:17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6"/>
    </row>
    <row r="3777" spans="1:17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6"/>
    </row>
    <row r="3778" spans="1:17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6"/>
    </row>
    <row r="3779" spans="1:17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6"/>
    </row>
    <row r="3780" spans="1:17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6"/>
    </row>
    <row r="3781" spans="1:17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6"/>
    </row>
    <row r="3782" spans="1:17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6"/>
    </row>
    <row r="3783" spans="1:17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6"/>
    </row>
    <row r="3784" spans="1:17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6"/>
    </row>
    <row r="3785" spans="1:17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6"/>
    </row>
    <row r="3786" spans="1:17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6"/>
    </row>
    <row r="3787" spans="1:17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6"/>
    </row>
    <row r="3788" spans="1:17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6"/>
    </row>
    <row r="3789" spans="1:17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6"/>
    </row>
    <row r="3790" spans="1:17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6"/>
    </row>
    <row r="3791" spans="1:17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6"/>
    </row>
    <row r="3792" spans="1:17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6"/>
    </row>
    <row r="3793" spans="1:17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6"/>
    </row>
    <row r="3794" spans="1:17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6"/>
    </row>
    <row r="3795" spans="1:17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6"/>
    </row>
    <row r="3796" spans="1:17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6"/>
    </row>
    <row r="3797" spans="1:17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6"/>
    </row>
    <row r="3798" spans="1:17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6"/>
    </row>
    <row r="3799" spans="1:17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6"/>
    </row>
    <row r="3800" spans="1:17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6"/>
    </row>
    <row r="3801" spans="1:17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6"/>
    </row>
    <row r="3802" spans="1:17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6"/>
    </row>
    <row r="3803" spans="1:17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6"/>
    </row>
    <row r="3804" spans="1:17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6"/>
    </row>
    <row r="3805" spans="1:17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6"/>
    </row>
    <row r="3806" spans="1:17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6"/>
    </row>
    <row r="3807" spans="1:17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6"/>
    </row>
    <row r="3808" spans="1:17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6"/>
    </row>
    <row r="3809" spans="1:17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6"/>
    </row>
    <row r="3810" spans="1:17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6"/>
    </row>
    <row r="3811" spans="1:17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6"/>
    </row>
    <row r="3812" spans="1:17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6"/>
    </row>
    <row r="3813" spans="1:17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6"/>
    </row>
    <row r="3814" spans="1:17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6"/>
    </row>
    <row r="3815" spans="1:17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6"/>
    </row>
    <row r="3816" spans="1:17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6"/>
    </row>
    <row r="3817" spans="1:17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6"/>
    </row>
    <row r="3818" spans="1:17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6"/>
    </row>
    <row r="3819" spans="1:17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6"/>
    </row>
    <row r="3820" spans="1:17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6"/>
    </row>
    <row r="3821" spans="1:17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6"/>
    </row>
    <row r="3822" spans="1:17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6"/>
    </row>
    <row r="3823" spans="1:17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6"/>
    </row>
    <row r="3824" spans="1:17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6"/>
    </row>
    <row r="3825" spans="1:17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6"/>
    </row>
    <row r="3826" spans="1:17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6"/>
    </row>
    <row r="3827" spans="1:17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6"/>
    </row>
    <row r="3828" spans="1:17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6"/>
    </row>
    <row r="3829" spans="1:17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6"/>
    </row>
    <row r="3830" spans="1:17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6"/>
    </row>
    <row r="3831" spans="1:17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6"/>
    </row>
    <row r="3832" spans="1:17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6"/>
    </row>
    <row r="3833" spans="1:17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6"/>
    </row>
    <row r="3834" spans="1:17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6"/>
    </row>
    <row r="3835" spans="1:17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6"/>
    </row>
    <row r="3836" spans="1:17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6"/>
    </row>
    <row r="3837" spans="1:17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6"/>
    </row>
    <row r="3838" spans="1:17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6"/>
    </row>
    <row r="3839" spans="1:17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6"/>
    </row>
    <row r="3840" spans="1:17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6"/>
    </row>
    <row r="3841" spans="1:17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6"/>
    </row>
    <row r="3842" spans="1:17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6"/>
    </row>
    <row r="3843" spans="1:17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6"/>
    </row>
    <row r="3844" spans="1:17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6"/>
    </row>
    <row r="3845" spans="1:17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6"/>
    </row>
    <row r="3846" spans="1:17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6"/>
    </row>
    <row r="3847" spans="1:17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6"/>
    </row>
    <row r="3848" spans="1:17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6"/>
    </row>
    <row r="3849" spans="1:17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6"/>
    </row>
    <row r="3850" spans="1:17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6"/>
    </row>
    <row r="3851" spans="1:17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6"/>
    </row>
    <row r="3852" spans="1:17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6"/>
    </row>
    <row r="3853" spans="1:17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6"/>
    </row>
    <row r="3854" spans="1:17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6"/>
    </row>
    <row r="3855" spans="1:17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6"/>
    </row>
    <row r="3856" spans="1:17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6"/>
    </row>
    <row r="3857" spans="1:17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6"/>
    </row>
    <row r="3858" spans="1:17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6"/>
    </row>
    <row r="3859" spans="1:17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6"/>
    </row>
    <row r="3860" spans="1:17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6"/>
    </row>
    <row r="3861" spans="1:17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6"/>
    </row>
    <row r="3862" spans="1:17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6"/>
    </row>
    <row r="3863" spans="1:17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6"/>
    </row>
    <row r="3864" spans="1:17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6"/>
    </row>
    <row r="3865" spans="1:17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6"/>
    </row>
    <row r="3866" spans="1:17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6"/>
    </row>
    <row r="3867" spans="1:17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6"/>
    </row>
    <row r="3868" spans="1:17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6"/>
    </row>
    <row r="3869" spans="1:17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6"/>
    </row>
    <row r="3870" spans="1:17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6"/>
    </row>
    <row r="3871" spans="1:17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6"/>
    </row>
    <row r="3872" spans="1:17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6"/>
    </row>
    <row r="3873" spans="1:17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6"/>
    </row>
    <row r="3874" spans="1:17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6"/>
    </row>
    <row r="3875" spans="1:17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6"/>
    </row>
    <row r="3876" spans="1:17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6"/>
    </row>
    <row r="3877" spans="1:17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6"/>
    </row>
    <row r="3878" spans="1:17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6"/>
    </row>
    <row r="3879" spans="1:17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6"/>
    </row>
    <row r="3880" spans="1:17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6"/>
    </row>
    <row r="3881" spans="1:17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6"/>
    </row>
    <row r="3882" spans="1:17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6"/>
    </row>
    <row r="3883" spans="1:17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6"/>
    </row>
    <row r="3884" spans="1:17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6"/>
    </row>
    <row r="3885" spans="1:17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6"/>
    </row>
    <row r="3886" spans="1:17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6"/>
    </row>
    <row r="3887" spans="1:17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6"/>
    </row>
    <row r="3888" spans="1:17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6"/>
    </row>
    <row r="3889" spans="1:17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6"/>
    </row>
    <row r="3890" spans="1:17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6"/>
    </row>
    <row r="3891" spans="1:17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6"/>
    </row>
    <row r="3892" spans="1:17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6"/>
    </row>
    <row r="3893" spans="1:17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6"/>
    </row>
    <row r="3894" spans="1:17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6"/>
    </row>
    <row r="3895" spans="1:17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6"/>
    </row>
    <row r="3896" spans="1:17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6"/>
    </row>
    <row r="3897" spans="1:17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6"/>
    </row>
    <row r="3898" spans="1:17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6"/>
    </row>
    <row r="3899" spans="1:17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6"/>
    </row>
    <row r="3900" spans="1:17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6"/>
    </row>
    <row r="3901" spans="1:17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6"/>
    </row>
    <row r="3902" spans="1:17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6"/>
    </row>
    <row r="3903" spans="1:17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6"/>
    </row>
    <row r="3904" spans="1:17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6"/>
    </row>
    <row r="3905" spans="1:17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6"/>
    </row>
    <row r="3906" spans="1:17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6"/>
    </row>
    <row r="3907" spans="1:17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6"/>
    </row>
    <row r="3908" spans="1:17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6"/>
    </row>
    <row r="3909" spans="1:17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6"/>
    </row>
    <row r="3910" spans="1:17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6"/>
    </row>
    <row r="3911" spans="1:17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6"/>
    </row>
    <row r="3912" spans="1:17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6"/>
    </row>
    <row r="3913" spans="1:17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6"/>
    </row>
    <row r="3914" spans="1:17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6"/>
    </row>
    <row r="3915" spans="1:17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6"/>
    </row>
    <row r="3916" spans="1:17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6"/>
    </row>
    <row r="3917" spans="1:17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6"/>
    </row>
    <row r="3918" spans="1:17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6"/>
    </row>
    <row r="3919" spans="1:17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6"/>
    </row>
    <row r="3920" spans="1:17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6"/>
    </row>
    <row r="3921" spans="1:17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6"/>
    </row>
    <row r="3922" spans="1:17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6"/>
    </row>
    <row r="3923" spans="1:17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6"/>
    </row>
    <row r="3924" spans="1:17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6"/>
    </row>
    <row r="3925" spans="1:17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6"/>
    </row>
    <row r="3926" spans="1:17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6"/>
    </row>
    <row r="3927" spans="1:17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6"/>
    </row>
    <row r="3928" spans="1:17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6"/>
    </row>
    <row r="3929" spans="1:17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6"/>
    </row>
    <row r="3930" spans="1:17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6"/>
    </row>
    <row r="3931" spans="1:17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6"/>
    </row>
    <row r="3932" spans="1:17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6"/>
    </row>
    <row r="3933" spans="1:17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6"/>
    </row>
    <row r="3934" spans="1:17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6"/>
    </row>
    <row r="3935" spans="1:17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6"/>
    </row>
    <row r="3936" spans="1:17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6"/>
    </row>
    <row r="3937" spans="1:17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6"/>
    </row>
    <row r="3938" spans="1:17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6"/>
    </row>
    <row r="3939" spans="1:17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6"/>
    </row>
    <row r="3940" spans="1:17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6"/>
    </row>
    <row r="3941" spans="1:17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6"/>
    </row>
    <row r="3942" spans="1:17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6"/>
    </row>
    <row r="3943" spans="1:17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6"/>
    </row>
    <row r="3944" spans="1:17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6"/>
    </row>
    <row r="3945" spans="1:17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6"/>
    </row>
    <row r="3946" spans="1:17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6"/>
    </row>
    <row r="3947" spans="1:17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6"/>
    </row>
    <row r="3948" spans="1:17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6"/>
    </row>
    <row r="3949" spans="1:17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6"/>
    </row>
    <row r="3950" spans="1:17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6"/>
    </row>
    <row r="3951" spans="1:17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6"/>
    </row>
    <row r="3952" spans="1:17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6"/>
    </row>
    <row r="3953" spans="1:17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6"/>
    </row>
    <row r="3954" spans="1:17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6"/>
    </row>
    <row r="3955" spans="1:17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6"/>
    </row>
    <row r="3956" spans="1:17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6"/>
    </row>
    <row r="3957" spans="1:17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6"/>
    </row>
    <row r="3958" spans="1:17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6"/>
    </row>
    <row r="3959" spans="1:17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6"/>
    </row>
    <row r="3960" spans="1:17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6"/>
    </row>
    <row r="3961" spans="1:17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6"/>
    </row>
    <row r="3962" spans="1:17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6"/>
    </row>
    <row r="3963" spans="1:17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6"/>
    </row>
    <row r="3964" spans="1:17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6"/>
    </row>
    <row r="3965" spans="1:17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6"/>
    </row>
    <row r="3966" spans="1:17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6"/>
    </row>
    <row r="3967" spans="1:17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6"/>
    </row>
    <row r="3968" spans="1:17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6"/>
    </row>
    <row r="3969" spans="1:17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6"/>
    </row>
    <row r="3970" spans="1:17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6"/>
    </row>
    <row r="3971" spans="1:17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6"/>
    </row>
    <row r="3972" spans="1:17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6"/>
    </row>
    <row r="3973" spans="1:17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6"/>
    </row>
    <row r="3974" spans="1:17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6"/>
    </row>
    <row r="3975" spans="1:17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6"/>
    </row>
    <row r="3976" spans="1:17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6"/>
    </row>
    <row r="3977" spans="1:17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6"/>
    </row>
    <row r="3978" spans="1:17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6"/>
    </row>
    <row r="3979" spans="1:17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6"/>
    </row>
    <row r="3980" spans="1:17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6"/>
    </row>
    <row r="3981" spans="1:17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6"/>
    </row>
    <row r="3982" spans="1:17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6"/>
    </row>
    <row r="3983" spans="1:17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6"/>
    </row>
    <row r="3984" spans="1:17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6"/>
    </row>
    <row r="3985" spans="1:17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6"/>
    </row>
    <row r="3986" spans="1:17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6"/>
    </row>
    <row r="3987" spans="1:17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6"/>
    </row>
    <row r="3988" spans="1:17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6"/>
    </row>
    <row r="3989" spans="1:17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6"/>
    </row>
    <row r="3990" spans="1:17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6"/>
    </row>
    <row r="3991" spans="1:17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6"/>
    </row>
    <row r="3992" spans="1:17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6"/>
    </row>
    <row r="3993" spans="1:17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6"/>
    </row>
    <row r="3994" spans="1:17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6"/>
    </row>
    <row r="3995" spans="1:17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6"/>
    </row>
    <row r="3996" spans="1:17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6"/>
    </row>
    <row r="3997" spans="1:17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6"/>
    </row>
    <row r="3998" spans="1:17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6"/>
    </row>
    <row r="3999" spans="1:17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6"/>
    </row>
    <row r="4000" spans="1:17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6"/>
    </row>
    <row r="4001" spans="1:17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6"/>
    </row>
    <row r="4002" spans="1:17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6"/>
    </row>
    <row r="4003" spans="1:17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6"/>
    </row>
    <row r="4004" spans="1:17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6"/>
    </row>
    <row r="4005" spans="1:17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6"/>
    </row>
    <row r="4006" spans="1:17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6"/>
    </row>
    <row r="4007" spans="1:17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6"/>
    </row>
    <row r="4008" spans="1:17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6"/>
    </row>
    <row r="4009" spans="1:17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6"/>
    </row>
    <row r="4010" spans="1:17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6"/>
    </row>
    <row r="4011" spans="1:17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6"/>
    </row>
    <row r="4012" spans="1:17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6"/>
    </row>
    <row r="4013" spans="1:17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6"/>
    </row>
    <row r="4014" spans="1:17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6"/>
    </row>
    <row r="4015" spans="1:17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6"/>
    </row>
    <row r="4016" spans="1:17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6"/>
    </row>
    <row r="4017" spans="1:17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6"/>
    </row>
    <row r="4018" spans="1:17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6"/>
    </row>
    <row r="4019" spans="1:17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6"/>
    </row>
    <row r="4020" spans="1:17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6"/>
    </row>
    <row r="4021" spans="1:17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6"/>
    </row>
    <row r="4022" spans="1:17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6"/>
    </row>
    <row r="4023" spans="1:17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6"/>
    </row>
    <row r="4024" spans="1:17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6"/>
    </row>
    <row r="4025" spans="1:17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6"/>
    </row>
    <row r="4026" spans="1:17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6"/>
    </row>
    <row r="4027" spans="1:17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6"/>
    </row>
    <row r="4028" spans="1:17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6"/>
    </row>
    <row r="4029" spans="1:17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6"/>
    </row>
    <row r="4030" spans="1:17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6"/>
    </row>
    <row r="4031" spans="1:17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6"/>
    </row>
    <row r="4032" spans="1:17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6"/>
    </row>
    <row r="4033" spans="1:17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6"/>
    </row>
    <row r="4034" spans="1:17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6"/>
    </row>
    <row r="4035" spans="1:17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6"/>
    </row>
    <row r="4036" spans="1:17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6"/>
    </row>
    <row r="4037" spans="1:17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6"/>
    </row>
    <row r="4038" spans="1:17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6"/>
    </row>
    <row r="4039" spans="1:17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6"/>
    </row>
    <row r="4040" spans="1:17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6"/>
    </row>
    <row r="4041" spans="1:17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6"/>
    </row>
    <row r="4042" spans="1:17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6"/>
    </row>
    <row r="4043" spans="1:17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6"/>
    </row>
    <row r="4044" spans="1:17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6"/>
    </row>
    <row r="4045" spans="1:17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6"/>
    </row>
    <row r="4046" spans="1:17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6"/>
    </row>
    <row r="4047" spans="1:17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6"/>
    </row>
    <row r="4048" spans="1:17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6"/>
    </row>
    <row r="4049" spans="1:17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6"/>
    </row>
    <row r="4050" spans="1:17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6"/>
    </row>
    <row r="4051" spans="1:17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6"/>
    </row>
    <row r="4052" spans="1:17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6"/>
    </row>
    <row r="4053" spans="1:17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6"/>
    </row>
    <row r="4054" spans="1:17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6"/>
    </row>
    <row r="4055" spans="1:17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6"/>
    </row>
    <row r="4056" spans="1:17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6"/>
    </row>
    <row r="4057" spans="1:17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6"/>
    </row>
    <row r="4058" spans="1:17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6"/>
    </row>
    <row r="4059" spans="1:17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6"/>
    </row>
    <row r="4060" spans="1:17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6"/>
    </row>
    <row r="4061" spans="1:17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6"/>
    </row>
    <row r="4062" spans="1:17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6"/>
    </row>
    <row r="4063" spans="1:17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6"/>
    </row>
    <row r="4064" spans="1:17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6"/>
    </row>
    <row r="4065" spans="1:17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6"/>
    </row>
    <row r="4066" spans="1:17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6"/>
    </row>
    <row r="4067" spans="1:17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6"/>
    </row>
    <row r="4068" spans="1:17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6"/>
    </row>
    <row r="4069" spans="1:17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6"/>
    </row>
    <row r="4070" spans="1:17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6"/>
    </row>
    <row r="4071" spans="1:17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6"/>
    </row>
    <row r="4072" spans="1:17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6"/>
    </row>
    <row r="4073" spans="1:17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6"/>
    </row>
    <row r="4074" spans="1:17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6"/>
    </row>
    <row r="4075" spans="1:17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6"/>
    </row>
    <row r="4076" spans="1:17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6"/>
    </row>
    <row r="4077" spans="1:17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6"/>
    </row>
    <row r="4078" spans="1:17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6"/>
    </row>
    <row r="4079" spans="1:17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6"/>
    </row>
    <row r="4080" spans="1:17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6"/>
    </row>
    <row r="4081" spans="1:17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6"/>
    </row>
    <row r="4082" spans="1:17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6"/>
    </row>
    <row r="4083" spans="1:17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6"/>
    </row>
    <row r="4084" spans="1:17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6"/>
    </row>
    <row r="4085" spans="1:17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6"/>
    </row>
    <row r="4086" spans="1:17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6"/>
    </row>
    <row r="4087" spans="1:17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6"/>
    </row>
    <row r="4088" spans="1:17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6"/>
    </row>
    <row r="4089" spans="1:17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6"/>
    </row>
    <row r="4090" spans="1:17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6"/>
    </row>
    <row r="4091" spans="1:17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6"/>
    </row>
    <row r="4092" spans="1:17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6"/>
    </row>
    <row r="4093" spans="1:17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6"/>
    </row>
    <row r="4094" spans="1:17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6"/>
    </row>
    <row r="4095" spans="1:17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6"/>
    </row>
    <row r="4096" spans="1:17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6"/>
    </row>
    <row r="4097" spans="1:17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6"/>
    </row>
  </sheetData>
  <phoneticPr fontId="6" type="noConversion"/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tabColor rgb="FF00FF00"/>
    <pageSetUpPr fitToPage="1"/>
  </sheetPr>
  <dimension ref="A1:Y675"/>
  <sheetViews>
    <sheetView showGridLines="0" view="pageBreakPreview" zoomScaleNormal="70" zoomScaleSheetLayoutView="100" workbookViewId="0">
      <selection activeCell="C5" sqref="C5"/>
    </sheetView>
  </sheetViews>
  <sheetFormatPr defaultColWidth="11" defaultRowHeight="15.75" x14ac:dyDescent="0.25"/>
  <cols>
    <col min="1" max="1" width="4.85546875" style="107" customWidth="1"/>
    <col min="2" max="2" width="37.5703125" style="107" customWidth="1"/>
    <col min="3" max="3" width="16.5703125" style="107" customWidth="1"/>
    <col min="4" max="4" width="15.140625" style="107" bestFit="1" customWidth="1"/>
    <col min="5" max="5" width="15.42578125" style="107" bestFit="1" customWidth="1"/>
    <col min="6" max="6" width="13.42578125" style="107" customWidth="1"/>
    <col min="7" max="7" width="16.5703125" style="107" customWidth="1"/>
    <col min="8" max="8" width="15.42578125" style="107" bestFit="1" customWidth="1"/>
    <col min="9" max="9" width="3.5703125" style="107" customWidth="1"/>
    <col min="10" max="10" width="15.42578125" style="107" customWidth="1"/>
    <col min="11" max="11" width="18.42578125" style="107" customWidth="1"/>
    <col min="12" max="12" width="3.5703125" style="107" customWidth="1"/>
    <col min="13" max="13" width="15.42578125" style="107" bestFit="1" customWidth="1"/>
    <col min="14" max="14" width="3.5703125" style="107" customWidth="1"/>
    <col min="15" max="15" width="11" style="107"/>
    <col min="16" max="16" width="19" style="107" bestFit="1" customWidth="1"/>
    <col min="17" max="17" width="14.42578125" style="107" customWidth="1"/>
    <col min="18" max="18" width="16.140625" style="107" bestFit="1" customWidth="1"/>
    <col min="19" max="19" width="17" style="107" bestFit="1" customWidth="1"/>
    <col min="20" max="25" width="14.5703125" style="107" bestFit="1" customWidth="1"/>
    <col min="26" max="16384" width="11" style="107"/>
  </cols>
  <sheetData>
    <row r="1" spans="1:25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25" x14ac:dyDescent="0.2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S2" s="411"/>
      <c r="T2" s="411"/>
    </row>
    <row r="3" spans="1:25" x14ac:dyDescent="0.25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577" t="s">
        <v>612</v>
      </c>
    </row>
    <row r="4" spans="1:25" x14ac:dyDescent="0.25">
      <c r="A4" s="149"/>
      <c r="B4" s="149"/>
      <c r="C4" s="149"/>
      <c r="D4" s="149"/>
      <c r="E4" s="149"/>
      <c r="F4" s="149"/>
      <c r="G4" s="109" t="s">
        <v>93</v>
      </c>
      <c r="H4" s="149"/>
      <c r="I4" s="149"/>
      <c r="J4" s="149"/>
      <c r="K4" s="149"/>
      <c r="L4" s="149"/>
      <c r="M4" s="149"/>
      <c r="N4" s="149"/>
      <c r="O4" s="149"/>
      <c r="P4" s="149"/>
      <c r="T4" s="111"/>
      <c r="U4" s="111"/>
      <c r="V4" s="111"/>
      <c r="W4" s="111"/>
      <c r="X4" s="111"/>
      <c r="Y4" s="111"/>
    </row>
    <row r="5" spans="1:25" x14ac:dyDescent="0.25">
      <c r="A5" s="149"/>
      <c r="B5" s="149"/>
      <c r="C5" s="149"/>
      <c r="D5" s="149"/>
      <c r="E5" s="149"/>
      <c r="F5" s="149"/>
      <c r="G5" s="578" t="s">
        <v>481</v>
      </c>
      <c r="H5" s="149"/>
      <c r="I5" s="149"/>
      <c r="J5" s="149"/>
      <c r="K5" s="149"/>
      <c r="L5" s="149"/>
      <c r="M5" s="149"/>
      <c r="N5" s="149"/>
      <c r="O5" s="149"/>
      <c r="P5" s="577"/>
      <c r="T5" s="412"/>
      <c r="U5" s="412"/>
      <c r="V5" s="412"/>
      <c r="W5" s="412"/>
      <c r="X5" s="412"/>
      <c r="Y5" s="412"/>
    </row>
    <row r="6" spans="1:25" x14ac:dyDescent="0.25">
      <c r="A6" s="149"/>
      <c r="B6" s="149"/>
      <c r="C6" s="149"/>
      <c r="D6" s="149"/>
      <c r="E6" s="149"/>
      <c r="F6" s="149"/>
      <c r="G6" s="578" t="str">
        <f>'Test Year Revenue Present'!G6</f>
        <v>TEST YEAR ENDING MAY, 31 2017</v>
      </c>
      <c r="H6" s="149"/>
      <c r="I6" s="149"/>
      <c r="J6" s="149"/>
      <c r="K6" s="149"/>
      <c r="L6" s="149"/>
      <c r="M6" s="149"/>
      <c r="N6" s="149"/>
      <c r="O6" s="149"/>
      <c r="P6" s="149"/>
      <c r="T6" s="412"/>
      <c r="U6" s="412"/>
      <c r="V6" s="412"/>
      <c r="W6" s="412"/>
      <c r="X6" s="412"/>
      <c r="Y6" s="412"/>
    </row>
    <row r="7" spans="1:25" x14ac:dyDescent="0.25">
      <c r="A7" s="149"/>
      <c r="B7" s="149"/>
      <c r="C7" s="149"/>
      <c r="D7" s="149"/>
      <c r="E7" s="578"/>
      <c r="F7" s="578"/>
      <c r="G7" s="149"/>
      <c r="H7" s="149"/>
      <c r="I7" s="149"/>
      <c r="J7" s="149"/>
      <c r="K7" s="149"/>
      <c r="L7" s="149"/>
      <c r="M7" s="149"/>
      <c r="N7" s="149"/>
      <c r="O7" s="149"/>
      <c r="P7" s="149"/>
      <c r="T7" s="116"/>
      <c r="U7" s="116"/>
      <c r="V7" s="116"/>
      <c r="W7" s="116"/>
      <c r="X7" s="116"/>
      <c r="Y7" s="116"/>
    </row>
    <row r="8" spans="1:25" x14ac:dyDescent="0.25">
      <c r="A8" s="149"/>
      <c r="B8" s="149"/>
      <c r="C8" s="149"/>
      <c r="D8" s="149"/>
      <c r="E8" s="149"/>
      <c r="F8" s="149"/>
      <c r="G8" s="149"/>
      <c r="H8" s="149"/>
      <c r="I8" s="149"/>
      <c r="J8" s="715" t="s">
        <v>153</v>
      </c>
      <c r="K8" s="715"/>
      <c r="L8" s="149"/>
      <c r="M8" s="149"/>
      <c r="N8" s="149"/>
      <c r="O8" s="149"/>
      <c r="P8" s="149"/>
      <c r="T8" s="413"/>
      <c r="U8" s="413"/>
      <c r="V8" s="413"/>
      <c r="W8" s="413"/>
      <c r="X8" s="413"/>
      <c r="Y8" s="413"/>
    </row>
    <row r="9" spans="1:25" ht="16.5" thickBot="1" x14ac:dyDescent="0.3">
      <c r="A9" s="149"/>
      <c r="B9" s="149"/>
      <c r="C9" s="149"/>
      <c r="D9" s="579"/>
      <c r="E9" s="579"/>
      <c r="F9" s="580" t="str">
        <f>'Test Year Revenue Present'!F9</f>
        <v>Reference Period - Twelve Months Ending 08/31/2015</v>
      </c>
      <c r="G9" s="580"/>
      <c r="H9" s="579"/>
      <c r="I9" s="581"/>
      <c r="J9" s="716" t="s">
        <v>359</v>
      </c>
      <c r="K9" s="716"/>
      <c r="L9" s="581"/>
      <c r="M9" s="581"/>
      <c r="N9" s="581"/>
      <c r="O9" s="149"/>
      <c r="P9" s="149"/>
      <c r="T9" s="413"/>
      <c r="U9" s="413"/>
      <c r="V9" s="413"/>
      <c r="W9" s="413"/>
      <c r="X9" s="413"/>
      <c r="Y9" s="413"/>
    </row>
    <row r="10" spans="1:25" ht="16.5" thickTop="1" x14ac:dyDescent="0.25">
      <c r="A10" s="149"/>
      <c r="B10" s="149"/>
      <c r="C10" s="149"/>
      <c r="D10" s="149"/>
      <c r="E10" s="150"/>
      <c r="F10" s="150" t="s">
        <v>154</v>
      </c>
      <c r="G10" s="139" t="s">
        <v>159</v>
      </c>
      <c r="H10" s="150"/>
      <c r="I10" s="150"/>
      <c r="J10" s="150" t="s">
        <v>105</v>
      </c>
      <c r="K10" s="150" t="s">
        <v>155</v>
      </c>
      <c r="L10" s="150"/>
      <c r="M10" s="150" t="s">
        <v>19</v>
      </c>
      <c r="N10" s="150"/>
      <c r="O10" s="150"/>
      <c r="P10" s="149"/>
      <c r="T10" s="413"/>
      <c r="U10" s="413"/>
      <c r="V10" s="413"/>
      <c r="W10" s="413"/>
      <c r="X10" s="413"/>
      <c r="Y10" s="413"/>
    </row>
    <row r="11" spans="1:25" x14ac:dyDescent="0.25">
      <c r="A11" s="150" t="s">
        <v>12</v>
      </c>
      <c r="B11" s="149"/>
      <c r="C11" s="149"/>
      <c r="D11" s="150" t="s">
        <v>157</v>
      </c>
      <c r="E11" s="139" t="s">
        <v>106</v>
      </c>
      <c r="F11" s="150" t="s">
        <v>158</v>
      </c>
      <c r="G11" s="139" t="s">
        <v>106</v>
      </c>
      <c r="H11" s="139" t="s">
        <v>19</v>
      </c>
      <c r="I11" s="139"/>
      <c r="J11" s="139" t="s">
        <v>160</v>
      </c>
      <c r="K11" s="150" t="s">
        <v>161</v>
      </c>
      <c r="L11" s="150"/>
      <c r="M11" s="150" t="s">
        <v>162</v>
      </c>
      <c r="N11" s="139"/>
      <c r="O11" s="150" t="s">
        <v>182</v>
      </c>
      <c r="P11" s="150" t="s">
        <v>182</v>
      </c>
      <c r="Q11" s="111"/>
      <c r="T11" s="413"/>
      <c r="U11" s="413"/>
      <c r="V11" s="413"/>
      <c r="W11" s="413"/>
      <c r="X11" s="413"/>
      <c r="Y11" s="413"/>
    </row>
    <row r="12" spans="1:25" x14ac:dyDescent="0.25">
      <c r="A12" s="151" t="s">
        <v>17</v>
      </c>
      <c r="B12" s="151" t="s">
        <v>163</v>
      </c>
      <c r="C12" s="151" t="s">
        <v>164</v>
      </c>
      <c r="D12" s="151" t="s">
        <v>165</v>
      </c>
      <c r="E12" s="151" t="s">
        <v>166</v>
      </c>
      <c r="F12" s="151" t="s">
        <v>106</v>
      </c>
      <c r="G12" s="582" t="str">
        <f>'Test Year Revenue Present'!G12</f>
        <v>(NOAA 2005-2015)</v>
      </c>
      <c r="H12" s="151" t="s">
        <v>106</v>
      </c>
      <c r="I12" s="582"/>
      <c r="J12" s="151" t="s">
        <v>167</v>
      </c>
      <c r="K12" s="151" t="s">
        <v>168</v>
      </c>
      <c r="L12" s="151"/>
      <c r="M12" s="151" t="s">
        <v>106</v>
      </c>
      <c r="N12" s="582"/>
      <c r="O12" s="583" t="s">
        <v>66</v>
      </c>
      <c r="P12" s="151" t="s">
        <v>22</v>
      </c>
      <c r="T12" s="414"/>
      <c r="U12" s="414"/>
      <c r="V12" s="414"/>
      <c r="W12" s="414"/>
      <c r="X12" s="414"/>
      <c r="Y12" s="414"/>
    </row>
    <row r="13" spans="1:25" x14ac:dyDescent="0.25">
      <c r="A13" s="149"/>
      <c r="B13" s="150"/>
      <c r="C13" s="150"/>
      <c r="D13" s="150" t="s">
        <v>13</v>
      </c>
      <c r="E13" s="150" t="s">
        <v>14</v>
      </c>
      <c r="F13" s="150" t="s">
        <v>15</v>
      </c>
      <c r="G13" s="150" t="s">
        <v>16</v>
      </c>
      <c r="H13" s="150" t="s">
        <v>108</v>
      </c>
      <c r="I13" s="150"/>
      <c r="J13" s="150" t="s">
        <v>109</v>
      </c>
      <c r="K13" s="150" t="s">
        <v>110</v>
      </c>
      <c r="L13" s="150"/>
      <c r="M13" s="584" t="s">
        <v>112</v>
      </c>
      <c r="N13" s="149"/>
      <c r="O13" s="584" t="s">
        <v>113</v>
      </c>
      <c r="P13" s="584" t="s">
        <v>114</v>
      </c>
      <c r="Q13" s="116"/>
      <c r="S13" s="415"/>
      <c r="T13" s="412"/>
      <c r="U13" s="412"/>
      <c r="V13" s="412"/>
      <c r="W13" s="412"/>
      <c r="X13" s="412"/>
      <c r="Y13" s="412"/>
    </row>
    <row r="14" spans="1:25" x14ac:dyDescent="0.25">
      <c r="A14" s="150">
        <v>1</v>
      </c>
      <c r="B14" s="585" t="s">
        <v>169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16"/>
      <c r="R14" s="414"/>
      <c r="T14" s="412"/>
      <c r="U14" s="412"/>
      <c r="V14" s="412"/>
      <c r="W14" s="412"/>
      <c r="X14" s="412"/>
      <c r="Y14" s="412"/>
    </row>
    <row r="15" spans="1:25" x14ac:dyDescent="0.25">
      <c r="A15" s="150">
        <v>2</v>
      </c>
      <c r="B15" s="149" t="s">
        <v>526</v>
      </c>
      <c r="C15" s="150" t="s">
        <v>170</v>
      </c>
      <c r="D15" s="152">
        <f>'Test Year Revenue Present'!D15</f>
        <v>1865637</v>
      </c>
      <c r="E15" s="152"/>
      <c r="F15" s="152"/>
      <c r="G15" s="152"/>
      <c r="H15" s="152"/>
      <c r="I15" s="152"/>
      <c r="J15" s="152">
        <f>'Test Year Revenue Present'!J15</f>
        <v>8400</v>
      </c>
      <c r="K15" s="152"/>
      <c r="L15" s="152"/>
      <c r="M15" s="152"/>
      <c r="N15" s="152"/>
      <c r="O15" s="586">
        <f>'Rate Design'!G12</f>
        <v>18.25</v>
      </c>
      <c r="P15" s="155">
        <f>ROUND(+O15*(D15+F15+J15),0)</f>
        <v>34201175</v>
      </c>
      <c r="Q15" s="115">
        <f>D15+F15+J15</f>
        <v>1874037</v>
      </c>
      <c r="R15" s="117"/>
      <c r="T15" s="116"/>
      <c r="U15" s="116"/>
      <c r="V15" s="116"/>
      <c r="W15" s="116"/>
      <c r="X15" s="116"/>
      <c r="Y15" s="116"/>
    </row>
    <row r="16" spans="1:25" x14ac:dyDescent="0.25">
      <c r="A16" s="150">
        <v>3</v>
      </c>
      <c r="B16" s="149"/>
      <c r="C16" s="150" t="s">
        <v>170</v>
      </c>
      <c r="D16" s="152">
        <f>'Test Year Revenue Present'!D16</f>
        <v>228871</v>
      </c>
      <c r="E16" s="152"/>
      <c r="F16" s="152">
        <f>'Test Year Revenue Present'!F16</f>
        <v>-2</v>
      </c>
      <c r="G16" s="149"/>
      <c r="H16" s="149"/>
      <c r="I16" s="149"/>
      <c r="J16" s="199"/>
      <c r="K16" s="199"/>
      <c r="L16" s="149"/>
      <c r="M16" s="149"/>
      <c r="N16" s="149"/>
      <c r="O16" s="587">
        <f>'Rate Design'!G13</f>
        <v>45</v>
      </c>
      <c r="P16" s="156">
        <f>ROUND(+O16*(D16+F16+J16),0)</f>
        <v>10299105</v>
      </c>
      <c r="Q16" s="115">
        <f>D16+F16+J16</f>
        <v>228869</v>
      </c>
      <c r="R16" s="117"/>
      <c r="T16" s="413"/>
      <c r="U16" s="413"/>
      <c r="V16" s="413"/>
      <c r="W16" s="413"/>
      <c r="X16" s="413"/>
      <c r="Y16" s="413"/>
    </row>
    <row r="17" spans="1:25" x14ac:dyDescent="0.25">
      <c r="A17" s="150">
        <v>4</v>
      </c>
      <c r="B17" s="149"/>
      <c r="C17" s="150" t="s">
        <v>171</v>
      </c>
      <c r="D17" s="199"/>
      <c r="E17" s="152">
        <f>'Test Year Revenue Present'!E17</f>
        <v>16904415.608727276</v>
      </c>
      <c r="F17" s="152">
        <f>'Test Year Revenue Present'!F17</f>
        <v>2142.8409090909095</v>
      </c>
      <c r="G17" s="152">
        <f>'Test Year Revenue Present'!G17</f>
        <v>-1064446.6656917988</v>
      </c>
      <c r="H17" s="152">
        <f>SUM(E17:G17)</f>
        <v>15842111.783944568</v>
      </c>
      <c r="I17" s="152"/>
      <c r="J17" s="152">
        <f>'Test Year Revenue Present'!J17</f>
        <v>51504.841527856886</v>
      </c>
      <c r="K17" s="152">
        <f>'Test Year Revenue Present'!K17</f>
        <v>0</v>
      </c>
      <c r="L17" s="152"/>
      <c r="M17" s="152">
        <f>H17+J17+K17</f>
        <v>15893616.625472425</v>
      </c>
      <c r="N17" s="152"/>
      <c r="O17" s="588">
        <f>'Rate Design'!G19</f>
        <v>1.58</v>
      </c>
      <c r="P17" s="152">
        <f>ROUND((+M17)*O17,0)</f>
        <v>25111914</v>
      </c>
      <c r="Q17" s="115"/>
      <c r="R17" s="416"/>
      <c r="S17" s="417"/>
      <c r="T17" s="121"/>
      <c r="U17" s="123"/>
      <c r="V17" s="123"/>
      <c r="W17" s="123"/>
      <c r="X17" s="123"/>
      <c r="Y17" s="123"/>
    </row>
    <row r="18" spans="1:25" x14ac:dyDescent="0.25">
      <c r="A18" s="150">
        <v>5</v>
      </c>
      <c r="B18" s="199"/>
      <c r="C18" s="150" t="s">
        <v>172</v>
      </c>
      <c r="D18" s="199"/>
      <c r="E18" s="152">
        <f>'Test Year Revenue Present'!E18</f>
        <v>1298067.3522727273</v>
      </c>
      <c r="F18" s="152">
        <f>'Test Year Revenue Present'!F18</f>
        <v>-3224.9409090909094</v>
      </c>
      <c r="G18" s="152">
        <f>'Test Year Revenue Present'!G18</f>
        <v>-68733.334308201331</v>
      </c>
      <c r="H18" s="152">
        <f>SUM(E18:G18)</f>
        <v>1226109.0770554352</v>
      </c>
      <c r="I18" s="152"/>
      <c r="J18" s="152"/>
      <c r="K18" s="152">
        <f>'Test Year Revenue Present'!K18</f>
        <v>0</v>
      </c>
      <c r="L18" s="152"/>
      <c r="M18" s="152">
        <f>H18+J18+K18</f>
        <v>1226109.0770554352</v>
      </c>
      <c r="N18" s="152"/>
      <c r="O18" s="588">
        <f>'Rate Design'!G20</f>
        <v>1.01</v>
      </c>
      <c r="P18" s="152">
        <f>ROUND((+M18)*O18,0)</f>
        <v>1238370</v>
      </c>
      <c r="Q18" s="115"/>
      <c r="R18" s="416"/>
      <c r="T18" s="121"/>
    </row>
    <row r="19" spans="1:25" x14ac:dyDescent="0.25">
      <c r="A19" s="150">
        <v>6</v>
      </c>
      <c r="B19" s="589"/>
      <c r="C19" s="150" t="s">
        <v>173</v>
      </c>
      <c r="D19" s="199"/>
      <c r="E19" s="152">
        <f>'Test Year Revenue Present'!E19</f>
        <v>0</v>
      </c>
      <c r="F19" s="152">
        <f>'Test Year Revenue Present'!F19</f>
        <v>0</v>
      </c>
      <c r="G19" s="152">
        <f>'Test Year Revenue Present'!G19</f>
        <v>0</v>
      </c>
      <c r="H19" s="152">
        <f>SUM(E19:G19)</f>
        <v>0</v>
      </c>
      <c r="I19" s="152"/>
      <c r="J19" s="152"/>
      <c r="K19" s="152">
        <f>'Test Year Revenue Present'!K19</f>
        <v>0</v>
      </c>
      <c r="L19" s="152"/>
      <c r="M19" s="152">
        <f>H19+J19+K19</f>
        <v>0</v>
      </c>
      <c r="N19" s="152"/>
      <c r="O19" s="588">
        <f>'Rate Design'!G21</f>
        <v>0.7228</v>
      </c>
      <c r="P19" s="152">
        <f>ROUND((+M19)*O19,0)</f>
        <v>0</v>
      </c>
      <c r="Q19" s="115"/>
      <c r="R19" s="416"/>
    </row>
    <row r="20" spans="1:25" x14ac:dyDescent="0.25">
      <c r="A20" s="150">
        <v>7</v>
      </c>
      <c r="B20" s="149" t="s">
        <v>527</v>
      </c>
      <c r="C20" s="150" t="s">
        <v>170</v>
      </c>
      <c r="D20" s="152">
        <f>'Test Year Revenue Present'!D20</f>
        <v>125</v>
      </c>
      <c r="E20" s="152"/>
      <c r="F20" s="152">
        <f>'Test Year Revenue Present'!F20</f>
        <v>12</v>
      </c>
      <c r="G20" s="152"/>
      <c r="H20" s="152"/>
      <c r="I20" s="152"/>
      <c r="J20" s="152"/>
      <c r="K20" s="152"/>
      <c r="L20" s="152"/>
      <c r="M20" s="152"/>
      <c r="N20" s="152"/>
      <c r="O20" s="587">
        <f>'Rate Design'!G14</f>
        <v>375</v>
      </c>
      <c r="P20" s="156">
        <f>ROUND(+O20*(D20+F20+J20),0)</f>
        <v>51375</v>
      </c>
      <c r="Q20" s="115">
        <f>D20+F20+J20</f>
        <v>137</v>
      </c>
      <c r="R20" s="117"/>
    </row>
    <row r="21" spans="1:25" x14ac:dyDescent="0.25">
      <c r="A21" s="150">
        <v>8</v>
      </c>
      <c r="B21" s="590"/>
      <c r="C21" s="150" t="s">
        <v>174</v>
      </c>
      <c r="D21" s="152"/>
      <c r="E21" s="152">
        <f>'Test Year Revenue Present'!E21</f>
        <v>316552.01799999998</v>
      </c>
      <c r="F21" s="152">
        <f>'Test Year Revenue Present'!F21</f>
        <v>-11394</v>
      </c>
      <c r="G21" s="152"/>
      <c r="H21" s="152">
        <f>SUM(E21:G21)</f>
        <v>305158.01799999998</v>
      </c>
      <c r="I21" s="152"/>
      <c r="J21" s="152"/>
      <c r="K21" s="152"/>
      <c r="L21" s="152"/>
      <c r="M21" s="152">
        <f>H21+J21+K21</f>
        <v>305158.01799999998</v>
      </c>
      <c r="N21" s="152"/>
      <c r="O21" s="588">
        <f>'Rate Design'!G27</f>
        <v>0.89</v>
      </c>
      <c r="P21" s="152">
        <f>ROUND((+M21)*O21,0)</f>
        <v>271591</v>
      </c>
      <c r="Q21" s="115"/>
      <c r="R21" s="117"/>
    </row>
    <row r="22" spans="1:25" x14ac:dyDescent="0.25">
      <c r="A22" s="150">
        <v>9</v>
      </c>
      <c r="B22" s="149"/>
      <c r="C22" s="150" t="s">
        <v>173</v>
      </c>
      <c r="D22" s="152"/>
      <c r="E22" s="152">
        <f>'Test Year Revenue Present'!E22</f>
        <v>156226</v>
      </c>
      <c r="F22" s="152">
        <f>'Test Year Revenue Present'!F22</f>
        <v>-132606</v>
      </c>
      <c r="G22" s="152"/>
      <c r="H22" s="152">
        <f>SUM(E22:G22)</f>
        <v>23620</v>
      </c>
      <c r="I22" s="152"/>
      <c r="J22" s="152"/>
      <c r="K22" s="152"/>
      <c r="L22" s="152"/>
      <c r="M22" s="152">
        <f>H22+J22+K22</f>
        <v>23620</v>
      </c>
      <c r="N22" s="152"/>
      <c r="O22" s="588">
        <f>'Rate Design'!G28</f>
        <v>0.6</v>
      </c>
      <c r="P22" s="152">
        <f>ROUND((+M22)*O22,0)</f>
        <v>14172</v>
      </c>
      <c r="Q22" s="115"/>
      <c r="R22" s="117"/>
    </row>
    <row r="23" spans="1:25" x14ac:dyDescent="0.25">
      <c r="A23" s="150">
        <v>10</v>
      </c>
      <c r="B23" s="591"/>
      <c r="C23" s="592"/>
      <c r="D23" s="153"/>
      <c r="E23" s="153"/>
      <c r="F23" s="153"/>
      <c r="G23" s="591"/>
      <c r="H23" s="153"/>
      <c r="I23" s="153"/>
      <c r="J23" s="153"/>
      <c r="K23" s="153"/>
      <c r="L23" s="153"/>
      <c r="M23" s="153"/>
      <c r="N23" s="153"/>
      <c r="O23" s="593"/>
      <c r="P23" s="153"/>
      <c r="Q23" s="148"/>
      <c r="R23" s="418"/>
    </row>
    <row r="24" spans="1:25" x14ac:dyDescent="0.25">
      <c r="A24" s="150">
        <v>11</v>
      </c>
      <c r="B24" s="585" t="s">
        <v>70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2"/>
      <c r="Q24" s="115"/>
    </row>
    <row r="25" spans="1:25" x14ac:dyDescent="0.25">
      <c r="A25" s="150">
        <v>12</v>
      </c>
      <c r="B25" s="149" t="s">
        <v>531</v>
      </c>
      <c r="C25" s="150" t="s">
        <v>170</v>
      </c>
      <c r="D25" s="152">
        <f>'Test Year Revenue Present'!D25</f>
        <v>1451</v>
      </c>
      <c r="E25" s="149"/>
      <c r="F25" s="152">
        <f>'Test Year Revenue Present'!F25</f>
        <v>25</v>
      </c>
      <c r="G25" s="149"/>
      <c r="H25" s="152"/>
      <c r="I25" s="152"/>
      <c r="J25" s="152"/>
      <c r="K25" s="152"/>
      <c r="L25" s="152"/>
      <c r="M25" s="152"/>
      <c r="N25" s="152"/>
      <c r="O25" s="587">
        <f>'Rate Design'!G15</f>
        <v>375</v>
      </c>
      <c r="P25" s="152">
        <f>ROUND(+O25*(D25+F25),0)</f>
        <v>553500</v>
      </c>
      <c r="Q25" s="115">
        <f>D25+F25+J25</f>
        <v>1476</v>
      </c>
      <c r="R25" s="117"/>
    </row>
    <row r="26" spans="1:25" x14ac:dyDescent="0.25">
      <c r="A26" s="150">
        <v>13</v>
      </c>
      <c r="B26" s="149" t="s">
        <v>530</v>
      </c>
      <c r="C26" s="150" t="s">
        <v>170</v>
      </c>
      <c r="D26" s="152">
        <f>'Test Year Revenue Present'!D26</f>
        <v>833</v>
      </c>
      <c r="E26" s="149"/>
      <c r="F26" s="152">
        <f>'Test Year Revenue Present'!F26</f>
        <v>19</v>
      </c>
      <c r="G26" s="149"/>
      <c r="H26" s="152"/>
      <c r="I26" s="152"/>
      <c r="J26" s="152"/>
      <c r="K26" s="152"/>
      <c r="L26" s="152"/>
      <c r="M26" s="152"/>
      <c r="N26" s="152"/>
      <c r="O26" s="587">
        <f>'Rate Design'!G16</f>
        <v>375</v>
      </c>
      <c r="P26" s="152">
        <f>ROUND(+O26*(D26+F26),0)</f>
        <v>319500</v>
      </c>
      <c r="Q26" s="115">
        <f>D26+F26+J26</f>
        <v>852</v>
      </c>
      <c r="R26" s="117"/>
    </row>
    <row r="27" spans="1:25" x14ac:dyDescent="0.25">
      <c r="A27" s="150">
        <v>14</v>
      </c>
      <c r="B27" s="149" t="s">
        <v>532</v>
      </c>
      <c r="C27" s="150" t="s">
        <v>170</v>
      </c>
      <c r="D27" s="152">
        <f>'Test Year Revenue Present'!D27</f>
        <v>204</v>
      </c>
      <c r="E27" s="149"/>
      <c r="F27" s="152">
        <f>'Test Year Revenue Present'!F27</f>
        <v>-24</v>
      </c>
      <c r="G27" s="149"/>
      <c r="H27" s="149"/>
      <c r="I27" s="149"/>
      <c r="J27" s="149"/>
      <c r="K27" s="149"/>
      <c r="L27" s="149"/>
      <c r="M27" s="149"/>
      <c r="N27" s="149"/>
      <c r="O27" s="587">
        <f>'Rate Design'!F17</f>
        <v>350</v>
      </c>
      <c r="P27" s="152">
        <f>ROUND(+O27*(D27+F27),0)</f>
        <v>63000</v>
      </c>
      <c r="Q27" s="115">
        <f>D27+F27+J27</f>
        <v>180</v>
      </c>
    </row>
    <row r="28" spans="1:25" x14ac:dyDescent="0.25">
      <c r="A28" s="150">
        <v>15</v>
      </c>
      <c r="B28" s="149" t="s">
        <v>175</v>
      </c>
      <c r="C28" s="150" t="s">
        <v>170</v>
      </c>
      <c r="D28" s="152">
        <f>'Test Year Revenue Present'!D28</f>
        <v>2464</v>
      </c>
      <c r="E28" s="149"/>
      <c r="F28" s="152">
        <f>'Test Year Revenue Present'!F28</f>
        <v>20</v>
      </c>
      <c r="G28" s="149"/>
      <c r="H28" s="152"/>
      <c r="I28" s="152"/>
      <c r="J28" s="152"/>
      <c r="K28" s="152"/>
      <c r="L28" s="152"/>
      <c r="M28" s="152"/>
      <c r="N28" s="152"/>
      <c r="O28" s="587">
        <f>'Rate Design'!G33</f>
        <v>50</v>
      </c>
      <c r="P28" s="152">
        <f>ROUND(+O28*(D28+F28),0)</f>
        <v>124200</v>
      </c>
      <c r="Q28" s="115"/>
      <c r="R28" s="117"/>
      <c r="S28" s="414">
        <f>J15*O15+J17*O17</f>
        <v>234677.64961401388</v>
      </c>
    </row>
    <row r="29" spans="1:25" x14ac:dyDescent="0.25">
      <c r="A29" s="150">
        <v>16</v>
      </c>
      <c r="B29" s="149" t="s">
        <v>483</v>
      </c>
      <c r="C29" s="149"/>
      <c r="D29" s="149"/>
      <c r="E29" s="152">
        <f>'Test Year Revenue Present'!E29</f>
        <v>963990.99999999988</v>
      </c>
      <c r="F29" s="152">
        <f>'Test Year Revenue Present'!F29</f>
        <v>0</v>
      </c>
      <c r="G29" s="149"/>
      <c r="H29" s="149"/>
      <c r="I29" s="149"/>
      <c r="J29" s="149"/>
      <c r="K29" s="149"/>
      <c r="L29" s="149"/>
      <c r="M29" s="149"/>
      <c r="N29" s="149"/>
      <c r="O29" s="587">
        <f>'Rate Design'!G34</f>
        <v>0.1</v>
      </c>
      <c r="P29" s="152">
        <f>ROUND((+E29+G29+F29)*O29,0)</f>
        <v>96399</v>
      </c>
      <c r="Q29" s="115"/>
      <c r="R29" s="117"/>
    </row>
    <row r="30" spans="1:25" x14ac:dyDescent="0.25">
      <c r="A30" s="150">
        <v>17</v>
      </c>
      <c r="B30" s="149" t="s">
        <v>0</v>
      </c>
      <c r="C30" s="149"/>
      <c r="D30" s="149"/>
      <c r="E30" s="149"/>
      <c r="F30" s="193"/>
      <c r="G30" s="149"/>
      <c r="H30" s="149"/>
      <c r="I30" s="149"/>
      <c r="J30" s="149"/>
      <c r="K30" s="149"/>
      <c r="L30" s="149"/>
      <c r="M30" s="149"/>
      <c r="N30" s="149"/>
      <c r="O30" s="577" t="s">
        <v>61</v>
      </c>
      <c r="P30" s="199">
        <f>'Test Year Monthly - (Pres)'!P67+'Test Year Monthly - (Pres)'!P83+'Test Year Monthly - (Pres)'!P92</f>
        <v>122200</v>
      </c>
      <c r="Q30" s="115"/>
      <c r="R30" s="117"/>
    </row>
    <row r="31" spans="1:25" x14ac:dyDescent="0.25">
      <c r="A31" s="150">
        <v>18</v>
      </c>
      <c r="B31" s="149" t="s">
        <v>528</v>
      </c>
      <c r="C31" s="150" t="s">
        <v>171</v>
      </c>
      <c r="D31" s="152"/>
      <c r="E31" s="152">
        <f>'Test Year Revenue Present'!E31</f>
        <v>420823</v>
      </c>
      <c r="F31" s="152">
        <f>'Test Year Revenue Present'!F31</f>
        <v>7787</v>
      </c>
      <c r="G31" s="152"/>
      <c r="H31" s="152">
        <f t="shared" ref="H31:H38" si="0">SUM(E31:G31)</f>
        <v>428610</v>
      </c>
      <c r="I31" s="152"/>
      <c r="J31" s="152"/>
      <c r="K31" s="152"/>
      <c r="L31" s="152"/>
      <c r="M31" s="152">
        <f t="shared" ref="M31:M38" si="1">H31+J31+K31</f>
        <v>428610</v>
      </c>
      <c r="N31" s="152"/>
      <c r="O31" s="588">
        <f>'Rate Design'!G23</f>
        <v>1.58</v>
      </c>
      <c r="P31" s="152">
        <f t="shared" ref="P31:P37" si="2">ROUND((+M31)*O31,0)</f>
        <v>677204</v>
      </c>
      <c r="Q31" s="115"/>
      <c r="R31" s="117"/>
    </row>
    <row r="32" spans="1:25" x14ac:dyDescent="0.25">
      <c r="A32" s="150">
        <v>19</v>
      </c>
      <c r="B32" s="149"/>
      <c r="C32" s="150" t="s">
        <v>172</v>
      </c>
      <c r="D32" s="152"/>
      <c r="E32" s="152">
        <f>'Test Year Revenue Present'!E32</f>
        <v>5646929</v>
      </c>
      <c r="F32" s="152">
        <f>'Test Year Revenue Present'!F32</f>
        <v>154293.1</v>
      </c>
      <c r="G32" s="152"/>
      <c r="H32" s="152">
        <f t="shared" si="0"/>
        <v>5801222.0999999996</v>
      </c>
      <c r="I32" s="152"/>
      <c r="J32" s="152"/>
      <c r="K32" s="152"/>
      <c r="L32" s="152"/>
      <c r="M32" s="152">
        <f t="shared" si="1"/>
        <v>5801222.0999999996</v>
      </c>
      <c r="N32" s="152"/>
      <c r="O32" s="588">
        <f>'Rate Design'!G24</f>
        <v>1.01</v>
      </c>
      <c r="P32" s="152">
        <f t="shared" si="2"/>
        <v>5859234</v>
      </c>
      <c r="Q32" s="115"/>
      <c r="R32" s="117"/>
    </row>
    <row r="33" spans="1:18" x14ac:dyDescent="0.25">
      <c r="A33" s="150">
        <v>20</v>
      </c>
      <c r="B33" s="149"/>
      <c r="C33" s="150" t="s">
        <v>173</v>
      </c>
      <c r="D33" s="152"/>
      <c r="E33" s="152">
        <f>'Test Year Revenue Present'!E33</f>
        <v>1191778</v>
      </c>
      <c r="F33" s="152">
        <f>'Test Year Revenue Present'!F33</f>
        <v>-49741</v>
      </c>
      <c r="G33" s="152"/>
      <c r="H33" s="152">
        <f t="shared" si="0"/>
        <v>1142037</v>
      </c>
      <c r="I33" s="152"/>
      <c r="J33" s="152"/>
      <c r="K33" s="152"/>
      <c r="L33" s="152"/>
      <c r="M33" s="152">
        <f t="shared" si="1"/>
        <v>1142037</v>
      </c>
      <c r="N33" s="152"/>
      <c r="O33" s="588">
        <f>'Rate Design'!G25</f>
        <v>0.7228</v>
      </c>
      <c r="P33" s="152">
        <f t="shared" si="2"/>
        <v>825464</v>
      </c>
      <c r="Q33" s="115"/>
      <c r="R33" s="117"/>
    </row>
    <row r="34" spans="1:18" x14ac:dyDescent="0.25">
      <c r="A34" s="150">
        <v>21</v>
      </c>
      <c r="B34" s="149" t="s">
        <v>662</v>
      </c>
      <c r="C34" s="150" t="s">
        <v>172</v>
      </c>
      <c r="D34" s="152"/>
      <c r="E34" s="199">
        <f>'Bill Frequency'!P64</f>
        <v>0</v>
      </c>
      <c r="F34" s="199">
        <f>'Contract &amp; Vol Adj'!P64</f>
        <v>13254</v>
      </c>
      <c r="G34" s="152"/>
      <c r="H34" s="152">
        <f t="shared" si="0"/>
        <v>13254</v>
      </c>
      <c r="I34" s="152"/>
      <c r="J34" s="152"/>
      <c r="K34" s="152"/>
      <c r="L34" s="152"/>
      <c r="M34" s="152">
        <f t="shared" si="1"/>
        <v>13254</v>
      </c>
      <c r="N34" s="152"/>
      <c r="O34" s="588">
        <f>ROUND((O32*0.75),4)</f>
        <v>0.75749999999999995</v>
      </c>
      <c r="P34" s="152">
        <f t="shared" si="2"/>
        <v>10040</v>
      </c>
      <c r="Q34" s="115"/>
      <c r="R34" s="117"/>
    </row>
    <row r="35" spans="1:18" x14ac:dyDescent="0.25">
      <c r="A35" s="150">
        <v>22</v>
      </c>
      <c r="B35" s="149"/>
      <c r="C35" s="150" t="s">
        <v>173</v>
      </c>
      <c r="D35" s="152"/>
      <c r="E35" s="199">
        <f>'Bill Frequency'!P65</f>
        <v>92773</v>
      </c>
      <c r="F35" s="199">
        <f>'Contract &amp; Vol Adj'!P65</f>
        <v>97741</v>
      </c>
      <c r="G35" s="152"/>
      <c r="H35" s="152">
        <f t="shared" si="0"/>
        <v>190514</v>
      </c>
      <c r="I35" s="152"/>
      <c r="J35" s="152"/>
      <c r="K35" s="152"/>
      <c r="L35" s="152"/>
      <c r="M35" s="152">
        <f t="shared" si="1"/>
        <v>190514</v>
      </c>
      <c r="N35" s="152"/>
      <c r="O35" s="588">
        <f>ROUND((O33*0.75),4)</f>
        <v>0.54210000000000003</v>
      </c>
      <c r="P35" s="152">
        <f t="shared" si="2"/>
        <v>103278</v>
      </c>
      <c r="Q35" s="115"/>
      <c r="R35" s="117"/>
    </row>
    <row r="36" spans="1:18" x14ac:dyDescent="0.25">
      <c r="A36" s="150">
        <v>23</v>
      </c>
      <c r="B36" s="149" t="s">
        <v>529</v>
      </c>
      <c r="C36" s="150" t="s">
        <v>174</v>
      </c>
      <c r="D36" s="152"/>
      <c r="E36" s="152">
        <f>'Test Year Revenue Present'!E36</f>
        <v>5094467</v>
      </c>
      <c r="F36" s="152">
        <f>'Test Year Revenue Present'!F36</f>
        <v>287624</v>
      </c>
      <c r="G36" s="152"/>
      <c r="H36" s="152">
        <f t="shared" si="0"/>
        <v>5382091</v>
      </c>
      <c r="I36" s="152"/>
      <c r="J36" s="152"/>
      <c r="K36" s="152"/>
      <c r="L36" s="152"/>
      <c r="M36" s="152">
        <f t="shared" si="1"/>
        <v>5382091</v>
      </c>
      <c r="N36" s="152"/>
      <c r="O36" s="588">
        <f>'Rate Design'!G30</f>
        <v>0.89</v>
      </c>
      <c r="P36" s="152">
        <f t="shared" si="2"/>
        <v>4790061</v>
      </c>
      <c r="Q36" s="115"/>
      <c r="R36" s="117"/>
    </row>
    <row r="37" spans="1:18" x14ac:dyDescent="0.25">
      <c r="A37" s="150">
        <v>24</v>
      </c>
      <c r="B37" s="149"/>
      <c r="C37" s="150" t="s">
        <v>173</v>
      </c>
      <c r="D37" s="152"/>
      <c r="E37" s="152">
        <f>'Test Year Revenue Present'!E37</f>
        <v>2598494</v>
      </c>
      <c r="F37" s="152">
        <f>'Test Year Revenue Present'!F37</f>
        <v>64284</v>
      </c>
      <c r="G37" s="152"/>
      <c r="H37" s="152">
        <f t="shared" si="0"/>
        <v>2662778</v>
      </c>
      <c r="I37" s="152"/>
      <c r="J37" s="152"/>
      <c r="K37" s="152"/>
      <c r="L37" s="152"/>
      <c r="M37" s="152">
        <f t="shared" si="1"/>
        <v>2662778</v>
      </c>
      <c r="N37" s="152"/>
      <c r="O37" s="588">
        <f>'Rate Design'!G31</f>
        <v>0.6</v>
      </c>
      <c r="P37" s="152">
        <f t="shared" si="2"/>
        <v>1597667</v>
      </c>
      <c r="Q37" s="115"/>
      <c r="R37" s="117"/>
    </row>
    <row r="38" spans="1:18" x14ac:dyDescent="0.25">
      <c r="A38" s="150">
        <v>25</v>
      </c>
      <c r="B38" s="149" t="s">
        <v>484</v>
      </c>
      <c r="C38" s="149"/>
      <c r="D38" s="594"/>
      <c r="E38" s="528">
        <f>'Test Year Revenue Present'!E38</f>
        <v>15377684</v>
      </c>
      <c r="F38" s="528">
        <f>'Test Year Revenue Present'!F38</f>
        <v>-996628</v>
      </c>
      <c r="G38" s="581"/>
      <c r="H38" s="528">
        <f t="shared" si="0"/>
        <v>14381056</v>
      </c>
      <c r="I38" s="528"/>
      <c r="J38" s="528"/>
      <c r="K38" s="528"/>
      <c r="L38" s="528"/>
      <c r="M38" s="528">
        <f t="shared" si="1"/>
        <v>14381056</v>
      </c>
      <c r="N38" s="528"/>
      <c r="O38" s="595" t="s">
        <v>61</v>
      </c>
      <c r="P38" s="594">
        <f>'Test Year Monthly - (Pres)'!P95-P39</f>
        <v>1456879.5</v>
      </c>
      <c r="Q38" s="115"/>
      <c r="R38" s="117"/>
    </row>
    <row r="39" spans="1:18" x14ac:dyDescent="0.25">
      <c r="A39" s="150">
        <v>26</v>
      </c>
      <c r="B39" s="149" t="s">
        <v>664</v>
      </c>
      <c r="C39" s="149"/>
      <c r="D39" s="596"/>
      <c r="E39" s="198"/>
      <c r="F39" s="198"/>
      <c r="G39" s="597"/>
      <c r="H39" s="198"/>
      <c r="I39" s="528"/>
      <c r="J39" s="198"/>
      <c r="K39" s="198"/>
      <c r="L39" s="198"/>
      <c r="M39" s="198"/>
      <c r="N39" s="528"/>
      <c r="O39" s="577"/>
      <c r="P39" s="596">
        <f>'Test Year Revenue Present'!P39</f>
        <v>989645.95750000002</v>
      </c>
      <c r="Q39" s="115"/>
      <c r="R39" s="117"/>
    </row>
    <row r="40" spans="1:18" ht="16.5" thickBot="1" x14ac:dyDescent="0.3">
      <c r="A40" s="150">
        <v>27</v>
      </c>
      <c r="B40" s="149" t="s">
        <v>176</v>
      </c>
      <c r="C40" s="149"/>
      <c r="D40" s="598">
        <f>SUM(D15:D38)-D28</f>
        <v>2097121</v>
      </c>
      <c r="E40" s="598">
        <f>SUM((E17:E23),(E31:E38))</f>
        <v>49098208.979000002</v>
      </c>
      <c r="F40" s="598">
        <f>F17+F18+F19+F21+F22+F23+SUM(F31:F38)</f>
        <v>-566468</v>
      </c>
      <c r="G40" s="598">
        <f>SUM(G14:G38)</f>
        <v>-1133180</v>
      </c>
      <c r="H40" s="598">
        <f>SUM(H14:H38)</f>
        <v>47398560.979000002</v>
      </c>
      <c r="I40" s="599"/>
      <c r="J40" s="154">
        <f>SUM(J15:J38)</f>
        <v>59904.841527856886</v>
      </c>
      <c r="K40" s="154">
        <f>SUM(K17:K38)</f>
        <v>0</v>
      </c>
      <c r="L40" s="598"/>
      <c r="M40" s="598">
        <f>SUM(M14:M38)</f>
        <v>47450065.820527859</v>
      </c>
      <c r="N40" s="599"/>
      <c r="O40" s="149"/>
      <c r="P40" s="436">
        <f>SUM(P14:P39)</f>
        <v>88775974.457499996</v>
      </c>
      <c r="Q40" s="115">
        <f>SUM(Q15:Q39)</f>
        <v>2105551</v>
      </c>
      <c r="R40" s="121"/>
    </row>
    <row r="41" spans="1:18" ht="16.5" thickTop="1" x14ac:dyDescent="0.25">
      <c r="A41" s="150">
        <v>28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437"/>
      <c r="N41" s="149"/>
      <c r="O41" s="149"/>
      <c r="P41" s="149"/>
      <c r="Q41" s="116">
        <f>Q40/12</f>
        <v>175462.58333333334</v>
      </c>
      <c r="R41" s="121"/>
    </row>
    <row r="42" spans="1:18" x14ac:dyDescent="0.25">
      <c r="A42" s="150">
        <v>29</v>
      </c>
      <c r="B42" s="149" t="s">
        <v>303</v>
      </c>
      <c r="C42" s="149"/>
      <c r="D42" s="149"/>
      <c r="E42" s="600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599">
        <f>'Test Year Monthly - (Pres)'!P99</f>
        <v>795825</v>
      </c>
      <c r="Q42" s="115"/>
      <c r="R42" s="116"/>
    </row>
    <row r="43" spans="1:18" x14ac:dyDescent="0.25">
      <c r="A43" s="150">
        <v>30</v>
      </c>
      <c r="B43" s="149" t="s">
        <v>99</v>
      </c>
      <c r="C43" s="149"/>
      <c r="D43" s="149"/>
      <c r="E43" s="437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440">
        <f>'Test Year Monthly - (Prop)'!P100</f>
        <v>1162324.3649859296</v>
      </c>
    </row>
    <row r="44" spans="1:18" x14ac:dyDescent="0.25">
      <c r="A44" s="150">
        <v>31</v>
      </c>
      <c r="B44" s="149" t="s">
        <v>325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436">
        <f>P40+P42+P43</f>
        <v>90734123.822485924</v>
      </c>
      <c r="Q44" s="115"/>
      <c r="R44" s="117"/>
    </row>
    <row r="45" spans="1:18" x14ac:dyDescent="0.25">
      <c r="A45" s="150">
        <v>32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R45" s="121"/>
    </row>
    <row r="46" spans="1:18" x14ac:dyDescent="0.25">
      <c r="A46" s="150">
        <v>33</v>
      </c>
      <c r="B46" s="149" t="s">
        <v>229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601">
        <f>'Test Year Monthly - (Pres)'!P103</f>
        <v>79378176.690454647</v>
      </c>
      <c r="R46" s="419"/>
    </row>
    <row r="47" spans="1:18" x14ac:dyDescent="0.25">
      <c r="A47" s="150">
        <v>34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</row>
    <row r="48" spans="1:18" ht="16.5" thickBot="1" x14ac:dyDescent="0.3">
      <c r="A48" s="150">
        <v>35</v>
      </c>
      <c r="B48" s="149" t="s">
        <v>96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602">
        <f>P40+P42+P46+P43</f>
        <v>170112300.51294059</v>
      </c>
      <c r="R48" s="121"/>
    </row>
    <row r="49" spans="1:24" ht="16.5" thickTop="1" x14ac:dyDescent="0.25">
      <c r="A49" s="150">
        <v>36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R49" s="220"/>
    </row>
    <row r="50" spans="1:24" x14ac:dyDescent="0.25">
      <c r="A50" s="150">
        <v>37</v>
      </c>
      <c r="B50" s="603" t="s">
        <v>482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437"/>
      <c r="R50" s="121"/>
      <c r="T50" s="420"/>
    </row>
    <row r="51" spans="1:24" x14ac:dyDescent="0.25">
      <c r="A51" s="150">
        <v>38</v>
      </c>
      <c r="B51" s="603" t="s">
        <v>547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437"/>
      <c r="N51" s="149"/>
      <c r="O51" s="149"/>
      <c r="P51" s="149"/>
      <c r="T51" s="117"/>
    </row>
    <row r="52" spans="1:24" x14ac:dyDescent="0.25">
      <c r="A52" s="111"/>
    </row>
    <row r="53" spans="1:24" x14ac:dyDescent="0.25">
      <c r="A53" s="111"/>
    </row>
    <row r="54" spans="1:24" x14ac:dyDescent="0.25">
      <c r="A54" s="111"/>
      <c r="P54" s="121"/>
    </row>
    <row r="55" spans="1:24" x14ac:dyDescent="0.25">
      <c r="A55" s="111"/>
    </row>
    <row r="56" spans="1:24" x14ac:dyDescent="0.25">
      <c r="A56" s="111"/>
      <c r="P56" s="123"/>
    </row>
    <row r="57" spans="1:24" x14ac:dyDescent="0.25">
      <c r="A57" s="111"/>
    </row>
    <row r="58" spans="1:24" x14ac:dyDescent="0.25">
      <c r="A58" s="111"/>
    </row>
    <row r="59" spans="1:24" x14ac:dyDescent="0.25">
      <c r="A59" s="111"/>
    </row>
    <row r="60" spans="1:24" x14ac:dyDescent="0.25">
      <c r="A60" s="111"/>
    </row>
    <row r="61" spans="1:24" x14ac:dyDescent="0.25">
      <c r="A61" s="111"/>
    </row>
    <row r="64" spans="1:24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</row>
    <row r="65" spans="1:24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</row>
    <row r="66" spans="1:24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</row>
    <row r="67" spans="1:24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</row>
    <row r="68" spans="1:24" x14ac:dyDescent="0.25">
      <c r="A68" s="110"/>
      <c r="B68" s="110"/>
      <c r="C68" s="110"/>
      <c r="D68" s="110"/>
      <c r="E68" s="421"/>
      <c r="F68" s="421"/>
      <c r="G68" s="110"/>
      <c r="H68" s="110"/>
      <c r="I68" s="110"/>
      <c r="J68" s="110"/>
      <c r="K68" s="110"/>
      <c r="L68" s="110"/>
      <c r="M68" s="110"/>
      <c r="N68" s="110"/>
      <c r="O68" s="110"/>
      <c r="P68" s="422"/>
      <c r="Q68" s="110"/>
      <c r="R68" s="110"/>
      <c r="S68" s="110"/>
      <c r="T68" s="110"/>
      <c r="U68" s="110"/>
      <c r="V68" s="110"/>
      <c r="W68" s="110"/>
      <c r="X68" s="110"/>
    </row>
    <row r="69" spans="1:24" x14ac:dyDescent="0.25">
      <c r="A69" s="110"/>
      <c r="B69" s="110"/>
      <c r="C69" s="110"/>
      <c r="D69" s="110"/>
      <c r="E69" s="421"/>
      <c r="F69" s="421"/>
      <c r="G69" s="110"/>
      <c r="H69" s="110"/>
      <c r="I69" s="110"/>
      <c r="J69" s="110"/>
      <c r="K69" s="110"/>
      <c r="L69" s="110"/>
      <c r="M69" s="110"/>
      <c r="N69" s="110"/>
      <c r="O69" s="110"/>
      <c r="P69" s="422"/>
      <c r="Q69" s="110"/>
      <c r="R69" s="110"/>
      <c r="S69" s="110"/>
      <c r="T69" s="110"/>
      <c r="U69" s="110"/>
      <c r="V69" s="110"/>
      <c r="W69" s="110"/>
      <c r="X69" s="110"/>
    </row>
    <row r="70" spans="1:24" x14ac:dyDescent="0.25">
      <c r="A70" s="110"/>
      <c r="B70" s="110"/>
      <c r="C70" s="110"/>
      <c r="D70" s="110"/>
      <c r="E70" s="421"/>
      <c r="F70" s="421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</row>
    <row r="71" spans="1:24" x14ac:dyDescent="0.2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</row>
    <row r="72" spans="1:24" x14ac:dyDescent="0.2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221"/>
      <c r="P72" s="110"/>
      <c r="Q72" s="110"/>
      <c r="R72" s="110"/>
      <c r="S72" s="110"/>
      <c r="T72" s="110"/>
      <c r="U72" s="110"/>
      <c r="V72" s="110"/>
      <c r="W72" s="110"/>
      <c r="X72" s="110"/>
    </row>
    <row r="73" spans="1:24" x14ac:dyDescent="0.25">
      <c r="A73" s="221"/>
      <c r="B73" s="110"/>
      <c r="C73" s="110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110"/>
      <c r="R73" s="110"/>
      <c r="S73" s="110"/>
      <c r="T73" s="110"/>
      <c r="U73" s="110"/>
      <c r="V73" s="110"/>
      <c r="W73" s="110"/>
      <c r="X73" s="110"/>
    </row>
    <row r="74" spans="1:24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110"/>
      <c r="R74" s="110"/>
      <c r="S74" s="110"/>
      <c r="T74" s="110"/>
      <c r="U74" s="110"/>
      <c r="V74" s="110"/>
      <c r="W74" s="110"/>
      <c r="X74" s="110"/>
    </row>
    <row r="75" spans="1:24" x14ac:dyDescent="0.25">
      <c r="A75" s="110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110"/>
      <c r="R75" s="110"/>
      <c r="S75" s="110"/>
      <c r="T75" s="110"/>
      <c r="U75" s="110"/>
      <c r="V75" s="110"/>
      <c r="W75" s="110"/>
      <c r="X75" s="110"/>
    </row>
    <row r="76" spans="1:24" x14ac:dyDescent="0.25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</row>
    <row r="77" spans="1:24" x14ac:dyDescent="0.25">
      <c r="A77" s="110"/>
      <c r="B77" s="423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9"/>
      <c r="R77" s="110"/>
      <c r="S77" s="110"/>
      <c r="T77" s="110"/>
      <c r="U77" s="110"/>
      <c r="V77" s="110"/>
      <c r="W77" s="110"/>
      <c r="X77" s="110"/>
    </row>
    <row r="78" spans="1:24" x14ac:dyDescent="0.25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9"/>
      <c r="R78" s="110"/>
      <c r="S78" s="110"/>
      <c r="T78" s="110"/>
      <c r="U78" s="110"/>
      <c r="V78" s="110"/>
      <c r="W78" s="110"/>
      <c r="X78" s="110"/>
    </row>
    <row r="79" spans="1:24" x14ac:dyDescent="0.25">
      <c r="A79" s="110"/>
      <c r="B79" s="110"/>
      <c r="C79" s="221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424"/>
      <c r="P79" s="425"/>
      <c r="Q79" s="119"/>
      <c r="R79" s="110"/>
      <c r="S79" s="110"/>
      <c r="T79" s="110"/>
      <c r="U79" s="110"/>
      <c r="V79" s="110"/>
      <c r="W79" s="110"/>
      <c r="X79" s="110"/>
    </row>
    <row r="80" spans="1:24" x14ac:dyDescent="0.25">
      <c r="A80" s="110"/>
      <c r="B80" s="110"/>
      <c r="C80" s="221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9"/>
      <c r="Q80" s="119"/>
      <c r="R80" s="110"/>
      <c r="S80" s="110"/>
      <c r="T80" s="110"/>
      <c r="U80" s="110"/>
      <c r="V80" s="110"/>
      <c r="W80" s="110"/>
      <c r="X80" s="110"/>
    </row>
    <row r="81" spans="1:24" x14ac:dyDescent="0.25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</row>
    <row r="82" spans="1:24" x14ac:dyDescent="0.2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</row>
    <row r="83" spans="1:24" x14ac:dyDescent="0.25">
      <c r="A83" s="110"/>
      <c r="B83" s="110"/>
      <c r="C83" s="221"/>
      <c r="D83" s="110"/>
      <c r="E83" s="110"/>
      <c r="F83" s="110"/>
      <c r="G83" s="110"/>
      <c r="H83" s="119"/>
      <c r="I83" s="119"/>
      <c r="J83" s="119"/>
      <c r="K83" s="119"/>
      <c r="L83" s="119"/>
      <c r="M83" s="119"/>
      <c r="N83" s="119"/>
      <c r="O83" s="426"/>
      <c r="P83" s="119"/>
      <c r="Q83" s="119"/>
      <c r="R83" s="110"/>
      <c r="S83" s="110"/>
      <c r="T83" s="110"/>
      <c r="U83" s="110"/>
      <c r="V83" s="110"/>
      <c r="W83" s="110"/>
      <c r="X83" s="110"/>
    </row>
    <row r="84" spans="1:24" x14ac:dyDescent="0.25">
      <c r="A84" s="110"/>
      <c r="B84" s="110"/>
      <c r="C84" s="221"/>
      <c r="D84" s="110"/>
      <c r="E84" s="110"/>
      <c r="F84" s="110"/>
      <c r="G84" s="110"/>
      <c r="H84" s="119"/>
      <c r="I84" s="119"/>
      <c r="J84" s="119"/>
      <c r="K84" s="119"/>
      <c r="L84" s="119"/>
      <c r="M84" s="119"/>
      <c r="N84" s="119"/>
      <c r="O84" s="426"/>
      <c r="P84" s="119"/>
      <c r="Q84" s="119"/>
      <c r="R84" s="110"/>
      <c r="S84" s="110"/>
      <c r="T84" s="110"/>
      <c r="U84" s="110"/>
      <c r="V84" s="110"/>
      <c r="W84" s="110"/>
      <c r="X84" s="110"/>
    </row>
    <row r="85" spans="1:24" x14ac:dyDescent="0.2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</row>
    <row r="86" spans="1:24" x14ac:dyDescent="0.25">
      <c r="A86" s="110"/>
      <c r="B86" s="110"/>
      <c r="C86" s="221"/>
      <c r="D86" s="110"/>
      <c r="E86" s="110"/>
      <c r="F86" s="110"/>
      <c r="G86" s="110"/>
      <c r="H86" s="119"/>
      <c r="I86" s="119"/>
      <c r="J86" s="119"/>
      <c r="K86" s="119"/>
      <c r="L86" s="119"/>
      <c r="M86" s="119"/>
      <c r="N86" s="119"/>
      <c r="O86" s="426"/>
      <c r="P86" s="119"/>
      <c r="Q86" s="119"/>
      <c r="R86" s="110"/>
      <c r="S86" s="110"/>
      <c r="T86" s="110"/>
      <c r="U86" s="110"/>
      <c r="V86" s="110"/>
      <c r="W86" s="110"/>
      <c r="X86" s="110"/>
    </row>
    <row r="87" spans="1:24" x14ac:dyDescent="0.25">
      <c r="A87" s="110"/>
      <c r="B87" s="110"/>
      <c r="C87" s="221"/>
      <c r="D87" s="110"/>
      <c r="E87" s="110"/>
      <c r="F87" s="110"/>
      <c r="G87" s="110"/>
      <c r="H87" s="119"/>
      <c r="I87" s="119"/>
      <c r="J87" s="119"/>
      <c r="K87" s="119"/>
      <c r="L87" s="119"/>
      <c r="M87" s="119"/>
      <c r="N87" s="119"/>
      <c r="O87" s="426"/>
      <c r="P87" s="119"/>
      <c r="Q87" s="119"/>
      <c r="R87" s="110"/>
      <c r="S87" s="110"/>
      <c r="T87" s="110"/>
      <c r="U87" s="110"/>
      <c r="V87" s="110"/>
      <c r="W87" s="110"/>
      <c r="X87" s="110"/>
    </row>
    <row r="88" spans="1:24" x14ac:dyDescent="0.25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</row>
    <row r="89" spans="1:24" x14ac:dyDescent="0.25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</row>
    <row r="90" spans="1:24" x14ac:dyDescent="0.25">
      <c r="A90" s="110"/>
      <c r="B90" s="110"/>
      <c r="C90" s="221"/>
      <c r="D90" s="110"/>
      <c r="E90" s="110"/>
      <c r="F90" s="110"/>
      <c r="G90" s="110"/>
      <c r="H90" s="119"/>
      <c r="I90" s="119"/>
      <c r="J90" s="119"/>
      <c r="K90" s="119"/>
      <c r="L90" s="119"/>
      <c r="M90" s="119"/>
      <c r="N90" s="119"/>
      <c r="O90" s="426"/>
      <c r="P90" s="119"/>
      <c r="Q90" s="119"/>
      <c r="R90" s="110"/>
      <c r="S90" s="110"/>
      <c r="T90" s="110"/>
      <c r="U90" s="110"/>
      <c r="V90" s="110"/>
      <c r="W90" s="110"/>
      <c r="X90" s="110"/>
    </row>
    <row r="91" spans="1:24" x14ac:dyDescent="0.25">
      <c r="A91" s="110"/>
      <c r="B91" s="110"/>
      <c r="C91" s="221"/>
      <c r="D91" s="110"/>
      <c r="E91" s="110"/>
      <c r="F91" s="110"/>
      <c r="G91" s="110"/>
      <c r="H91" s="119"/>
      <c r="I91" s="119"/>
      <c r="J91" s="119"/>
      <c r="K91" s="119"/>
      <c r="L91" s="119"/>
      <c r="M91" s="119"/>
      <c r="N91" s="119"/>
      <c r="O91" s="426"/>
      <c r="P91" s="119"/>
      <c r="Q91" s="119"/>
      <c r="R91" s="110"/>
      <c r="S91" s="110"/>
      <c r="T91" s="110"/>
      <c r="U91" s="110"/>
      <c r="V91" s="110"/>
      <c r="W91" s="110"/>
      <c r="X91" s="110"/>
    </row>
    <row r="92" spans="1:24" x14ac:dyDescent="0.25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</row>
    <row r="93" spans="1:24" x14ac:dyDescent="0.25">
      <c r="A93" s="110"/>
      <c r="B93" s="110"/>
      <c r="C93" s="221"/>
      <c r="D93" s="110"/>
      <c r="E93" s="110"/>
      <c r="F93" s="110"/>
      <c r="G93" s="110"/>
      <c r="H93" s="119"/>
      <c r="I93" s="119"/>
      <c r="J93" s="119"/>
      <c r="K93" s="119"/>
      <c r="L93" s="119"/>
      <c r="M93" s="119"/>
      <c r="N93" s="119"/>
      <c r="O93" s="426"/>
      <c r="P93" s="119"/>
      <c r="Q93" s="119"/>
      <c r="R93" s="110"/>
      <c r="S93" s="110"/>
      <c r="T93" s="110"/>
      <c r="U93" s="110"/>
      <c r="V93" s="110"/>
      <c r="W93" s="110"/>
      <c r="X93" s="110"/>
    </row>
    <row r="94" spans="1:24" x14ac:dyDescent="0.25">
      <c r="A94" s="110"/>
      <c r="B94" s="110"/>
      <c r="C94" s="221"/>
      <c r="D94" s="110"/>
      <c r="E94" s="110"/>
      <c r="F94" s="110"/>
      <c r="G94" s="110"/>
      <c r="H94" s="119"/>
      <c r="I94" s="119"/>
      <c r="J94" s="119"/>
      <c r="K94" s="119"/>
      <c r="L94" s="119"/>
      <c r="M94" s="119"/>
      <c r="N94" s="119"/>
      <c r="O94" s="426"/>
      <c r="P94" s="119"/>
      <c r="Q94" s="119"/>
      <c r="R94" s="110"/>
      <c r="S94" s="110"/>
      <c r="T94" s="110"/>
      <c r="U94" s="110"/>
      <c r="V94" s="110"/>
      <c r="W94" s="110"/>
      <c r="X94" s="110"/>
    </row>
    <row r="95" spans="1:24" x14ac:dyDescent="0.2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</row>
    <row r="96" spans="1:24" x14ac:dyDescent="0.25">
      <c r="A96" s="110"/>
      <c r="B96" s="110"/>
      <c r="C96" s="221"/>
      <c r="D96" s="110"/>
      <c r="E96" s="110"/>
      <c r="F96" s="110"/>
      <c r="G96" s="110"/>
      <c r="H96" s="119"/>
      <c r="I96" s="119"/>
      <c r="J96" s="119"/>
      <c r="K96" s="119"/>
      <c r="L96" s="119"/>
      <c r="M96" s="119"/>
      <c r="N96" s="119"/>
      <c r="O96" s="426"/>
      <c r="P96" s="119"/>
      <c r="Q96" s="119"/>
      <c r="R96" s="110"/>
      <c r="S96" s="110"/>
      <c r="T96" s="110"/>
      <c r="U96" s="110"/>
      <c r="V96" s="110"/>
      <c r="W96" s="110"/>
      <c r="X96" s="110"/>
    </row>
    <row r="97" spans="1:24" x14ac:dyDescent="0.25">
      <c r="A97" s="110"/>
      <c r="B97" s="110"/>
      <c r="C97" s="221"/>
      <c r="D97" s="110"/>
      <c r="E97" s="110"/>
      <c r="F97" s="110"/>
      <c r="G97" s="110"/>
      <c r="H97" s="119"/>
      <c r="I97" s="119"/>
      <c r="J97" s="119"/>
      <c r="K97" s="119"/>
      <c r="L97" s="119"/>
      <c r="M97" s="119"/>
      <c r="N97" s="119"/>
      <c r="O97" s="426"/>
      <c r="P97" s="119"/>
      <c r="Q97" s="119"/>
      <c r="R97" s="110"/>
      <c r="S97" s="110"/>
      <c r="T97" s="110"/>
      <c r="U97" s="110"/>
      <c r="V97" s="110"/>
      <c r="W97" s="110"/>
      <c r="X97" s="110"/>
    </row>
    <row r="98" spans="1:2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</row>
    <row r="99" spans="1:24" x14ac:dyDescent="0.2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</row>
    <row r="100" spans="1:24" x14ac:dyDescent="0.2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</row>
    <row r="101" spans="1:24" x14ac:dyDescent="0.25">
      <c r="A101" s="110"/>
      <c r="B101" s="110"/>
      <c r="C101" s="221"/>
      <c r="D101" s="110"/>
      <c r="E101" s="110"/>
      <c r="F101" s="110"/>
      <c r="G101" s="110"/>
      <c r="H101" s="119"/>
      <c r="I101" s="119"/>
      <c r="J101" s="119"/>
      <c r="K101" s="119"/>
      <c r="L101" s="119"/>
      <c r="M101" s="119"/>
      <c r="N101" s="119"/>
      <c r="O101" s="426"/>
      <c r="P101" s="119"/>
      <c r="Q101" s="119"/>
      <c r="R101" s="110"/>
      <c r="S101" s="110"/>
      <c r="T101" s="110"/>
      <c r="U101" s="110"/>
      <c r="V101" s="110"/>
      <c r="W101" s="110"/>
      <c r="X101" s="110"/>
    </row>
    <row r="102" spans="1:24" x14ac:dyDescent="0.25">
      <c r="A102" s="110"/>
      <c r="B102" s="110"/>
      <c r="C102" s="221"/>
      <c r="D102" s="110"/>
      <c r="E102" s="110"/>
      <c r="F102" s="110"/>
      <c r="G102" s="110"/>
      <c r="H102" s="119"/>
      <c r="I102" s="119"/>
      <c r="J102" s="119"/>
      <c r="K102" s="119"/>
      <c r="L102" s="119"/>
      <c r="M102" s="119"/>
      <c r="N102" s="119"/>
      <c r="O102" s="426"/>
      <c r="P102" s="119"/>
      <c r="Q102" s="119"/>
      <c r="R102" s="110"/>
      <c r="S102" s="110"/>
      <c r="T102" s="110"/>
      <c r="U102" s="110"/>
      <c r="V102" s="110"/>
      <c r="W102" s="110"/>
      <c r="X102" s="110"/>
    </row>
    <row r="103" spans="1:24" x14ac:dyDescent="0.25">
      <c r="A103" s="110"/>
      <c r="B103" s="110"/>
      <c r="C103" s="221"/>
      <c r="D103" s="110"/>
      <c r="E103" s="110"/>
      <c r="F103" s="110"/>
      <c r="G103" s="110"/>
      <c r="H103" s="119"/>
      <c r="I103" s="119"/>
      <c r="J103" s="119"/>
      <c r="K103" s="119"/>
      <c r="L103" s="119"/>
      <c r="M103" s="119"/>
      <c r="N103" s="119"/>
      <c r="O103" s="426"/>
      <c r="P103" s="119"/>
      <c r="Q103" s="119"/>
      <c r="R103" s="110"/>
      <c r="S103" s="110"/>
      <c r="T103" s="110"/>
      <c r="U103" s="110"/>
      <c r="V103" s="110"/>
      <c r="W103" s="110"/>
      <c r="X103" s="110"/>
    </row>
    <row r="104" spans="1:24" x14ac:dyDescent="0.2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</row>
    <row r="105" spans="1:24" x14ac:dyDescent="0.25">
      <c r="A105" s="110"/>
      <c r="B105" s="110"/>
      <c r="C105" s="221"/>
      <c r="D105" s="110"/>
      <c r="E105" s="110"/>
      <c r="F105" s="110"/>
      <c r="G105" s="110"/>
      <c r="H105" s="119"/>
      <c r="I105" s="119"/>
      <c r="J105" s="119"/>
      <c r="K105" s="119"/>
      <c r="L105" s="119"/>
      <c r="M105" s="119"/>
      <c r="N105" s="119"/>
      <c r="O105" s="426"/>
      <c r="P105" s="119"/>
      <c r="Q105" s="119"/>
      <c r="R105" s="110"/>
      <c r="S105" s="110"/>
      <c r="T105" s="110"/>
      <c r="U105" s="110"/>
      <c r="V105" s="110"/>
      <c r="W105" s="110"/>
      <c r="X105" s="110"/>
    </row>
    <row r="106" spans="1:24" x14ac:dyDescent="0.25">
      <c r="A106" s="110"/>
      <c r="B106" s="110"/>
      <c r="C106" s="221"/>
      <c r="D106" s="110"/>
      <c r="E106" s="110"/>
      <c r="F106" s="110"/>
      <c r="G106" s="110"/>
      <c r="H106" s="119"/>
      <c r="I106" s="119"/>
      <c r="J106" s="119"/>
      <c r="K106" s="119"/>
      <c r="L106" s="119"/>
      <c r="M106" s="119"/>
      <c r="N106" s="119"/>
      <c r="O106" s="426"/>
      <c r="P106" s="119"/>
      <c r="Q106" s="119"/>
      <c r="R106" s="110"/>
      <c r="S106" s="110"/>
      <c r="T106" s="110"/>
      <c r="U106" s="110"/>
      <c r="V106" s="110"/>
      <c r="W106" s="110"/>
      <c r="X106" s="110"/>
    </row>
    <row r="107" spans="1:24" x14ac:dyDescent="0.25">
      <c r="A107" s="110"/>
      <c r="B107" s="110"/>
      <c r="C107" s="221"/>
      <c r="D107" s="110"/>
      <c r="E107" s="110"/>
      <c r="F107" s="110"/>
      <c r="G107" s="110"/>
      <c r="H107" s="119"/>
      <c r="I107" s="119"/>
      <c r="J107" s="119"/>
      <c r="K107" s="119"/>
      <c r="L107" s="119"/>
      <c r="M107" s="119"/>
      <c r="N107" s="119"/>
      <c r="O107" s="426"/>
      <c r="P107" s="119"/>
      <c r="Q107" s="119"/>
      <c r="R107" s="110"/>
      <c r="S107" s="110"/>
      <c r="T107" s="110"/>
      <c r="U107" s="110"/>
      <c r="V107" s="110"/>
      <c r="W107" s="110"/>
      <c r="X107" s="110"/>
    </row>
    <row r="108" spans="1:24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9"/>
      <c r="Q108" s="119"/>
      <c r="R108" s="110"/>
      <c r="S108" s="110"/>
      <c r="T108" s="110"/>
      <c r="U108" s="110"/>
      <c r="V108" s="110"/>
      <c r="W108" s="110"/>
      <c r="X108" s="110"/>
    </row>
    <row r="109" spans="1:24" x14ac:dyDescent="0.25">
      <c r="A109" s="110"/>
      <c r="B109" s="110"/>
      <c r="C109" s="221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9"/>
      <c r="Q109" s="119"/>
      <c r="R109" s="110"/>
      <c r="S109" s="110"/>
      <c r="T109" s="110"/>
      <c r="U109" s="110"/>
      <c r="V109" s="110"/>
      <c r="W109" s="110"/>
      <c r="X109" s="110"/>
    </row>
    <row r="110" spans="1:24" x14ac:dyDescent="0.25">
      <c r="A110" s="110"/>
      <c r="B110" s="110"/>
      <c r="C110" s="221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427"/>
      <c r="P110" s="119"/>
      <c r="Q110" s="119"/>
      <c r="R110" s="110"/>
      <c r="S110" s="110"/>
      <c r="T110" s="110"/>
      <c r="U110" s="110"/>
      <c r="V110" s="110"/>
      <c r="W110" s="110"/>
      <c r="X110" s="110"/>
    </row>
    <row r="111" spans="1:24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</row>
    <row r="112" spans="1:24" x14ac:dyDescent="0.25">
      <c r="A112" s="110"/>
      <c r="B112" s="110"/>
      <c r="C112" s="221"/>
      <c r="D112" s="110"/>
      <c r="E112" s="110"/>
      <c r="F112" s="110"/>
      <c r="G112" s="110"/>
      <c r="H112" s="119"/>
      <c r="I112" s="119"/>
      <c r="J112" s="119"/>
      <c r="K112" s="119"/>
      <c r="L112" s="119"/>
      <c r="M112" s="119"/>
      <c r="N112" s="119"/>
      <c r="O112" s="426"/>
      <c r="P112" s="119"/>
      <c r="Q112" s="119"/>
      <c r="R112" s="110"/>
      <c r="S112" s="110"/>
      <c r="T112" s="110"/>
      <c r="U112" s="110"/>
      <c r="V112" s="110"/>
      <c r="W112" s="110"/>
      <c r="X112" s="110"/>
    </row>
    <row r="113" spans="1:24" x14ac:dyDescent="0.25">
      <c r="A113" s="110"/>
      <c r="B113" s="110"/>
      <c r="C113" s="221"/>
      <c r="D113" s="110"/>
      <c r="E113" s="110"/>
      <c r="F113" s="110"/>
      <c r="G113" s="110"/>
      <c r="H113" s="119"/>
      <c r="I113" s="119"/>
      <c r="J113" s="119"/>
      <c r="K113" s="119"/>
      <c r="L113" s="119"/>
      <c r="M113" s="119"/>
      <c r="N113" s="119"/>
      <c r="O113" s="426"/>
      <c r="P113" s="119"/>
      <c r="Q113" s="119"/>
      <c r="R113" s="110"/>
      <c r="S113" s="110"/>
      <c r="T113" s="110"/>
      <c r="U113" s="110"/>
      <c r="V113" s="110"/>
      <c r="W113" s="110"/>
      <c r="X113" s="110"/>
    </row>
    <row r="114" spans="1:24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</row>
    <row r="115" spans="1:24" x14ac:dyDescent="0.25">
      <c r="A115" s="110"/>
      <c r="B115" s="110"/>
      <c r="C115" s="221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426"/>
      <c r="P115" s="119"/>
      <c r="Q115" s="119"/>
      <c r="R115" s="110"/>
      <c r="S115" s="110"/>
      <c r="T115" s="110"/>
      <c r="U115" s="110"/>
      <c r="V115" s="110"/>
      <c r="W115" s="110"/>
      <c r="X115" s="110"/>
    </row>
    <row r="116" spans="1:24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9"/>
      <c r="Q116" s="119"/>
      <c r="R116" s="110"/>
      <c r="S116" s="110"/>
      <c r="T116" s="110"/>
      <c r="U116" s="110"/>
      <c r="V116" s="110"/>
      <c r="W116" s="110"/>
      <c r="X116" s="110"/>
    </row>
    <row r="117" spans="1:24" x14ac:dyDescent="0.25">
      <c r="A117" s="110"/>
      <c r="B117" s="110"/>
      <c r="C117" s="221"/>
      <c r="D117" s="110"/>
      <c r="E117" s="110"/>
      <c r="F117" s="110"/>
      <c r="G117" s="110"/>
      <c r="H117" s="119"/>
      <c r="I117" s="119"/>
      <c r="J117" s="119"/>
      <c r="K117" s="119"/>
      <c r="L117" s="119"/>
      <c r="M117" s="119"/>
      <c r="N117" s="119"/>
      <c r="O117" s="426"/>
      <c r="P117" s="119"/>
      <c r="Q117" s="119"/>
      <c r="R117" s="110"/>
      <c r="S117" s="110"/>
      <c r="T117" s="110"/>
      <c r="U117" s="110"/>
      <c r="V117" s="110"/>
      <c r="W117" s="110"/>
      <c r="X117" s="110"/>
    </row>
    <row r="118" spans="1:24" x14ac:dyDescent="0.25">
      <c r="A118" s="110"/>
      <c r="B118" s="110"/>
      <c r="C118" s="221"/>
      <c r="D118" s="110"/>
      <c r="E118" s="110"/>
      <c r="F118" s="110"/>
      <c r="G118" s="110"/>
      <c r="H118" s="119"/>
      <c r="I118" s="119"/>
      <c r="J118" s="119"/>
      <c r="K118" s="119"/>
      <c r="L118" s="119"/>
      <c r="M118" s="119"/>
      <c r="N118" s="119"/>
      <c r="O118" s="426"/>
      <c r="P118" s="119"/>
      <c r="Q118" s="119"/>
      <c r="R118" s="110"/>
      <c r="S118" s="110"/>
      <c r="T118" s="110"/>
      <c r="U118" s="110"/>
      <c r="V118" s="110"/>
      <c r="W118" s="110"/>
      <c r="X118" s="110"/>
    </row>
    <row r="119" spans="1:24" x14ac:dyDescent="0.2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428"/>
      <c r="P119" s="119"/>
      <c r="Q119" s="119"/>
      <c r="R119" s="110"/>
      <c r="S119" s="110"/>
      <c r="T119" s="110"/>
      <c r="U119" s="110"/>
      <c r="V119" s="110"/>
      <c r="W119" s="110"/>
      <c r="X119" s="110"/>
    </row>
    <row r="120" spans="1:24" x14ac:dyDescent="0.25">
      <c r="A120" s="110"/>
      <c r="B120" s="110"/>
      <c r="C120" s="221"/>
      <c r="D120" s="110"/>
      <c r="E120" s="110"/>
      <c r="F120" s="110"/>
      <c r="G120" s="110"/>
      <c r="H120" s="119"/>
      <c r="I120" s="119"/>
      <c r="J120" s="119"/>
      <c r="K120" s="119"/>
      <c r="L120" s="119"/>
      <c r="M120" s="119"/>
      <c r="N120" s="119"/>
      <c r="O120" s="426"/>
      <c r="P120" s="119"/>
      <c r="Q120" s="119"/>
      <c r="R120" s="110"/>
      <c r="S120" s="110"/>
      <c r="T120" s="110"/>
      <c r="U120" s="110"/>
      <c r="V120" s="110"/>
      <c r="W120" s="110"/>
      <c r="X120" s="110"/>
    </row>
    <row r="121" spans="1:24" x14ac:dyDescent="0.2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426"/>
      <c r="P121" s="119"/>
      <c r="Q121" s="119"/>
      <c r="R121" s="110"/>
      <c r="S121" s="110"/>
      <c r="T121" s="110"/>
      <c r="U121" s="110"/>
      <c r="V121" s="110"/>
      <c r="W121" s="110"/>
      <c r="X121" s="110"/>
    </row>
    <row r="122" spans="1:24" x14ac:dyDescent="0.25">
      <c r="A122" s="110"/>
      <c r="B122" s="110"/>
      <c r="C122" s="221"/>
      <c r="D122" s="110"/>
      <c r="E122" s="110"/>
      <c r="F122" s="110"/>
      <c r="G122" s="110"/>
      <c r="H122" s="119"/>
      <c r="I122" s="119"/>
      <c r="J122" s="119"/>
      <c r="K122" s="119"/>
      <c r="L122" s="119"/>
      <c r="M122" s="119"/>
      <c r="N122" s="119"/>
      <c r="O122" s="426"/>
      <c r="P122" s="119"/>
      <c r="Q122" s="119"/>
      <c r="R122" s="110"/>
      <c r="S122" s="110"/>
      <c r="T122" s="110"/>
      <c r="U122" s="110"/>
      <c r="V122" s="110"/>
      <c r="W122" s="110"/>
      <c r="X122" s="110"/>
    </row>
    <row r="123" spans="1:24" x14ac:dyDescent="0.25">
      <c r="A123" s="110"/>
      <c r="B123" s="110"/>
      <c r="C123" s="221"/>
      <c r="D123" s="110"/>
      <c r="E123" s="110"/>
      <c r="F123" s="110"/>
      <c r="G123" s="110"/>
      <c r="H123" s="119"/>
      <c r="I123" s="119"/>
      <c r="J123" s="119"/>
      <c r="K123" s="119"/>
      <c r="L123" s="119"/>
      <c r="M123" s="119"/>
      <c r="N123" s="119"/>
      <c r="O123" s="426"/>
      <c r="P123" s="119"/>
      <c r="Q123" s="119"/>
      <c r="R123" s="110"/>
      <c r="S123" s="110"/>
      <c r="T123" s="110"/>
      <c r="U123" s="110"/>
      <c r="V123" s="110"/>
      <c r="W123" s="110"/>
      <c r="X123" s="110"/>
    </row>
    <row r="124" spans="1:24" x14ac:dyDescent="0.2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</row>
    <row r="125" spans="1:24" x14ac:dyDescent="0.25">
      <c r="A125" s="110"/>
      <c r="B125" s="110"/>
      <c r="C125" s="110"/>
      <c r="D125" s="110"/>
      <c r="E125" s="119"/>
      <c r="F125" s="119"/>
      <c r="G125" s="110"/>
      <c r="H125" s="119"/>
      <c r="I125" s="119"/>
      <c r="J125" s="119"/>
      <c r="K125" s="119"/>
      <c r="L125" s="119"/>
      <c r="M125" s="119"/>
      <c r="N125" s="119"/>
      <c r="O125" s="426"/>
      <c r="P125" s="119"/>
      <c r="Q125" s="119"/>
      <c r="R125" s="110"/>
      <c r="S125" s="110"/>
      <c r="T125" s="110"/>
      <c r="U125" s="110"/>
      <c r="V125" s="110"/>
      <c r="W125" s="110"/>
      <c r="X125" s="110"/>
    </row>
    <row r="126" spans="1:24" x14ac:dyDescent="0.25">
      <c r="A126" s="110"/>
      <c r="B126" s="110"/>
      <c r="C126" s="42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430"/>
      <c r="P126" s="425"/>
      <c r="Q126" s="119"/>
      <c r="R126" s="110"/>
      <c r="S126" s="110"/>
      <c r="T126" s="110"/>
      <c r="U126" s="110"/>
      <c r="V126" s="110"/>
      <c r="W126" s="110"/>
      <c r="X126" s="110"/>
    </row>
    <row r="127" spans="1:24" x14ac:dyDescent="0.25">
      <c r="A127" s="110"/>
      <c r="B127" s="110"/>
      <c r="C127" s="110"/>
      <c r="D127" s="110"/>
      <c r="E127" s="119"/>
      <c r="F127" s="119"/>
      <c r="G127" s="110"/>
      <c r="H127" s="430"/>
      <c r="I127" s="430"/>
      <c r="J127" s="430"/>
      <c r="K127" s="430"/>
      <c r="L127" s="430"/>
      <c r="M127" s="430"/>
      <c r="N127" s="430"/>
      <c r="O127" s="110"/>
      <c r="P127" s="119"/>
      <c r="Q127" s="119"/>
      <c r="R127" s="110"/>
      <c r="S127" s="110"/>
      <c r="T127" s="110"/>
      <c r="U127" s="110"/>
      <c r="V127" s="110"/>
      <c r="W127" s="110"/>
      <c r="X127" s="110"/>
    </row>
    <row r="128" spans="1:24" x14ac:dyDescent="0.2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9"/>
      <c r="R128" s="110"/>
      <c r="S128" s="110"/>
      <c r="T128" s="110"/>
      <c r="U128" s="110"/>
      <c r="V128" s="110"/>
      <c r="W128" s="110"/>
      <c r="X128" s="110"/>
    </row>
    <row r="129" spans="1:24" x14ac:dyDescent="0.25">
      <c r="A129" s="110"/>
      <c r="B129" s="429"/>
      <c r="C129" s="110"/>
      <c r="D129" s="110"/>
      <c r="E129" s="110"/>
      <c r="F129" s="110"/>
      <c r="G129" s="110"/>
      <c r="H129" s="119"/>
      <c r="I129" s="119"/>
      <c r="J129" s="119"/>
      <c r="K129" s="119"/>
      <c r="L129" s="119"/>
      <c r="M129" s="119"/>
      <c r="N129" s="119"/>
      <c r="O129" s="110"/>
      <c r="P129" s="431"/>
      <c r="Q129" s="119"/>
      <c r="R129" s="110"/>
      <c r="S129" s="110"/>
      <c r="T129" s="110"/>
      <c r="U129" s="110"/>
      <c r="V129" s="110"/>
      <c r="W129" s="110"/>
      <c r="X129" s="110"/>
    </row>
    <row r="130" spans="1:24" x14ac:dyDescent="0.2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</row>
    <row r="131" spans="1:24" x14ac:dyDescent="0.2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</row>
    <row r="132" spans="1:24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</row>
    <row r="133" spans="1:24" x14ac:dyDescent="0.2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</row>
    <row r="134" spans="1:24" x14ac:dyDescent="0.2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</row>
    <row r="135" spans="1:24" x14ac:dyDescent="0.2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</row>
    <row r="136" spans="1:24" x14ac:dyDescent="0.2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</row>
    <row r="137" spans="1:24" x14ac:dyDescent="0.2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</row>
    <row r="138" spans="1:24" x14ac:dyDescent="0.2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</row>
    <row r="139" spans="1:24" x14ac:dyDescent="0.2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</row>
    <row r="140" spans="1:24" x14ac:dyDescent="0.2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</row>
    <row r="141" spans="1:24" x14ac:dyDescent="0.2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</row>
    <row r="142" spans="1:24" x14ac:dyDescent="0.2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</row>
    <row r="143" spans="1:24" x14ac:dyDescent="0.2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</row>
    <row r="144" spans="1:24" x14ac:dyDescent="0.2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</row>
    <row r="145" spans="1:24" x14ac:dyDescent="0.2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</row>
    <row r="146" spans="1:24" x14ac:dyDescent="0.2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</row>
    <row r="147" spans="1:24" x14ac:dyDescent="0.2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</row>
    <row r="148" spans="1:24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</row>
    <row r="149" spans="1:24" x14ac:dyDescent="0.2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</row>
    <row r="150" spans="1:24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</row>
    <row r="151" spans="1:24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</row>
    <row r="152" spans="1:24" x14ac:dyDescent="0.2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</row>
    <row r="153" spans="1:24" x14ac:dyDescent="0.2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</row>
    <row r="154" spans="1:24" x14ac:dyDescent="0.2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</row>
    <row r="155" spans="1:24" x14ac:dyDescent="0.2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</row>
    <row r="156" spans="1:24" x14ac:dyDescent="0.2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</row>
    <row r="157" spans="1:24" x14ac:dyDescent="0.2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</row>
    <row r="158" spans="1:24" x14ac:dyDescent="0.2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</row>
    <row r="159" spans="1:24" x14ac:dyDescent="0.2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</row>
    <row r="160" spans="1:24" x14ac:dyDescent="0.2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</row>
    <row r="161" spans="1:24" x14ac:dyDescent="0.2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</row>
    <row r="162" spans="1:24" x14ac:dyDescent="0.2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</row>
    <row r="163" spans="1:24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</row>
    <row r="164" spans="1:24" x14ac:dyDescent="0.2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</row>
    <row r="165" spans="1:24" x14ac:dyDescent="0.2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</row>
    <row r="166" spans="1:24" x14ac:dyDescent="0.2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</row>
    <row r="167" spans="1:24" x14ac:dyDescent="0.2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</row>
    <row r="168" spans="1:24" x14ac:dyDescent="0.2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</row>
    <row r="169" spans="1:24" x14ac:dyDescent="0.2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</row>
    <row r="170" spans="1:24" x14ac:dyDescent="0.2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</row>
    <row r="171" spans="1:24" x14ac:dyDescent="0.2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</row>
    <row r="172" spans="1:24" x14ac:dyDescent="0.2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</row>
    <row r="173" spans="1:24" x14ac:dyDescent="0.2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</row>
    <row r="174" spans="1:24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</row>
    <row r="175" spans="1:24" x14ac:dyDescent="0.2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</row>
    <row r="176" spans="1:24" x14ac:dyDescent="0.2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</row>
    <row r="177" spans="1:24" x14ac:dyDescent="0.2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</row>
    <row r="178" spans="1:24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</row>
    <row r="179" spans="1:24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</row>
    <row r="180" spans="1:24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</row>
    <row r="181" spans="1:24" x14ac:dyDescent="0.2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</row>
    <row r="182" spans="1:24" x14ac:dyDescent="0.2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</row>
    <row r="183" spans="1:24" x14ac:dyDescent="0.2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</row>
    <row r="184" spans="1:24" x14ac:dyDescent="0.2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</row>
    <row r="185" spans="1:24" x14ac:dyDescent="0.2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</row>
    <row r="186" spans="1:24" x14ac:dyDescent="0.2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</row>
    <row r="187" spans="1:24" x14ac:dyDescent="0.2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</row>
    <row r="188" spans="1:24" x14ac:dyDescent="0.2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</row>
    <row r="189" spans="1:24" x14ac:dyDescent="0.2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</row>
    <row r="190" spans="1:24" x14ac:dyDescent="0.2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</row>
    <row r="191" spans="1:24" x14ac:dyDescent="0.2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</row>
    <row r="192" spans="1:24" x14ac:dyDescent="0.2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</row>
    <row r="193" spans="1:24" x14ac:dyDescent="0.2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</row>
    <row r="194" spans="1:24" x14ac:dyDescent="0.2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</row>
    <row r="195" spans="1:24" x14ac:dyDescent="0.2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</row>
    <row r="196" spans="1:24" x14ac:dyDescent="0.2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</row>
    <row r="197" spans="1:24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</row>
    <row r="198" spans="1:24" x14ac:dyDescent="0.2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</row>
    <row r="199" spans="1:24" x14ac:dyDescent="0.2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</row>
    <row r="200" spans="1:24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</row>
    <row r="201" spans="1:24" x14ac:dyDescent="0.2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</row>
    <row r="202" spans="1:24" x14ac:dyDescent="0.2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</row>
    <row r="203" spans="1:24" x14ac:dyDescent="0.2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</row>
    <row r="204" spans="1:24" x14ac:dyDescent="0.2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</row>
    <row r="205" spans="1:24" x14ac:dyDescent="0.2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</row>
    <row r="206" spans="1:24" x14ac:dyDescent="0.2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</row>
    <row r="207" spans="1:24" x14ac:dyDescent="0.2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</row>
    <row r="208" spans="1:24" x14ac:dyDescent="0.2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</row>
    <row r="209" spans="1:24" x14ac:dyDescent="0.2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</row>
    <row r="210" spans="1:24" x14ac:dyDescent="0.2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</row>
    <row r="211" spans="1:24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</row>
    <row r="212" spans="1:24" x14ac:dyDescent="0.2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</row>
    <row r="213" spans="1:24" x14ac:dyDescent="0.2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</row>
    <row r="214" spans="1:24" x14ac:dyDescent="0.2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</row>
    <row r="215" spans="1:24" x14ac:dyDescent="0.2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</row>
    <row r="216" spans="1:24" x14ac:dyDescent="0.25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</row>
    <row r="217" spans="1:24" x14ac:dyDescent="0.25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</row>
    <row r="218" spans="1:24" x14ac:dyDescent="0.25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</row>
    <row r="219" spans="1:24" x14ac:dyDescent="0.25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</row>
    <row r="220" spans="1:24" x14ac:dyDescent="0.25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</row>
    <row r="221" spans="1:24" x14ac:dyDescent="0.25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</row>
    <row r="222" spans="1:24" x14ac:dyDescent="0.25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</row>
    <row r="223" spans="1:24" x14ac:dyDescent="0.25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</row>
    <row r="224" spans="1:24" x14ac:dyDescent="0.25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</row>
    <row r="225" spans="1:24" x14ac:dyDescent="0.2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</row>
    <row r="226" spans="1:24" x14ac:dyDescent="0.25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</row>
    <row r="227" spans="1:24" x14ac:dyDescent="0.25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</row>
    <row r="228" spans="1:24" x14ac:dyDescent="0.25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</row>
    <row r="229" spans="1:24" x14ac:dyDescent="0.25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</row>
    <row r="230" spans="1:24" x14ac:dyDescent="0.25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</row>
    <row r="231" spans="1:24" x14ac:dyDescent="0.25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</row>
    <row r="232" spans="1:24" x14ac:dyDescent="0.25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</row>
    <row r="233" spans="1:24" x14ac:dyDescent="0.25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</row>
    <row r="234" spans="1:24" x14ac:dyDescent="0.25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</row>
    <row r="235" spans="1:24" x14ac:dyDescent="0.25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</row>
    <row r="236" spans="1:24" x14ac:dyDescent="0.25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</row>
    <row r="237" spans="1:24" x14ac:dyDescent="0.25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</row>
    <row r="238" spans="1:24" x14ac:dyDescent="0.25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</row>
    <row r="239" spans="1:24" x14ac:dyDescent="0.25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</row>
    <row r="240" spans="1:24" x14ac:dyDescent="0.25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</row>
    <row r="241" spans="1:24" x14ac:dyDescent="0.25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</row>
    <row r="242" spans="1:24" x14ac:dyDescent="0.25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</row>
    <row r="243" spans="1:24" x14ac:dyDescent="0.25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</row>
    <row r="244" spans="1:24" x14ac:dyDescent="0.25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</row>
    <row r="245" spans="1:24" x14ac:dyDescent="0.25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</row>
    <row r="246" spans="1:24" x14ac:dyDescent="0.25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</row>
    <row r="247" spans="1:24" x14ac:dyDescent="0.25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</row>
    <row r="248" spans="1:24" x14ac:dyDescent="0.25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</row>
    <row r="249" spans="1:24" x14ac:dyDescent="0.25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</row>
    <row r="250" spans="1:24" x14ac:dyDescent="0.25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</row>
    <row r="251" spans="1:24" x14ac:dyDescent="0.25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</row>
    <row r="252" spans="1:24" x14ac:dyDescent="0.25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</row>
    <row r="253" spans="1:24" x14ac:dyDescent="0.25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</row>
    <row r="254" spans="1:24" x14ac:dyDescent="0.25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</row>
    <row r="255" spans="1:24" x14ac:dyDescent="0.2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</row>
    <row r="256" spans="1:24" x14ac:dyDescent="0.25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</row>
    <row r="257" spans="1:24" x14ac:dyDescent="0.25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</row>
    <row r="258" spans="1:24" x14ac:dyDescent="0.25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</row>
    <row r="259" spans="1:24" x14ac:dyDescent="0.25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</row>
    <row r="260" spans="1:24" x14ac:dyDescent="0.25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</row>
    <row r="261" spans="1:24" x14ac:dyDescent="0.25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</row>
    <row r="262" spans="1:24" x14ac:dyDescent="0.25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</row>
    <row r="263" spans="1:24" x14ac:dyDescent="0.25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</row>
    <row r="264" spans="1:24" x14ac:dyDescent="0.25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</row>
    <row r="265" spans="1:24" x14ac:dyDescent="0.25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</row>
    <row r="266" spans="1:24" x14ac:dyDescent="0.25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</row>
    <row r="267" spans="1:24" x14ac:dyDescent="0.25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</row>
    <row r="268" spans="1:24" x14ac:dyDescent="0.25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</row>
    <row r="269" spans="1:24" x14ac:dyDescent="0.25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</row>
    <row r="270" spans="1:24" x14ac:dyDescent="0.25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</row>
    <row r="271" spans="1:24" x14ac:dyDescent="0.25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</row>
    <row r="272" spans="1:24" x14ac:dyDescent="0.25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</row>
    <row r="273" spans="1:24" x14ac:dyDescent="0.25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</row>
    <row r="274" spans="1:24" x14ac:dyDescent="0.25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</row>
    <row r="275" spans="1:24" x14ac:dyDescent="0.25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</row>
    <row r="276" spans="1:24" x14ac:dyDescent="0.25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</row>
    <row r="277" spans="1:24" x14ac:dyDescent="0.25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</row>
    <row r="278" spans="1:24" x14ac:dyDescent="0.25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</row>
    <row r="279" spans="1:24" x14ac:dyDescent="0.25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</row>
    <row r="280" spans="1:24" x14ac:dyDescent="0.25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</row>
    <row r="281" spans="1:24" x14ac:dyDescent="0.25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</row>
    <row r="282" spans="1:24" x14ac:dyDescent="0.25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</row>
    <row r="283" spans="1:24" x14ac:dyDescent="0.25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</row>
    <row r="284" spans="1:24" x14ac:dyDescent="0.25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</row>
    <row r="285" spans="1:24" x14ac:dyDescent="0.25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</row>
    <row r="286" spans="1:24" x14ac:dyDescent="0.25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</row>
    <row r="287" spans="1:24" x14ac:dyDescent="0.25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</row>
    <row r="288" spans="1:24" x14ac:dyDescent="0.25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</row>
    <row r="289" spans="1:24" x14ac:dyDescent="0.25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</row>
    <row r="290" spans="1:24" x14ac:dyDescent="0.25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</row>
    <row r="291" spans="1:24" x14ac:dyDescent="0.25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</row>
    <row r="292" spans="1:24" x14ac:dyDescent="0.25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</row>
    <row r="293" spans="1:24" x14ac:dyDescent="0.25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</row>
    <row r="294" spans="1:24" x14ac:dyDescent="0.25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</row>
    <row r="295" spans="1:24" x14ac:dyDescent="0.25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</row>
    <row r="296" spans="1:24" x14ac:dyDescent="0.25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</row>
    <row r="297" spans="1:24" x14ac:dyDescent="0.25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</row>
    <row r="298" spans="1:24" x14ac:dyDescent="0.25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</row>
    <row r="299" spans="1:24" x14ac:dyDescent="0.25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</row>
    <row r="300" spans="1:24" x14ac:dyDescent="0.25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</row>
    <row r="301" spans="1:24" x14ac:dyDescent="0.25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</row>
    <row r="302" spans="1:24" x14ac:dyDescent="0.25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</row>
    <row r="303" spans="1:24" x14ac:dyDescent="0.25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</row>
    <row r="304" spans="1:24" x14ac:dyDescent="0.25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</row>
    <row r="305" spans="1:24" x14ac:dyDescent="0.25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</row>
    <row r="306" spans="1:24" x14ac:dyDescent="0.25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</row>
    <row r="307" spans="1:24" x14ac:dyDescent="0.25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</row>
    <row r="308" spans="1:24" x14ac:dyDescent="0.25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</row>
    <row r="309" spans="1:24" x14ac:dyDescent="0.25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</row>
    <row r="310" spans="1:24" x14ac:dyDescent="0.25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</row>
    <row r="311" spans="1:24" x14ac:dyDescent="0.25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</row>
    <row r="312" spans="1:24" x14ac:dyDescent="0.25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</row>
    <row r="313" spans="1:24" x14ac:dyDescent="0.25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</row>
    <row r="314" spans="1:24" x14ac:dyDescent="0.25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</row>
    <row r="315" spans="1:24" x14ac:dyDescent="0.25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</row>
    <row r="316" spans="1:24" x14ac:dyDescent="0.25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</row>
    <row r="317" spans="1:24" x14ac:dyDescent="0.25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</row>
    <row r="318" spans="1:24" x14ac:dyDescent="0.25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</row>
    <row r="319" spans="1:24" x14ac:dyDescent="0.25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</row>
    <row r="320" spans="1:24" x14ac:dyDescent="0.2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</row>
    <row r="321" spans="1:24" x14ac:dyDescent="0.25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</row>
    <row r="322" spans="1:24" x14ac:dyDescent="0.25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</row>
    <row r="323" spans="1:24" x14ac:dyDescent="0.25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</row>
    <row r="324" spans="1:24" x14ac:dyDescent="0.25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</row>
    <row r="325" spans="1:24" x14ac:dyDescent="0.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</row>
    <row r="326" spans="1:24" x14ac:dyDescent="0.25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</row>
    <row r="327" spans="1:24" x14ac:dyDescent="0.25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</row>
    <row r="328" spans="1:24" x14ac:dyDescent="0.25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</row>
    <row r="329" spans="1:24" x14ac:dyDescent="0.25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</row>
    <row r="330" spans="1:24" x14ac:dyDescent="0.25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</row>
    <row r="331" spans="1:24" x14ac:dyDescent="0.2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</row>
    <row r="332" spans="1:24" x14ac:dyDescent="0.25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</row>
    <row r="333" spans="1:24" x14ac:dyDescent="0.2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</row>
    <row r="334" spans="1:24" x14ac:dyDescent="0.25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</row>
    <row r="335" spans="1:24" x14ac:dyDescent="0.2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</row>
    <row r="336" spans="1:24" x14ac:dyDescent="0.25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</row>
    <row r="337" spans="1:24" x14ac:dyDescent="0.25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</row>
    <row r="338" spans="1:24" x14ac:dyDescent="0.25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</row>
    <row r="339" spans="1:24" x14ac:dyDescent="0.25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</row>
    <row r="340" spans="1:24" x14ac:dyDescent="0.25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</row>
    <row r="341" spans="1:24" x14ac:dyDescent="0.25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</row>
    <row r="342" spans="1:24" x14ac:dyDescent="0.25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</row>
    <row r="343" spans="1:24" x14ac:dyDescent="0.25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</row>
    <row r="344" spans="1:24" x14ac:dyDescent="0.25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</row>
    <row r="345" spans="1:24" x14ac:dyDescent="0.25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</row>
    <row r="346" spans="1:24" x14ac:dyDescent="0.25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</row>
    <row r="347" spans="1:24" x14ac:dyDescent="0.25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</row>
    <row r="348" spans="1:24" x14ac:dyDescent="0.2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</row>
    <row r="349" spans="1:24" x14ac:dyDescent="0.25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</row>
    <row r="350" spans="1:24" x14ac:dyDescent="0.2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</row>
    <row r="351" spans="1:24" x14ac:dyDescent="0.25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</row>
    <row r="352" spans="1:24" x14ac:dyDescent="0.25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</row>
    <row r="353" spans="1:24" x14ac:dyDescent="0.2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</row>
    <row r="354" spans="1:24" x14ac:dyDescent="0.25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</row>
    <row r="355" spans="1:24" x14ac:dyDescent="0.2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</row>
    <row r="356" spans="1:24" x14ac:dyDescent="0.25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</row>
    <row r="357" spans="1:24" x14ac:dyDescent="0.25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</row>
    <row r="358" spans="1:24" x14ac:dyDescent="0.25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</row>
    <row r="359" spans="1:24" x14ac:dyDescent="0.25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</row>
    <row r="360" spans="1:24" x14ac:dyDescent="0.25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</row>
    <row r="361" spans="1:24" x14ac:dyDescent="0.25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</row>
    <row r="362" spans="1:24" x14ac:dyDescent="0.25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</row>
    <row r="363" spans="1:24" x14ac:dyDescent="0.25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</row>
    <row r="364" spans="1:24" x14ac:dyDescent="0.25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</row>
    <row r="365" spans="1:24" x14ac:dyDescent="0.2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</row>
    <row r="366" spans="1:24" x14ac:dyDescent="0.25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</row>
    <row r="367" spans="1:24" x14ac:dyDescent="0.25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</row>
    <row r="368" spans="1:24" x14ac:dyDescent="0.25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</row>
    <row r="369" spans="1:24" x14ac:dyDescent="0.25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</row>
    <row r="370" spans="1:24" x14ac:dyDescent="0.25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</row>
    <row r="371" spans="1:24" x14ac:dyDescent="0.25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</row>
    <row r="372" spans="1:24" x14ac:dyDescent="0.25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</row>
    <row r="373" spans="1:24" x14ac:dyDescent="0.25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</row>
    <row r="374" spans="1:24" x14ac:dyDescent="0.25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</row>
    <row r="375" spans="1:24" x14ac:dyDescent="0.2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</row>
    <row r="376" spans="1:24" x14ac:dyDescent="0.25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</row>
    <row r="377" spans="1:24" x14ac:dyDescent="0.25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</row>
    <row r="378" spans="1:24" x14ac:dyDescent="0.25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</row>
    <row r="379" spans="1:24" x14ac:dyDescent="0.2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</row>
    <row r="380" spans="1:24" x14ac:dyDescent="0.25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</row>
    <row r="381" spans="1:24" x14ac:dyDescent="0.25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</row>
    <row r="382" spans="1:24" x14ac:dyDescent="0.25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</row>
    <row r="383" spans="1:24" x14ac:dyDescent="0.25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</row>
    <row r="384" spans="1:24" x14ac:dyDescent="0.25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</row>
    <row r="385" spans="1:24" x14ac:dyDescent="0.2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</row>
    <row r="386" spans="1:24" x14ac:dyDescent="0.25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</row>
    <row r="387" spans="1:24" x14ac:dyDescent="0.25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</row>
    <row r="388" spans="1:24" x14ac:dyDescent="0.25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</row>
    <row r="389" spans="1:24" x14ac:dyDescent="0.25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</row>
    <row r="390" spans="1:24" x14ac:dyDescent="0.25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</row>
    <row r="391" spans="1:24" x14ac:dyDescent="0.25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</row>
    <row r="392" spans="1:24" x14ac:dyDescent="0.25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</row>
    <row r="393" spans="1:24" x14ac:dyDescent="0.25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</row>
    <row r="394" spans="1:24" x14ac:dyDescent="0.25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</row>
    <row r="395" spans="1:24" x14ac:dyDescent="0.2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</row>
    <row r="396" spans="1:24" x14ac:dyDescent="0.25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</row>
    <row r="397" spans="1:24" x14ac:dyDescent="0.25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</row>
    <row r="398" spans="1:24" x14ac:dyDescent="0.25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</row>
    <row r="399" spans="1:24" x14ac:dyDescent="0.25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</row>
    <row r="400" spans="1:24" x14ac:dyDescent="0.25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</row>
    <row r="401" spans="1:24" x14ac:dyDescent="0.25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</row>
    <row r="402" spans="1:24" x14ac:dyDescent="0.25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</row>
    <row r="403" spans="1:24" x14ac:dyDescent="0.25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</row>
    <row r="404" spans="1:24" x14ac:dyDescent="0.25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</row>
    <row r="405" spans="1:24" x14ac:dyDescent="0.2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</row>
    <row r="406" spans="1:24" x14ac:dyDescent="0.25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</row>
    <row r="407" spans="1:24" x14ac:dyDescent="0.25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</row>
    <row r="408" spans="1:24" x14ac:dyDescent="0.25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</row>
    <row r="409" spans="1:24" x14ac:dyDescent="0.25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</row>
    <row r="410" spans="1:24" x14ac:dyDescent="0.25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</row>
    <row r="411" spans="1:24" x14ac:dyDescent="0.25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</row>
    <row r="412" spans="1:24" x14ac:dyDescent="0.25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</row>
    <row r="413" spans="1:24" x14ac:dyDescent="0.25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</row>
    <row r="414" spans="1:24" x14ac:dyDescent="0.25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</row>
    <row r="415" spans="1:24" x14ac:dyDescent="0.2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</row>
    <row r="416" spans="1:24" x14ac:dyDescent="0.25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</row>
    <row r="417" spans="1:24" x14ac:dyDescent="0.25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</row>
    <row r="418" spans="1:24" x14ac:dyDescent="0.25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</row>
    <row r="419" spans="1:24" x14ac:dyDescent="0.25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</row>
    <row r="420" spans="1:24" x14ac:dyDescent="0.25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</row>
    <row r="421" spans="1:24" x14ac:dyDescent="0.25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</row>
    <row r="422" spans="1:24" x14ac:dyDescent="0.25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</row>
    <row r="423" spans="1:24" x14ac:dyDescent="0.25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</row>
    <row r="424" spans="1:24" x14ac:dyDescent="0.25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</row>
    <row r="425" spans="1:24" x14ac:dyDescent="0.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</row>
    <row r="426" spans="1:24" x14ac:dyDescent="0.25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</row>
    <row r="427" spans="1:24" x14ac:dyDescent="0.25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</row>
    <row r="428" spans="1:24" x14ac:dyDescent="0.25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</row>
    <row r="429" spans="1:24" x14ac:dyDescent="0.25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</row>
    <row r="430" spans="1:24" x14ac:dyDescent="0.25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</row>
    <row r="431" spans="1:24" x14ac:dyDescent="0.25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</row>
    <row r="432" spans="1:24" x14ac:dyDescent="0.25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</row>
    <row r="433" spans="1:24" x14ac:dyDescent="0.25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</row>
    <row r="434" spans="1:24" x14ac:dyDescent="0.25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</row>
    <row r="435" spans="1:24" x14ac:dyDescent="0.2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</row>
    <row r="436" spans="1:24" x14ac:dyDescent="0.25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</row>
    <row r="437" spans="1:24" x14ac:dyDescent="0.25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</row>
    <row r="438" spans="1:24" x14ac:dyDescent="0.25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</row>
    <row r="439" spans="1:24" x14ac:dyDescent="0.25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</row>
    <row r="440" spans="1:24" x14ac:dyDescent="0.25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</row>
    <row r="441" spans="1:24" x14ac:dyDescent="0.25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</row>
    <row r="442" spans="1:24" x14ac:dyDescent="0.25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</row>
    <row r="443" spans="1:24" x14ac:dyDescent="0.25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</row>
    <row r="444" spans="1:24" x14ac:dyDescent="0.25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</row>
    <row r="445" spans="1:24" x14ac:dyDescent="0.2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</row>
    <row r="446" spans="1:24" x14ac:dyDescent="0.25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</row>
    <row r="447" spans="1:24" x14ac:dyDescent="0.25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</row>
    <row r="448" spans="1:24" x14ac:dyDescent="0.25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</row>
    <row r="449" spans="1:24" x14ac:dyDescent="0.25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</row>
    <row r="450" spans="1:24" x14ac:dyDescent="0.25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</row>
    <row r="451" spans="1:24" x14ac:dyDescent="0.25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</row>
    <row r="452" spans="1:24" x14ac:dyDescent="0.25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</row>
    <row r="453" spans="1:24" x14ac:dyDescent="0.25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</row>
    <row r="454" spans="1:24" x14ac:dyDescent="0.25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</row>
    <row r="455" spans="1:24" x14ac:dyDescent="0.2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</row>
    <row r="456" spans="1:24" x14ac:dyDescent="0.25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</row>
    <row r="457" spans="1:24" x14ac:dyDescent="0.25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</row>
    <row r="458" spans="1:24" x14ac:dyDescent="0.25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</row>
    <row r="459" spans="1:24" x14ac:dyDescent="0.25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</row>
    <row r="460" spans="1:24" x14ac:dyDescent="0.25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</row>
    <row r="461" spans="1:24" x14ac:dyDescent="0.25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</row>
    <row r="462" spans="1:24" x14ac:dyDescent="0.25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</row>
    <row r="463" spans="1:24" x14ac:dyDescent="0.25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</row>
    <row r="464" spans="1:24" x14ac:dyDescent="0.25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</row>
    <row r="465" spans="1:24" x14ac:dyDescent="0.2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</row>
    <row r="466" spans="1:24" x14ac:dyDescent="0.25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</row>
    <row r="467" spans="1:24" x14ac:dyDescent="0.25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</row>
    <row r="468" spans="1:24" x14ac:dyDescent="0.25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</row>
    <row r="469" spans="1:24" x14ac:dyDescent="0.25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</row>
    <row r="470" spans="1:24" x14ac:dyDescent="0.25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</row>
    <row r="471" spans="1:24" x14ac:dyDescent="0.25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</row>
    <row r="472" spans="1:24" x14ac:dyDescent="0.25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</row>
    <row r="473" spans="1:24" x14ac:dyDescent="0.25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</row>
    <row r="474" spans="1:24" x14ac:dyDescent="0.25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</row>
    <row r="475" spans="1:24" x14ac:dyDescent="0.2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</row>
    <row r="476" spans="1:24" x14ac:dyDescent="0.25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</row>
    <row r="477" spans="1:24" x14ac:dyDescent="0.25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</row>
    <row r="478" spans="1:24" x14ac:dyDescent="0.25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</row>
    <row r="479" spans="1:24" x14ac:dyDescent="0.25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</row>
    <row r="480" spans="1:24" x14ac:dyDescent="0.25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</row>
    <row r="481" spans="1:24" x14ac:dyDescent="0.25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</row>
    <row r="482" spans="1:24" x14ac:dyDescent="0.25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</row>
    <row r="483" spans="1:24" x14ac:dyDescent="0.25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</row>
    <row r="484" spans="1:24" x14ac:dyDescent="0.25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</row>
    <row r="485" spans="1:24" x14ac:dyDescent="0.2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</row>
    <row r="486" spans="1:24" x14ac:dyDescent="0.25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</row>
    <row r="487" spans="1:24" x14ac:dyDescent="0.25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</row>
    <row r="488" spans="1:24" x14ac:dyDescent="0.25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</row>
    <row r="489" spans="1:24" x14ac:dyDescent="0.25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</row>
    <row r="490" spans="1:24" x14ac:dyDescent="0.25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</row>
    <row r="491" spans="1:24" x14ac:dyDescent="0.25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</row>
    <row r="492" spans="1:24" x14ac:dyDescent="0.25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</row>
    <row r="493" spans="1:24" x14ac:dyDescent="0.25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</row>
    <row r="494" spans="1:24" x14ac:dyDescent="0.25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</row>
    <row r="495" spans="1:24" x14ac:dyDescent="0.2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</row>
    <row r="496" spans="1:24" x14ac:dyDescent="0.25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</row>
    <row r="497" spans="1:24" x14ac:dyDescent="0.25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</row>
    <row r="498" spans="1:24" x14ac:dyDescent="0.25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</row>
    <row r="499" spans="1:24" x14ac:dyDescent="0.25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</row>
    <row r="500" spans="1:24" x14ac:dyDescent="0.25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</row>
    <row r="501" spans="1:24" x14ac:dyDescent="0.25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</row>
    <row r="502" spans="1:24" x14ac:dyDescent="0.25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</row>
    <row r="503" spans="1:24" x14ac:dyDescent="0.25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</row>
    <row r="504" spans="1:24" x14ac:dyDescent="0.25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</row>
    <row r="505" spans="1:24" x14ac:dyDescent="0.2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</row>
    <row r="506" spans="1:24" x14ac:dyDescent="0.25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</row>
    <row r="507" spans="1:24" x14ac:dyDescent="0.25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</row>
    <row r="508" spans="1:24" x14ac:dyDescent="0.25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</row>
    <row r="509" spans="1:24" x14ac:dyDescent="0.25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</row>
    <row r="510" spans="1:24" x14ac:dyDescent="0.25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</row>
    <row r="511" spans="1:24" x14ac:dyDescent="0.25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</row>
    <row r="512" spans="1:24" x14ac:dyDescent="0.25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</row>
    <row r="513" spans="1:24" x14ac:dyDescent="0.25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</row>
    <row r="514" spans="1:24" x14ac:dyDescent="0.25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</row>
    <row r="515" spans="1:24" x14ac:dyDescent="0.2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</row>
    <row r="516" spans="1:24" x14ac:dyDescent="0.25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</row>
    <row r="517" spans="1:24" x14ac:dyDescent="0.25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</row>
    <row r="518" spans="1:24" x14ac:dyDescent="0.25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</row>
    <row r="519" spans="1:24" x14ac:dyDescent="0.25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</row>
    <row r="520" spans="1:24" x14ac:dyDescent="0.25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</row>
    <row r="521" spans="1:24" x14ac:dyDescent="0.25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</row>
    <row r="522" spans="1:24" x14ac:dyDescent="0.25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</row>
    <row r="523" spans="1:24" x14ac:dyDescent="0.25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</row>
    <row r="524" spans="1:24" x14ac:dyDescent="0.25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</row>
    <row r="525" spans="1:24" x14ac:dyDescent="0.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</row>
    <row r="526" spans="1:24" x14ac:dyDescent="0.25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</row>
    <row r="527" spans="1:24" x14ac:dyDescent="0.25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</row>
    <row r="528" spans="1:24" x14ac:dyDescent="0.25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</row>
    <row r="529" spans="1:24" x14ac:dyDescent="0.25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</row>
    <row r="530" spans="1:24" x14ac:dyDescent="0.25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</row>
    <row r="531" spans="1:24" x14ac:dyDescent="0.25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</row>
    <row r="532" spans="1:24" x14ac:dyDescent="0.25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</row>
    <row r="533" spans="1:24" x14ac:dyDescent="0.25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</row>
    <row r="534" spans="1:24" x14ac:dyDescent="0.25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</row>
    <row r="535" spans="1:24" x14ac:dyDescent="0.2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</row>
    <row r="536" spans="1:24" x14ac:dyDescent="0.25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</row>
    <row r="537" spans="1:24" x14ac:dyDescent="0.25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</row>
    <row r="538" spans="1:24" x14ac:dyDescent="0.25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</row>
    <row r="539" spans="1:24" x14ac:dyDescent="0.25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</row>
    <row r="540" spans="1:24" x14ac:dyDescent="0.25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</row>
    <row r="541" spans="1:24" x14ac:dyDescent="0.25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</row>
    <row r="542" spans="1:24" x14ac:dyDescent="0.25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</row>
    <row r="543" spans="1:24" x14ac:dyDescent="0.25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</row>
    <row r="544" spans="1:24" x14ac:dyDescent="0.25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</row>
    <row r="545" spans="1:24" x14ac:dyDescent="0.2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</row>
    <row r="546" spans="1:24" x14ac:dyDescent="0.25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</row>
    <row r="547" spans="1:24" x14ac:dyDescent="0.25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</row>
    <row r="548" spans="1:24" x14ac:dyDescent="0.25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</row>
    <row r="549" spans="1:24" x14ac:dyDescent="0.25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</row>
    <row r="550" spans="1:24" x14ac:dyDescent="0.25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</row>
    <row r="551" spans="1:24" x14ac:dyDescent="0.25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</row>
    <row r="552" spans="1:24" x14ac:dyDescent="0.25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</row>
    <row r="553" spans="1:24" x14ac:dyDescent="0.25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</row>
    <row r="554" spans="1:24" x14ac:dyDescent="0.25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</row>
    <row r="555" spans="1:24" x14ac:dyDescent="0.2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</row>
    <row r="556" spans="1:24" x14ac:dyDescent="0.25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</row>
    <row r="557" spans="1:24" x14ac:dyDescent="0.25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</row>
    <row r="558" spans="1:24" x14ac:dyDescent="0.25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</row>
    <row r="559" spans="1:24" x14ac:dyDescent="0.25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</row>
    <row r="560" spans="1:24" x14ac:dyDescent="0.25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</row>
    <row r="561" spans="1:24" x14ac:dyDescent="0.25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</row>
    <row r="562" spans="1:24" x14ac:dyDescent="0.25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</row>
    <row r="563" spans="1:24" x14ac:dyDescent="0.25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</row>
    <row r="564" spans="1:24" x14ac:dyDescent="0.25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</row>
    <row r="565" spans="1:24" x14ac:dyDescent="0.2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</row>
    <row r="566" spans="1:24" x14ac:dyDescent="0.25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</row>
    <row r="567" spans="1:24" x14ac:dyDescent="0.25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</row>
    <row r="568" spans="1:24" x14ac:dyDescent="0.25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</row>
    <row r="569" spans="1:24" x14ac:dyDescent="0.25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</row>
    <row r="570" spans="1:24" x14ac:dyDescent="0.25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</row>
    <row r="571" spans="1:24" x14ac:dyDescent="0.25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</row>
    <row r="572" spans="1:24" x14ac:dyDescent="0.25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</row>
    <row r="573" spans="1:24" x14ac:dyDescent="0.25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</row>
    <row r="574" spans="1:24" x14ac:dyDescent="0.25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</row>
    <row r="575" spans="1:24" x14ac:dyDescent="0.2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</row>
    <row r="576" spans="1:24" x14ac:dyDescent="0.25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</row>
    <row r="577" spans="1:24" x14ac:dyDescent="0.25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</row>
    <row r="578" spans="1:24" x14ac:dyDescent="0.25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</row>
    <row r="579" spans="1:24" x14ac:dyDescent="0.25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</row>
    <row r="580" spans="1:24" x14ac:dyDescent="0.25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</row>
    <row r="581" spans="1:24" x14ac:dyDescent="0.25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</row>
    <row r="582" spans="1:24" x14ac:dyDescent="0.25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</row>
    <row r="583" spans="1:24" x14ac:dyDescent="0.25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</row>
    <row r="584" spans="1:24" x14ac:dyDescent="0.25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</row>
    <row r="585" spans="1:24" x14ac:dyDescent="0.2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</row>
    <row r="586" spans="1:24" x14ac:dyDescent="0.25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</row>
    <row r="587" spans="1:24" x14ac:dyDescent="0.25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</row>
    <row r="588" spans="1:24" x14ac:dyDescent="0.25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</row>
    <row r="589" spans="1:24" x14ac:dyDescent="0.25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</row>
    <row r="590" spans="1:24" x14ac:dyDescent="0.25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</row>
    <row r="591" spans="1:24" x14ac:dyDescent="0.25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</row>
    <row r="592" spans="1:24" x14ac:dyDescent="0.25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</row>
    <row r="593" spans="1:24" x14ac:dyDescent="0.25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</row>
    <row r="594" spans="1:24" x14ac:dyDescent="0.25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</row>
    <row r="595" spans="1:24" x14ac:dyDescent="0.2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</row>
    <row r="596" spans="1:24" x14ac:dyDescent="0.25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</row>
    <row r="597" spans="1:24" x14ac:dyDescent="0.25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</row>
    <row r="598" spans="1:24" x14ac:dyDescent="0.25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</row>
    <row r="599" spans="1:24" x14ac:dyDescent="0.25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</row>
    <row r="600" spans="1:24" x14ac:dyDescent="0.25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</row>
    <row r="601" spans="1:24" x14ac:dyDescent="0.25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</row>
    <row r="602" spans="1:24" x14ac:dyDescent="0.25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</row>
    <row r="603" spans="1:24" x14ac:dyDescent="0.25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</row>
    <row r="604" spans="1:24" x14ac:dyDescent="0.25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</row>
    <row r="605" spans="1:24" x14ac:dyDescent="0.2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</row>
    <row r="606" spans="1:24" x14ac:dyDescent="0.25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</row>
    <row r="607" spans="1:24" x14ac:dyDescent="0.25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</row>
    <row r="608" spans="1:24" x14ac:dyDescent="0.25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</row>
    <row r="609" spans="1:24" x14ac:dyDescent="0.25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</row>
    <row r="610" spans="1:24" x14ac:dyDescent="0.25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</row>
    <row r="611" spans="1:24" x14ac:dyDescent="0.25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</row>
    <row r="612" spans="1:24" x14ac:dyDescent="0.25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</row>
    <row r="613" spans="1:24" x14ac:dyDescent="0.25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</row>
    <row r="614" spans="1:24" x14ac:dyDescent="0.25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</row>
    <row r="615" spans="1:24" x14ac:dyDescent="0.2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</row>
    <row r="616" spans="1:24" x14ac:dyDescent="0.25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</row>
    <row r="617" spans="1:24" x14ac:dyDescent="0.25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</row>
    <row r="618" spans="1:24" x14ac:dyDescent="0.25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</row>
    <row r="619" spans="1:24" x14ac:dyDescent="0.25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</row>
    <row r="620" spans="1:24" x14ac:dyDescent="0.25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</row>
    <row r="621" spans="1:24" x14ac:dyDescent="0.25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</row>
    <row r="622" spans="1:24" x14ac:dyDescent="0.25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</row>
    <row r="623" spans="1:24" x14ac:dyDescent="0.25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</row>
    <row r="624" spans="1:24" x14ac:dyDescent="0.25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</row>
    <row r="625" spans="1:24" x14ac:dyDescent="0.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</row>
    <row r="626" spans="1:24" x14ac:dyDescent="0.25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</row>
    <row r="627" spans="1:24" x14ac:dyDescent="0.25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</row>
    <row r="628" spans="1:24" x14ac:dyDescent="0.25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</row>
    <row r="629" spans="1:24" x14ac:dyDescent="0.25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</row>
    <row r="630" spans="1:24" x14ac:dyDescent="0.25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</row>
    <row r="631" spans="1:24" x14ac:dyDescent="0.25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</row>
    <row r="632" spans="1:24" x14ac:dyDescent="0.25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</row>
    <row r="633" spans="1:24" x14ac:dyDescent="0.25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</row>
    <row r="634" spans="1:24" x14ac:dyDescent="0.25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</row>
    <row r="635" spans="1:24" x14ac:dyDescent="0.25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</row>
    <row r="636" spans="1:24" x14ac:dyDescent="0.25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</row>
    <row r="637" spans="1:24" x14ac:dyDescent="0.25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</row>
    <row r="638" spans="1:24" x14ac:dyDescent="0.25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</row>
    <row r="639" spans="1:24" x14ac:dyDescent="0.25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</row>
    <row r="640" spans="1:24" x14ac:dyDescent="0.25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</row>
    <row r="641" spans="1:24" x14ac:dyDescent="0.25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</row>
    <row r="642" spans="1:24" x14ac:dyDescent="0.25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</row>
    <row r="643" spans="1:24" x14ac:dyDescent="0.25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</row>
    <row r="644" spans="1:24" x14ac:dyDescent="0.25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</row>
    <row r="645" spans="1:24" x14ac:dyDescent="0.25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</row>
    <row r="646" spans="1:24" x14ac:dyDescent="0.25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</row>
    <row r="647" spans="1:24" x14ac:dyDescent="0.25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</row>
    <row r="648" spans="1:24" x14ac:dyDescent="0.25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</row>
    <row r="649" spans="1:24" x14ac:dyDescent="0.25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</row>
    <row r="650" spans="1:24" x14ac:dyDescent="0.25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</row>
    <row r="651" spans="1:24" x14ac:dyDescent="0.25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</row>
    <row r="652" spans="1:24" x14ac:dyDescent="0.25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</row>
    <row r="653" spans="1:24" x14ac:dyDescent="0.25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</row>
    <row r="654" spans="1:24" x14ac:dyDescent="0.25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</row>
    <row r="655" spans="1:24" x14ac:dyDescent="0.25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</row>
    <row r="656" spans="1:24" x14ac:dyDescent="0.25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</row>
    <row r="657" spans="1:24" x14ac:dyDescent="0.25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</row>
    <row r="658" spans="1:24" x14ac:dyDescent="0.25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</row>
    <row r="659" spans="1:24" x14ac:dyDescent="0.25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</row>
    <row r="660" spans="1:24" x14ac:dyDescent="0.25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</row>
    <row r="661" spans="1:24" x14ac:dyDescent="0.25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</row>
    <row r="662" spans="1:24" x14ac:dyDescent="0.25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</row>
    <row r="663" spans="1:24" x14ac:dyDescent="0.25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</row>
    <row r="664" spans="1:24" x14ac:dyDescent="0.25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</row>
    <row r="665" spans="1:24" x14ac:dyDescent="0.25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</row>
    <row r="666" spans="1:24" x14ac:dyDescent="0.25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</row>
    <row r="667" spans="1:24" x14ac:dyDescent="0.25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</row>
    <row r="668" spans="1:24" x14ac:dyDescent="0.25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</row>
    <row r="669" spans="1:24" x14ac:dyDescent="0.25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</row>
    <row r="670" spans="1:24" x14ac:dyDescent="0.25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</row>
    <row r="671" spans="1:24" x14ac:dyDescent="0.25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</row>
    <row r="672" spans="1:24" x14ac:dyDescent="0.25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</row>
    <row r="673" spans="1:24" x14ac:dyDescent="0.25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</row>
    <row r="674" spans="1:24" x14ac:dyDescent="0.25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</row>
    <row r="675" spans="1:24" x14ac:dyDescent="0.25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</row>
  </sheetData>
  <mergeCells count="2">
    <mergeCell ref="J8:K8"/>
    <mergeCell ref="J9:K9"/>
  </mergeCells>
  <pageMargins left="0.75" right="0.5" top="0.5" bottom="0.5" header="0.5" footer="0.5"/>
  <pageSetup scale="56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15" width="10.5703125" style="2" customWidth="1"/>
    <col min="16" max="16" width="11.42578125" style="2" bestFit="1" customWidth="1"/>
    <col min="17" max="17" width="10.5703125" style="1" customWidth="1"/>
    <col min="18" max="29" width="10.5703125" style="204" customWidth="1"/>
    <col min="30" max="50" width="10.5703125" style="17" customWidth="1"/>
    <col min="51" max="63" width="10.5703125" style="2" customWidth="1"/>
    <col min="64" max="67" width="9.5703125" style="2" customWidth="1"/>
    <col min="68" max="16384" width="12.5703125" style="2"/>
  </cols>
  <sheetData>
    <row r="1" spans="1:9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70"/>
      <c r="Q1" s="70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70"/>
      <c r="Q2" s="70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</row>
    <row r="3" spans="1:9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1" t="s">
        <v>611</v>
      </c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</row>
    <row r="4" spans="1:91" x14ac:dyDescent="0.2">
      <c r="A4" s="7"/>
      <c r="B4" s="1"/>
      <c r="C4" s="19"/>
      <c r="D4" s="18"/>
      <c r="E4" s="18"/>
      <c r="F4" s="18"/>
      <c r="G4" s="18"/>
      <c r="H4" s="18"/>
      <c r="I4" s="18"/>
      <c r="J4" s="4" t="s">
        <v>93</v>
      </c>
      <c r="K4" s="18"/>
      <c r="L4" s="18"/>
      <c r="M4" s="18"/>
      <c r="N4" s="18"/>
      <c r="O4" s="18"/>
      <c r="P4" s="71"/>
      <c r="Q4" s="71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</row>
    <row r="5" spans="1:91" x14ac:dyDescent="0.2">
      <c r="A5" s="7"/>
      <c r="B5" s="18"/>
      <c r="C5" s="19"/>
      <c r="D5" s="18"/>
      <c r="E5" s="18"/>
      <c r="F5" s="18"/>
      <c r="G5" s="18"/>
      <c r="H5" s="18"/>
      <c r="I5" s="18"/>
      <c r="J5" s="4" t="s">
        <v>304</v>
      </c>
      <c r="K5" s="18"/>
      <c r="L5" s="18"/>
      <c r="M5" s="18"/>
      <c r="N5" s="18"/>
      <c r="O5" s="18"/>
      <c r="P5" s="18"/>
      <c r="Q5" s="18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</row>
    <row r="6" spans="1:91" x14ac:dyDescent="0.2">
      <c r="A6" s="7"/>
      <c r="B6" s="18"/>
      <c r="C6" s="73"/>
      <c r="D6" s="18"/>
      <c r="E6" s="18"/>
      <c r="F6" s="18"/>
      <c r="G6" s="18"/>
      <c r="H6" s="18"/>
      <c r="I6" s="18"/>
      <c r="J6" s="4" t="str">
        <f>'Test Year Revenue Present'!G6</f>
        <v>TEST YEAR ENDING MAY, 31 2017</v>
      </c>
      <c r="K6" s="18"/>
      <c r="L6" s="18"/>
      <c r="M6" s="18"/>
      <c r="N6" s="18"/>
      <c r="O6" s="18"/>
      <c r="P6" s="18"/>
      <c r="Q6" s="18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124" t="s">
        <v>402</v>
      </c>
      <c r="K7" s="1"/>
      <c r="L7" s="1"/>
      <c r="M7" s="1"/>
      <c r="N7" s="1"/>
      <c r="O7" s="1"/>
      <c r="P7" s="1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</row>
    <row r="8" spans="1:91" x14ac:dyDescent="0.2">
      <c r="A8" s="7" t="s">
        <v>12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4" t="s">
        <v>19</v>
      </c>
      <c r="Q8" s="4" t="s">
        <v>19</v>
      </c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</row>
    <row r="9" spans="1:91" x14ac:dyDescent="0.2">
      <c r="A9" s="8" t="s">
        <v>17</v>
      </c>
      <c r="B9" s="9" t="s">
        <v>27</v>
      </c>
      <c r="C9" s="10" t="s">
        <v>6</v>
      </c>
      <c r="D9" s="65">
        <f>'Summary of Revenue'!T7</f>
        <v>42551</v>
      </c>
      <c r="E9" s="65">
        <f>'Summary of Revenue'!U7</f>
        <v>42582</v>
      </c>
      <c r="F9" s="65">
        <f>'Summary of Revenue'!V7</f>
        <v>42613</v>
      </c>
      <c r="G9" s="65">
        <f>'Summary of Revenue'!W7</f>
        <v>42643</v>
      </c>
      <c r="H9" s="65">
        <f>'Summary of Revenue'!X7</f>
        <v>42674</v>
      </c>
      <c r="I9" s="65">
        <f>'Summary of Revenue'!Y7</f>
        <v>42704</v>
      </c>
      <c r="J9" s="65">
        <f>'Summary of Revenue'!Z7</f>
        <v>42735</v>
      </c>
      <c r="K9" s="65">
        <f>'Summary of Revenue'!AA7</f>
        <v>42766</v>
      </c>
      <c r="L9" s="65">
        <f>'Summary of Revenue'!AB7</f>
        <v>42794</v>
      </c>
      <c r="M9" s="65">
        <f>'Summary of Revenue'!AC7</f>
        <v>42825</v>
      </c>
      <c r="N9" s="65">
        <f>'Summary of Revenue'!AD7</f>
        <v>42855</v>
      </c>
      <c r="O9" s="65">
        <f>'Summary of Revenue'!AE7</f>
        <v>42886</v>
      </c>
      <c r="P9" s="65" t="s">
        <v>358</v>
      </c>
      <c r="Q9" s="65" t="s">
        <v>22</v>
      </c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</row>
    <row r="10" spans="1:91" x14ac:dyDescent="0.2">
      <c r="A10" s="1"/>
      <c r="B10" s="81"/>
      <c r="C10" s="81"/>
      <c r="D10" s="81" t="s">
        <v>13</v>
      </c>
      <c r="E10" s="81" t="s">
        <v>14</v>
      </c>
      <c r="F10" s="4" t="s">
        <v>15</v>
      </c>
      <c r="G10" s="94" t="s">
        <v>16</v>
      </c>
      <c r="H10" s="95" t="s">
        <v>108</v>
      </c>
      <c r="I10" s="95" t="s">
        <v>109</v>
      </c>
      <c r="J10" s="95" t="s">
        <v>110</v>
      </c>
      <c r="K10" s="95" t="s">
        <v>111</v>
      </c>
      <c r="L10" s="95" t="s">
        <v>112</v>
      </c>
      <c r="M10" s="95" t="s">
        <v>113</v>
      </c>
      <c r="N10" s="95" t="s">
        <v>114</v>
      </c>
      <c r="O10" s="95" t="s">
        <v>115</v>
      </c>
      <c r="P10" s="95" t="s">
        <v>116</v>
      </c>
      <c r="Q10" s="95" t="s">
        <v>245</v>
      </c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</row>
    <row r="11" spans="1:91" x14ac:dyDescent="0.2">
      <c r="A11" s="1"/>
      <c r="B11" s="1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9"/>
      <c r="Q11" s="44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</row>
    <row r="12" spans="1:91" x14ac:dyDescent="0.2">
      <c r="A12" s="4">
        <v>1</v>
      </c>
      <c r="B12" s="35" t="s">
        <v>30</v>
      </c>
      <c r="C12" s="15"/>
      <c r="D12" s="101">
        <f t="shared" ref="D12:O12" si="0">D13*$C$13+D14*$C$14+D15*$C$15+D16*$C$16</f>
        <v>3202466.8729629368</v>
      </c>
      <c r="E12" s="101">
        <f t="shared" si="0"/>
        <v>3089146.5995157785</v>
      </c>
      <c r="F12" s="101">
        <f t="shared" si="0"/>
        <v>3040061.4932626849</v>
      </c>
      <c r="G12" s="101">
        <f t="shared" si="0"/>
        <v>3040897.078364295</v>
      </c>
      <c r="H12" s="101">
        <f t="shared" si="0"/>
        <v>3333336.6840759725</v>
      </c>
      <c r="I12" s="101">
        <f t="shared" si="0"/>
        <v>4272760.9104470257</v>
      </c>
      <c r="J12" s="101">
        <f t="shared" si="0"/>
        <v>5457959.6548247151</v>
      </c>
      <c r="K12" s="101">
        <f t="shared" si="0"/>
        <v>5905503.5534777828</v>
      </c>
      <c r="L12" s="101">
        <f t="shared" si="0"/>
        <v>5532906.8018265367</v>
      </c>
      <c r="M12" s="101">
        <f t="shared" si="0"/>
        <v>5788934.236387955</v>
      </c>
      <c r="N12" s="101">
        <f t="shared" si="0"/>
        <v>4335397.8305750852</v>
      </c>
      <c r="O12" s="101">
        <f t="shared" si="0"/>
        <v>3533484.548819249</v>
      </c>
      <c r="P12" s="101">
        <f>SUM(D12:O12)</f>
        <v>50532856.264540017</v>
      </c>
      <c r="Q12" s="101"/>
      <c r="S12" s="206">
        <f>(P12+P19)/P13</f>
        <v>52.176974014822086</v>
      </c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29"/>
      <c r="BM12" s="129"/>
      <c r="BN12" s="129"/>
      <c r="BO12" s="129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</row>
    <row r="13" spans="1:91" x14ac:dyDescent="0.2">
      <c r="A13" s="4">
        <v>2</v>
      </c>
      <c r="B13" s="1" t="s">
        <v>23</v>
      </c>
      <c r="C13" s="11">
        <f>'Rate Design'!G12</f>
        <v>18.25</v>
      </c>
      <c r="D13" s="70">
        <f>'Monthly Forecast'!Y12</f>
        <v>156693</v>
      </c>
      <c r="E13" s="70">
        <f>'Monthly Forecast'!Z12</f>
        <v>154693</v>
      </c>
      <c r="F13" s="70">
        <f>'Monthly Forecast'!AA12</f>
        <v>152235</v>
      </c>
      <c r="G13" s="70">
        <f>'Monthly Forecast'!AB12</f>
        <v>151812</v>
      </c>
      <c r="H13" s="70">
        <f>'Monthly Forecast'!AC12</f>
        <v>153319</v>
      </c>
      <c r="I13" s="70">
        <f>'Monthly Forecast'!AD12</f>
        <v>153194</v>
      </c>
      <c r="J13" s="70">
        <f>'Monthly Forecast'!AE12</f>
        <v>158720</v>
      </c>
      <c r="K13" s="70">
        <f>'Monthly Forecast'!AF12</f>
        <v>158673</v>
      </c>
      <c r="L13" s="70">
        <f>'Monthly Forecast'!AG12</f>
        <v>141981</v>
      </c>
      <c r="M13" s="70">
        <f>'Monthly Forecast'!AH12</f>
        <v>176169</v>
      </c>
      <c r="N13" s="70">
        <f>'Monthly Forecast'!AI12</f>
        <v>159039</v>
      </c>
      <c r="O13" s="70">
        <f>'Monthly Forecast'!AJ12</f>
        <v>157509</v>
      </c>
      <c r="P13" s="70">
        <f>ROUND((SUM(D13:O13)),0)</f>
        <v>1874037</v>
      </c>
      <c r="Q13" s="70">
        <f>ROUND(P13*C13,0)</f>
        <v>34201175</v>
      </c>
      <c r="S13" s="357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35"/>
      <c r="BM13" s="135"/>
      <c r="BN13" s="135"/>
      <c r="BO13" s="135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</row>
    <row r="14" spans="1:91" x14ac:dyDescent="0.2">
      <c r="A14" s="4">
        <v>3</v>
      </c>
      <c r="B14" s="1" t="s">
        <v>24</v>
      </c>
      <c r="C14" s="14">
        <f>'Rate Design'!G19</f>
        <v>1.58</v>
      </c>
      <c r="D14" s="70">
        <f>'Monthly Forecast'!Y13</f>
        <v>216974.44491325098</v>
      </c>
      <c r="E14" s="70">
        <f>'Monthly Forecast'!Z13</f>
        <v>168354.01868087237</v>
      </c>
      <c r="F14" s="70">
        <f>'Monthly Forecast'!AA13</f>
        <v>165678.95143207905</v>
      </c>
      <c r="G14" s="70">
        <f>'Monthly Forecast'!AB13</f>
        <v>171093.72048373095</v>
      </c>
      <c r="H14" s="70">
        <f>'Monthly Forecast'!AC13</f>
        <v>338775.27473162819</v>
      </c>
      <c r="I14" s="70">
        <f>'Monthly Forecast'!AD13</f>
        <v>934791.39901710465</v>
      </c>
      <c r="J14" s="70">
        <f>'Monthly Forecast'!AE13</f>
        <v>1621088.3891295667</v>
      </c>
      <c r="K14" s="70">
        <f>'Monthly Forecast'!AF13</f>
        <v>1904886.9009353057</v>
      </c>
      <c r="L14" s="70">
        <f>'Monthly Forecast'!AG13</f>
        <v>1861869.3365990738</v>
      </c>
      <c r="M14" s="70">
        <f>'Monthly Forecast'!AH13</f>
        <v>1629018.978726554</v>
      </c>
      <c r="N14" s="70">
        <f>'Monthly Forecast'!AI13</f>
        <v>906921.56998423114</v>
      </c>
      <c r="O14" s="70">
        <f>'Monthly Forecast'!AJ13</f>
        <v>417053.98659446143</v>
      </c>
      <c r="P14" s="70">
        <f>SUM(D14:O14)</f>
        <v>10336506.97122786</v>
      </c>
      <c r="Q14" s="70">
        <f t="shared" ref="Q14:Q16" si="1">ROUND(P14*C14,0)</f>
        <v>16331681</v>
      </c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</row>
    <row r="15" spans="1:91" x14ac:dyDescent="0.2">
      <c r="A15" s="4">
        <v>4</v>
      </c>
      <c r="B15" s="1" t="s">
        <v>25</v>
      </c>
      <c r="C15" s="14">
        <f>'Rate Design'!G20</f>
        <v>1.01</v>
      </c>
      <c r="D15" s="70">
        <f>'Monthly Forecast'!Y14</f>
        <v>0</v>
      </c>
      <c r="E15" s="70">
        <f>'Monthly Forecast'!Z14</f>
        <v>0</v>
      </c>
      <c r="F15" s="70">
        <f>'Monthly Forecast'!AA14</f>
        <v>0</v>
      </c>
      <c r="G15" s="70">
        <f>'Monthly Forecast'!AB14</f>
        <v>0</v>
      </c>
      <c r="H15" s="70">
        <f>'Monthly Forecast'!AC14</f>
        <v>0</v>
      </c>
      <c r="I15" s="70">
        <f>'Monthly Forecast'!AD14</f>
        <v>0</v>
      </c>
      <c r="J15" s="70">
        <f>'Monthly Forecast'!AE14</f>
        <v>0</v>
      </c>
      <c r="K15" s="70">
        <f>'Monthly Forecast'!AF14</f>
        <v>0</v>
      </c>
      <c r="L15" s="70">
        <f>'Monthly Forecast'!AG14</f>
        <v>0</v>
      </c>
      <c r="M15" s="70">
        <f>'Monthly Forecast'!AH14</f>
        <v>0</v>
      </c>
      <c r="N15" s="70">
        <f>'Monthly Forecast'!AI14</f>
        <v>0</v>
      </c>
      <c r="O15" s="70">
        <f>'Monthly Forecast'!AJ14</f>
        <v>0</v>
      </c>
      <c r="P15" s="70">
        <f>SUM(D15:O15)</f>
        <v>0</v>
      </c>
      <c r="Q15" s="70">
        <f t="shared" si="1"/>
        <v>0</v>
      </c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</row>
    <row r="16" spans="1:91" x14ac:dyDescent="0.2">
      <c r="A16" s="4">
        <v>5</v>
      </c>
      <c r="B16" s="1" t="s">
        <v>81</v>
      </c>
      <c r="C16" s="14">
        <f>'Rate Design'!G21</f>
        <v>0.7228</v>
      </c>
      <c r="D16" s="70">
        <f>'Monthly Forecast'!Y15</f>
        <v>0</v>
      </c>
      <c r="E16" s="70">
        <f>'Monthly Forecast'!Z15</f>
        <v>0</v>
      </c>
      <c r="F16" s="70">
        <f>'Monthly Forecast'!AA15</f>
        <v>0</v>
      </c>
      <c r="G16" s="70">
        <f>'Monthly Forecast'!AB15</f>
        <v>0</v>
      </c>
      <c r="H16" s="70">
        <f>'Monthly Forecast'!AC15</f>
        <v>0</v>
      </c>
      <c r="I16" s="70">
        <f>'Monthly Forecast'!AD15</f>
        <v>0</v>
      </c>
      <c r="J16" s="70">
        <f>'Monthly Forecast'!AE15</f>
        <v>0</v>
      </c>
      <c r="K16" s="70">
        <f>'Monthly Forecast'!AF15</f>
        <v>0</v>
      </c>
      <c r="L16" s="70">
        <f>'Monthly Forecast'!AG15</f>
        <v>0</v>
      </c>
      <c r="M16" s="70">
        <f>'Monthly Forecast'!AH15</f>
        <v>0</v>
      </c>
      <c r="N16" s="70">
        <f>'Monthly Forecast'!AI15</f>
        <v>0</v>
      </c>
      <c r="O16" s="70">
        <f>'Monthly Forecast'!AJ15</f>
        <v>0</v>
      </c>
      <c r="P16" s="70">
        <f>SUM(D16:O16)</f>
        <v>0</v>
      </c>
      <c r="Q16" s="70">
        <f t="shared" si="1"/>
        <v>0</v>
      </c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</row>
    <row r="17" spans="1:91" x14ac:dyDescent="0.2">
      <c r="A17" s="4">
        <v>6</v>
      </c>
      <c r="B17" s="32" t="s">
        <v>79</v>
      </c>
      <c r="C17" s="32"/>
      <c r="D17" s="31">
        <f t="shared" ref="D17:P17" si="2">D14+D15+D16</f>
        <v>216974.44491325098</v>
      </c>
      <c r="E17" s="31">
        <f t="shared" si="2"/>
        <v>168354.01868087237</v>
      </c>
      <c r="F17" s="31">
        <f t="shared" si="2"/>
        <v>165678.95143207905</v>
      </c>
      <c r="G17" s="31">
        <f t="shared" si="2"/>
        <v>171093.72048373095</v>
      </c>
      <c r="H17" s="31">
        <f t="shared" si="2"/>
        <v>338775.27473162819</v>
      </c>
      <c r="I17" s="31">
        <f t="shared" si="2"/>
        <v>934791.39901710465</v>
      </c>
      <c r="J17" s="31">
        <f t="shared" si="2"/>
        <v>1621088.3891295667</v>
      </c>
      <c r="K17" s="31">
        <f t="shared" si="2"/>
        <v>1904886.9009353057</v>
      </c>
      <c r="L17" s="31">
        <f t="shared" si="2"/>
        <v>1861869.3365990738</v>
      </c>
      <c r="M17" s="31">
        <f t="shared" si="2"/>
        <v>1629018.978726554</v>
      </c>
      <c r="N17" s="31">
        <f t="shared" si="2"/>
        <v>906921.56998423114</v>
      </c>
      <c r="O17" s="31">
        <f t="shared" si="2"/>
        <v>417053.98659446143</v>
      </c>
      <c r="P17" s="31">
        <f t="shared" si="2"/>
        <v>10336506.97122786</v>
      </c>
      <c r="Q17" s="31">
        <f>SUM(Q13:Q16)</f>
        <v>50532856</v>
      </c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</row>
    <row r="18" spans="1:91" x14ac:dyDescent="0.2">
      <c r="A18" s="4">
        <v>7</v>
      </c>
      <c r="B18" s="16" t="s">
        <v>237</v>
      </c>
      <c r="C18" s="16"/>
      <c r="D18" s="93">
        <f>'Monthly Forecast'!Y17</f>
        <v>4.576446110502566</v>
      </c>
      <c r="E18" s="93">
        <f>'Monthly Forecast'!Z17</f>
        <v>4.576446110502566</v>
      </c>
      <c r="F18" s="93">
        <f>'Monthly Forecast'!AA17</f>
        <v>4.6088710472168026</v>
      </c>
      <c r="G18" s="93">
        <f>'Monthly Forecast'!AB17</f>
        <v>4.6088710472168026</v>
      </c>
      <c r="H18" s="93">
        <f>'Monthly Forecast'!AC17</f>
        <v>4.6088710472168026</v>
      </c>
      <c r="I18" s="93">
        <f>'Monthly Forecast'!AD17</f>
        <v>4.5535112981864572</v>
      </c>
      <c r="J18" s="93">
        <f>'Monthly Forecast'!AE17</f>
        <v>4.5535112981864572</v>
      </c>
      <c r="K18" s="93">
        <f>'Monthly Forecast'!AF17</f>
        <v>4.5535112981864572</v>
      </c>
      <c r="L18" s="93">
        <f>'Monthly Forecast'!AG17</f>
        <v>4.5576361502621516</v>
      </c>
      <c r="M18" s="93">
        <f>'Monthly Forecast'!AH17</f>
        <v>4.5576361502621516</v>
      </c>
      <c r="N18" s="93">
        <f>'Monthly Forecast'!AI17</f>
        <v>4.5576361502621516</v>
      </c>
      <c r="O18" s="93">
        <f>'Monthly Forecast'!AJ17</f>
        <v>4.83392198302381</v>
      </c>
      <c r="P18" s="93"/>
      <c r="Q18" s="93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</row>
    <row r="19" spans="1:91" x14ac:dyDescent="0.2">
      <c r="A19" s="4">
        <v>8</v>
      </c>
      <c r="B19" s="16" t="s">
        <v>229</v>
      </c>
      <c r="C19" s="17"/>
      <c r="D19" s="59">
        <f t="shared" ref="D19:O19" si="3">D18*D17</f>
        <v>992971.85450170073</v>
      </c>
      <c r="E19" s="59">
        <f t="shared" si="3"/>
        <v>770463.09397955472</v>
      </c>
      <c r="F19" s="59">
        <f t="shared" si="3"/>
        <v>763592.92238854792</v>
      </c>
      <c r="G19" s="59">
        <f t="shared" si="3"/>
        <v>788548.89469807199</v>
      </c>
      <c r="H19" s="59">
        <f t="shared" si="3"/>
        <v>1561371.5552235192</v>
      </c>
      <c r="I19" s="59">
        <f t="shared" si="3"/>
        <v>4256583.1968719102</v>
      </c>
      <c r="J19" s="59">
        <f t="shared" si="3"/>
        <v>7381644.2952603661</v>
      </c>
      <c r="K19" s="59">
        <f t="shared" si="3"/>
        <v>8673924.0251763016</v>
      </c>
      <c r="L19" s="59">
        <f t="shared" si="3"/>
        <v>8485722.9955485482</v>
      </c>
      <c r="M19" s="59">
        <f t="shared" si="3"/>
        <v>7424475.7869072733</v>
      </c>
      <c r="N19" s="59">
        <f t="shared" si="3"/>
        <v>4133418.5328126377</v>
      </c>
      <c r="O19" s="59">
        <f t="shared" si="3"/>
        <v>2016006.4339066844</v>
      </c>
      <c r="P19" s="59">
        <f>SUM(D19:O19)</f>
        <v>47248723.58727511</v>
      </c>
      <c r="Q19" s="38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</row>
    <row r="20" spans="1:91" x14ac:dyDescent="0.2">
      <c r="A20" s="4">
        <v>9</v>
      </c>
      <c r="C20" s="43"/>
      <c r="D20" s="34"/>
      <c r="P20" s="43"/>
      <c r="Q20" s="70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</row>
    <row r="21" spans="1:91" x14ac:dyDescent="0.2">
      <c r="A21" s="4">
        <v>10</v>
      </c>
      <c r="B21" s="35" t="s">
        <v>31</v>
      </c>
      <c r="C21" s="1"/>
      <c r="D21" s="101">
        <f t="shared" ref="D21:O21" si="4">D22*$C$22+D23*$C$23+D24*$C$24+D25*$C$25</f>
        <v>1038494.4191612644</v>
      </c>
      <c r="E21" s="101">
        <f t="shared" si="4"/>
        <v>1003101.3254154467</v>
      </c>
      <c r="F21" s="101">
        <f t="shared" si="4"/>
        <v>979721.65772281098</v>
      </c>
      <c r="G21" s="101">
        <f t="shared" si="4"/>
        <v>976035.13638501952</v>
      </c>
      <c r="H21" s="101">
        <f t="shared" si="4"/>
        <v>1065448.5961859927</v>
      </c>
      <c r="I21" s="101">
        <f t="shared" si="4"/>
        <v>1442006.321093597</v>
      </c>
      <c r="J21" s="101">
        <f t="shared" si="4"/>
        <v>1891364.6836348358</v>
      </c>
      <c r="K21" s="101">
        <f t="shared" si="4"/>
        <v>2063161.2698100309</v>
      </c>
      <c r="L21" s="101">
        <f t="shared" si="4"/>
        <v>1989667.0995042252</v>
      </c>
      <c r="M21" s="101">
        <f t="shared" si="4"/>
        <v>1947482.0168003445</v>
      </c>
      <c r="N21" s="101">
        <f t="shared" si="4"/>
        <v>1471728.0879704335</v>
      </c>
      <c r="O21" s="101">
        <f t="shared" si="4"/>
        <v>1158076.4438869911</v>
      </c>
      <c r="P21" s="101">
        <f>SUM(D21:O21)</f>
        <v>17026287.05757099</v>
      </c>
      <c r="Q21" s="101"/>
      <c r="S21" s="206">
        <f>(P21+P28)/P22</f>
        <v>194.02453370316189</v>
      </c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</row>
    <row r="22" spans="1:91" x14ac:dyDescent="0.2">
      <c r="A22" s="4">
        <v>11</v>
      </c>
      <c r="B22" s="1" t="s">
        <v>23</v>
      </c>
      <c r="C22" s="99">
        <f>'Rate Design'!G13</f>
        <v>45</v>
      </c>
      <c r="D22" s="70">
        <f>'Monthly Forecast'!Y21</f>
        <v>17239</v>
      </c>
      <c r="E22" s="70">
        <f>'Monthly Forecast'!Z21</f>
        <v>17099</v>
      </c>
      <c r="F22" s="70">
        <f>'Monthly Forecast'!AA21</f>
        <v>16768</v>
      </c>
      <c r="G22" s="70">
        <f>'Monthly Forecast'!AB21</f>
        <v>16763</v>
      </c>
      <c r="H22" s="70">
        <f>'Monthly Forecast'!AC21</f>
        <v>16900</v>
      </c>
      <c r="I22" s="70">
        <f>'Monthly Forecast'!AD21</f>
        <v>16920</v>
      </c>
      <c r="J22" s="70">
        <f>'Monthly Forecast'!AE21</f>
        <v>17698</v>
      </c>
      <c r="K22" s="70">
        <f>'Monthly Forecast'!AF21</f>
        <v>17809</v>
      </c>
      <c r="L22" s="70">
        <f>'Monthly Forecast'!AG21</f>
        <v>16330</v>
      </c>
      <c r="M22" s="70">
        <f>'Monthly Forecast'!AH21</f>
        <v>19213</v>
      </c>
      <c r="N22" s="70">
        <f>'Monthly Forecast'!AI21</f>
        <v>17745</v>
      </c>
      <c r="O22" s="70">
        <f>'Monthly Forecast'!AJ21</f>
        <v>17372</v>
      </c>
      <c r="P22" s="70">
        <f>ROUND((SUM(D22:O22)),0)</f>
        <v>207856</v>
      </c>
      <c r="Q22" s="70">
        <f t="shared" ref="Q22:Q25" si="5">ROUND(P22*C22,0)</f>
        <v>9353520</v>
      </c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</row>
    <row r="23" spans="1:91" x14ac:dyDescent="0.2">
      <c r="A23" s="4">
        <v>12</v>
      </c>
      <c r="B23" s="1" t="s">
        <v>24</v>
      </c>
      <c r="C23" s="14">
        <f>'Rate Design'!G19</f>
        <v>1.58</v>
      </c>
      <c r="D23" s="70">
        <f>'Monthly Forecast'!Y22</f>
        <v>157105.54247941135</v>
      </c>
      <c r="E23" s="70">
        <f>'Monthly Forecast'!Z22</f>
        <v>139909.19013938011</v>
      </c>
      <c r="F23" s="70">
        <f>'Monthly Forecast'!AA22</f>
        <v>130250.76022247532</v>
      </c>
      <c r="G23" s="70">
        <f>'Monthly Forecast'!AB22</f>
        <v>120243.96063161312</v>
      </c>
      <c r="H23" s="70">
        <f>'Monthly Forecast'!AC22</f>
        <v>150843.60552630303</v>
      </c>
      <c r="I23" s="70">
        <f>'Monthly Forecast'!AD22</f>
        <v>401776.07452736335</v>
      </c>
      <c r="J23" s="70">
        <f>'Monthly Forecast'!AE22</f>
        <v>641864.19765058928</v>
      </c>
      <c r="K23" s="70">
        <f>'Monthly Forecast'!AF22</f>
        <v>728984.00406496658</v>
      </c>
      <c r="L23" s="70">
        <f>'Monthly Forecast'!AG22</f>
        <v>728067.37103548297</v>
      </c>
      <c r="M23" s="70">
        <f>'Monthly Forecast'!AH22</f>
        <v>626175.40890762198</v>
      </c>
      <c r="N23" s="70">
        <f>'Monthly Forecast'!AI22</f>
        <v>394045.48316742701</v>
      </c>
      <c r="O23" s="70">
        <f>'Monthly Forecast'!AJ22</f>
        <v>218235.3686491072</v>
      </c>
      <c r="P23" s="70">
        <f>SUM(D23:O23)</f>
        <v>4437500.9670017418</v>
      </c>
      <c r="Q23" s="70">
        <f t="shared" si="5"/>
        <v>7011252</v>
      </c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</row>
    <row r="24" spans="1:91" x14ac:dyDescent="0.2">
      <c r="A24" s="4">
        <v>13</v>
      </c>
      <c r="B24" s="1" t="s">
        <v>25</v>
      </c>
      <c r="C24" s="14">
        <f>'Rate Design'!G20</f>
        <v>1.01</v>
      </c>
      <c r="D24" s="70">
        <f>'Monthly Forecast'!Y23</f>
        <v>14368.972320588658</v>
      </c>
      <c r="E24" s="70">
        <f>'Monthly Forecast'!Z23</f>
        <v>12465.153460619891</v>
      </c>
      <c r="F24" s="70">
        <f>'Monthly Forecast'!AA23</f>
        <v>19173.719377524681</v>
      </c>
      <c r="G24" s="70">
        <f>'Monthly Forecast'!AB23</f>
        <v>31400.671868386886</v>
      </c>
      <c r="H24" s="70">
        <f>'Monthly Forecast'!AC23</f>
        <v>65956.138073696973</v>
      </c>
      <c r="I24" s="70">
        <f>'Monthly Forecast'!AD23</f>
        <v>45346.656772636619</v>
      </c>
      <c r="J24" s="70">
        <f>'Monthly Forecast'!AE23</f>
        <v>80009.159749410697</v>
      </c>
      <c r="K24" s="70">
        <f>'Monthly Forecast'!AF23</f>
        <v>108872.81523503333</v>
      </c>
      <c r="L24" s="70">
        <f>'Monthly Forecast'!AG23</f>
        <v>103436.29036451696</v>
      </c>
      <c r="M24" s="70">
        <f>'Monthly Forecast'!AH23</f>
        <v>92613.733392377966</v>
      </c>
      <c r="N24" s="70">
        <f>'Monthly Forecast'!AI23</f>
        <v>50110.123332572941</v>
      </c>
      <c r="O24" s="70">
        <f>'Monthly Forecast'!AJ23</f>
        <v>31212.437050892811</v>
      </c>
      <c r="P24" s="70">
        <f>SUM(D24:O24)</f>
        <v>654965.87099825847</v>
      </c>
      <c r="Q24" s="70">
        <f t="shared" si="5"/>
        <v>661516</v>
      </c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</row>
    <row r="25" spans="1:91" x14ac:dyDescent="0.2">
      <c r="A25" s="4">
        <v>14</v>
      </c>
      <c r="B25" s="1" t="s">
        <v>81</v>
      </c>
      <c r="C25" s="14">
        <f>'Rate Design'!G21</f>
        <v>0.7228</v>
      </c>
      <c r="D25" s="70">
        <f>'Monthly Forecast'!Y24</f>
        <v>0</v>
      </c>
      <c r="E25" s="70">
        <f>'Monthly Forecast'!Z24</f>
        <v>0</v>
      </c>
      <c r="F25" s="70">
        <f>'Monthly Forecast'!AA24</f>
        <v>0</v>
      </c>
      <c r="G25" s="70">
        <f>'Monthly Forecast'!AB24</f>
        <v>0</v>
      </c>
      <c r="H25" s="70">
        <f>'Monthly Forecast'!AC24</f>
        <v>0</v>
      </c>
      <c r="I25" s="70">
        <f>'Monthly Forecast'!AD24</f>
        <v>0</v>
      </c>
      <c r="J25" s="70">
        <f>'Monthly Forecast'!AE24</f>
        <v>0</v>
      </c>
      <c r="K25" s="70">
        <f>'Monthly Forecast'!AF24</f>
        <v>0</v>
      </c>
      <c r="L25" s="70">
        <f>'Monthly Forecast'!AG24</f>
        <v>0</v>
      </c>
      <c r="M25" s="70">
        <f>'Monthly Forecast'!AH24</f>
        <v>0</v>
      </c>
      <c r="N25" s="70">
        <f>'Monthly Forecast'!AI24</f>
        <v>0</v>
      </c>
      <c r="O25" s="70">
        <f>'Monthly Forecast'!AJ24</f>
        <v>0</v>
      </c>
      <c r="P25" s="70">
        <f>SUM(D25:O25)</f>
        <v>0</v>
      </c>
      <c r="Q25" s="70">
        <f t="shared" si="5"/>
        <v>0</v>
      </c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</row>
    <row r="26" spans="1:91" x14ac:dyDescent="0.2">
      <c r="A26" s="4">
        <v>15</v>
      </c>
      <c r="B26" s="32" t="s">
        <v>79</v>
      </c>
      <c r="C26" s="32"/>
      <c r="D26" s="31">
        <f t="shared" ref="D26:P26" si="6">D23+D24+D25</f>
        <v>171474.5148</v>
      </c>
      <c r="E26" s="31">
        <f t="shared" si="6"/>
        <v>152374.34359999999</v>
      </c>
      <c r="F26" s="31">
        <f t="shared" si="6"/>
        <v>149424.47959999999</v>
      </c>
      <c r="G26" s="31">
        <f t="shared" si="6"/>
        <v>151644.63250000001</v>
      </c>
      <c r="H26" s="31">
        <f t="shared" si="6"/>
        <v>216799.74359999999</v>
      </c>
      <c r="I26" s="31">
        <f t="shared" si="6"/>
        <v>447122.73129999998</v>
      </c>
      <c r="J26" s="31">
        <f t="shared" si="6"/>
        <v>721873.35739999998</v>
      </c>
      <c r="K26" s="31">
        <f t="shared" si="6"/>
        <v>837856.81929999986</v>
      </c>
      <c r="L26" s="31">
        <f t="shared" si="6"/>
        <v>831503.66139999987</v>
      </c>
      <c r="M26" s="31">
        <f t="shared" si="6"/>
        <v>718789.14229999995</v>
      </c>
      <c r="N26" s="31">
        <f t="shared" si="6"/>
        <v>444155.60649999994</v>
      </c>
      <c r="O26" s="31">
        <f t="shared" si="6"/>
        <v>249447.80570000003</v>
      </c>
      <c r="P26" s="31">
        <f t="shared" si="6"/>
        <v>5092466.8380000005</v>
      </c>
      <c r="Q26" s="31">
        <f>SUM(Q22:Q25)</f>
        <v>17026288</v>
      </c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</row>
    <row r="27" spans="1:91" x14ac:dyDescent="0.2">
      <c r="A27" s="4">
        <v>16</v>
      </c>
      <c r="B27" s="16" t="s">
        <v>237</v>
      </c>
      <c r="C27" s="16"/>
      <c r="D27" s="93">
        <f>'Monthly Forecast'!Y26</f>
        <v>4.576446110502566</v>
      </c>
      <c r="E27" s="93">
        <f>'Monthly Forecast'!Z26</f>
        <v>4.576446110502566</v>
      </c>
      <c r="F27" s="93">
        <f>'Monthly Forecast'!AA26</f>
        <v>4.6088710472168026</v>
      </c>
      <c r="G27" s="93">
        <f>'Monthly Forecast'!AB26</f>
        <v>4.6088710472168026</v>
      </c>
      <c r="H27" s="93">
        <f>'Monthly Forecast'!AC26</f>
        <v>4.6088710472168026</v>
      </c>
      <c r="I27" s="93">
        <f>'Monthly Forecast'!AD26</f>
        <v>4.5535112981864572</v>
      </c>
      <c r="J27" s="93">
        <f>'Monthly Forecast'!AE26</f>
        <v>4.5535112981864572</v>
      </c>
      <c r="K27" s="93">
        <f>'Monthly Forecast'!AF26</f>
        <v>4.5535112981864572</v>
      </c>
      <c r="L27" s="93">
        <f>'Monthly Forecast'!AG26</f>
        <v>4.5576361502621516</v>
      </c>
      <c r="M27" s="93">
        <f>'Monthly Forecast'!AH26</f>
        <v>4.5576361502621516</v>
      </c>
      <c r="N27" s="93">
        <f>'Monthly Forecast'!AI26</f>
        <v>4.5576361502621516</v>
      </c>
      <c r="O27" s="93">
        <f>'Monthly Forecast'!AJ26</f>
        <v>4.83392198302381</v>
      </c>
      <c r="P27" s="93"/>
      <c r="Q27" s="93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</row>
    <row r="28" spans="1:91" x14ac:dyDescent="0.2">
      <c r="A28" s="4">
        <v>17</v>
      </c>
      <c r="B28" s="16" t="s">
        <v>229</v>
      </c>
      <c r="C28" s="17"/>
      <c r="D28" s="59">
        <f t="shared" ref="D28:O28" si="7">D27*D26</f>
        <v>784743.87630677468</v>
      </c>
      <c r="E28" s="59">
        <f t="shared" si="7"/>
        <v>697332.97210860148</v>
      </c>
      <c r="F28" s="59">
        <f t="shared" si="7"/>
        <v>688678.15777387773</v>
      </c>
      <c r="G28" s="59">
        <f t="shared" si="7"/>
        <v>698910.55619508226</v>
      </c>
      <c r="H28" s="59">
        <f t="shared" si="7"/>
        <v>999202.06132206623</v>
      </c>
      <c r="I28" s="59">
        <f t="shared" si="7"/>
        <v>2035978.4086505375</v>
      </c>
      <c r="J28" s="59">
        <f t="shared" si="7"/>
        <v>3287058.4887806904</v>
      </c>
      <c r="K28" s="59">
        <f t="shared" si="7"/>
        <v>3815190.4929451183</v>
      </c>
      <c r="L28" s="59">
        <f t="shared" si="7"/>
        <v>3789691.146271979</v>
      </c>
      <c r="M28" s="59">
        <f t="shared" si="7"/>
        <v>3275979.3793624057</v>
      </c>
      <c r="N28" s="59">
        <f t="shared" si="7"/>
        <v>2024299.6485260108</v>
      </c>
      <c r="O28" s="59">
        <f t="shared" si="7"/>
        <v>1205811.2315902822</v>
      </c>
      <c r="P28" s="59">
        <f>SUM(D28:O28)</f>
        <v>23302876.419833422</v>
      </c>
      <c r="Q28" s="38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</row>
    <row r="29" spans="1:91" x14ac:dyDescent="0.2">
      <c r="A29" s="4">
        <v>18</v>
      </c>
      <c r="D29" s="34"/>
      <c r="P29" s="43"/>
      <c r="Q29" s="70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</row>
    <row r="30" spans="1:91" x14ac:dyDescent="0.2">
      <c r="A30" s="4">
        <v>19</v>
      </c>
      <c r="B30" s="35" t="s">
        <v>80</v>
      </c>
      <c r="C30" s="14"/>
      <c r="D30" s="101">
        <f t="shared" ref="D30:O30" si="8">D31*$C$31+D32*$C$32+D33*$C$33+D34*$C$34</f>
        <v>30063.109446545455</v>
      </c>
      <c r="E30" s="101">
        <f t="shared" si="8"/>
        <v>26324.438443454546</v>
      </c>
      <c r="F30" s="101">
        <f t="shared" si="8"/>
        <v>37757.132350363638</v>
      </c>
      <c r="G30" s="101">
        <f t="shared" si="8"/>
        <v>34132.042388909096</v>
      </c>
      <c r="H30" s="101">
        <f t="shared" si="8"/>
        <v>33822.656645272727</v>
      </c>
      <c r="I30" s="101">
        <f t="shared" si="8"/>
        <v>63839.886805272719</v>
      </c>
      <c r="J30" s="101">
        <f t="shared" si="8"/>
        <v>112568.79224745455</v>
      </c>
      <c r="K30" s="101">
        <f t="shared" si="8"/>
        <v>143487.03397381821</v>
      </c>
      <c r="L30" s="101">
        <f t="shared" si="8"/>
        <v>116970.39922618182</v>
      </c>
      <c r="M30" s="101">
        <f t="shared" si="8"/>
        <v>173716.90801072729</v>
      </c>
      <c r="N30" s="101">
        <f t="shared" si="8"/>
        <v>67372.284672909096</v>
      </c>
      <c r="O30" s="101">
        <f t="shared" si="8"/>
        <v>35282.832758181816</v>
      </c>
      <c r="P30" s="101">
        <f>SUM(D30:O30)</f>
        <v>875337.51696909091</v>
      </c>
      <c r="Q30" s="101"/>
      <c r="S30" s="206">
        <f>(P30+P37)/P31</f>
        <v>1540.7234207466183</v>
      </c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</row>
    <row r="31" spans="1:91" x14ac:dyDescent="0.2">
      <c r="A31" s="4">
        <v>20</v>
      </c>
      <c r="B31" s="1" t="s">
        <v>23</v>
      </c>
      <c r="C31" s="11">
        <f>C22</f>
        <v>45</v>
      </c>
      <c r="D31" s="70">
        <f>'Monthly Forecast'!Y30</f>
        <v>205</v>
      </c>
      <c r="E31" s="70">
        <f>'Monthly Forecast'!Z30</f>
        <v>193</v>
      </c>
      <c r="F31" s="70">
        <f>'Monthly Forecast'!AA30</f>
        <v>211</v>
      </c>
      <c r="G31" s="70">
        <f>'Monthly Forecast'!AB30</f>
        <v>188</v>
      </c>
      <c r="H31" s="70">
        <f>'Monthly Forecast'!AC30</f>
        <v>194</v>
      </c>
      <c r="I31" s="70">
        <f>'Monthly Forecast'!AD30</f>
        <v>181</v>
      </c>
      <c r="J31" s="70">
        <f>'Monthly Forecast'!AE30</f>
        <v>200</v>
      </c>
      <c r="K31" s="70">
        <f>'Monthly Forecast'!AF30</f>
        <v>201</v>
      </c>
      <c r="L31" s="70">
        <f>'Monthly Forecast'!AG30</f>
        <v>169</v>
      </c>
      <c r="M31" s="70">
        <f>'Monthly Forecast'!AH30</f>
        <v>234</v>
      </c>
      <c r="N31" s="70">
        <f>'Monthly Forecast'!AI30</f>
        <v>197</v>
      </c>
      <c r="O31" s="70">
        <f>'Monthly Forecast'!AJ30</f>
        <v>193</v>
      </c>
      <c r="P31" s="70">
        <f>ROUND((SUM(D31:O31)),0)</f>
        <v>2366</v>
      </c>
      <c r="Q31" s="70">
        <f t="shared" ref="Q31:Q34" si="9">ROUND(P31*C31,0)</f>
        <v>106470</v>
      </c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</row>
    <row r="32" spans="1:91" x14ac:dyDescent="0.2">
      <c r="A32" s="4">
        <v>21</v>
      </c>
      <c r="B32" s="1" t="s">
        <v>24</v>
      </c>
      <c r="C32" s="14">
        <f>C23</f>
        <v>1.58</v>
      </c>
      <c r="D32" s="70">
        <f>'Monthly Forecast'!Y31</f>
        <v>9589.5276272727278</v>
      </c>
      <c r="E32" s="70">
        <f>'Monthly Forecast'!Z31</f>
        <v>8581.6553727272712</v>
      </c>
      <c r="F32" s="70">
        <f>'Monthly Forecast'!AA31</f>
        <v>11302.885118181819</v>
      </c>
      <c r="G32" s="70">
        <f>'Monthly Forecast'!AB31</f>
        <v>10101.737645454547</v>
      </c>
      <c r="H32" s="70">
        <f>'Monthly Forecast'!AC31</f>
        <v>11349.108463636363</v>
      </c>
      <c r="I32" s="70">
        <f>'Monthly Forecast'!AD31</f>
        <v>22690.29796363636</v>
      </c>
      <c r="J32" s="70">
        <f>'Monthly Forecast'!AE31</f>
        <v>36089.256672727272</v>
      </c>
      <c r="K32" s="70">
        <f>'Monthly Forecast'!AF31</f>
        <v>42579.623990909102</v>
      </c>
      <c r="L32" s="70">
        <f>'Monthly Forecast'!AG31</f>
        <v>34343.541009090899</v>
      </c>
      <c r="M32" s="70">
        <f>'Monthly Forecast'!AH31</f>
        <v>51216.227236363644</v>
      </c>
      <c r="N32" s="70">
        <f>'Monthly Forecast'!AI31</f>
        <v>24163.344945454544</v>
      </c>
      <c r="O32" s="70">
        <f>'Monthly Forecast'!AJ31</f>
        <v>13009.233909090908</v>
      </c>
      <c r="P32" s="70">
        <f>SUM(D32:O32)</f>
        <v>275016.43995454541</v>
      </c>
      <c r="Q32" s="70">
        <f t="shared" si="9"/>
        <v>434526</v>
      </c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</row>
    <row r="33" spans="1:91" x14ac:dyDescent="0.2">
      <c r="A33" s="4">
        <v>22</v>
      </c>
      <c r="B33" s="1" t="s">
        <v>25</v>
      </c>
      <c r="C33" s="14">
        <f>C24</f>
        <v>1.01</v>
      </c>
      <c r="D33" s="70">
        <f>'Monthly Forecast'!Y32</f>
        <v>5630.352272727273</v>
      </c>
      <c r="E33" s="70">
        <f>'Monthly Forecast'!Z32</f>
        <v>4040.022727272727</v>
      </c>
      <c r="F33" s="70">
        <f>'Monthly Forecast'!AA32</f>
        <v>10300.568181818182</v>
      </c>
      <c r="G33" s="70">
        <f>'Monthly Forecast'!AB32</f>
        <v>9615.1454545454544</v>
      </c>
      <c r="H33" s="70">
        <f>'Monthly Forecast'!AC32</f>
        <v>7090.1636363636371</v>
      </c>
      <c r="I33" s="70">
        <f>'Monthly Forecast'!AD32</f>
        <v>19647.738636363636</v>
      </c>
      <c r="J33" s="70">
        <f>'Monthly Forecast'!AE32</f>
        <v>46086.897727272728</v>
      </c>
      <c r="K33" s="70">
        <f>'Monthly Forecast'!AF32</f>
        <v>66501.215909090912</v>
      </c>
      <c r="L33" s="70">
        <f>'Monthly Forecast'!AG32</f>
        <v>54557.034090909096</v>
      </c>
      <c r="M33" s="70">
        <f>'Monthly Forecast'!AH32</f>
        <v>81450.761363636368</v>
      </c>
      <c r="N33" s="70">
        <f>'Monthly Forecast'!AI32</f>
        <v>20127.920454545456</v>
      </c>
      <c r="O33" s="70">
        <f>'Monthly Forecast'!AJ32</f>
        <v>5983.409090909091</v>
      </c>
      <c r="P33" s="70">
        <f>SUM(D33:O33)</f>
        <v>331031.22954545461</v>
      </c>
      <c r="Q33" s="70">
        <f t="shared" si="9"/>
        <v>334342</v>
      </c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</row>
    <row r="34" spans="1:91" x14ac:dyDescent="0.2">
      <c r="A34" s="4">
        <v>23</v>
      </c>
      <c r="B34" s="1" t="s">
        <v>81</v>
      </c>
      <c r="C34" s="14">
        <f>C25</f>
        <v>0.7228</v>
      </c>
      <c r="D34" s="70">
        <f>'Monthly Forecast'!Y33</f>
        <v>0</v>
      </c>
      <c r="E34" s="70">
        <f>'Monthly Forecast'!Z33</f>
        <v>0</v>
      </c>
      <c r="F34" s="70">
        <f>'Monthly Forecast'!AA33</f>
        <v>0</v>
      </c>
      <c r="G34" s="70">
        <f>'Monthly Forecast'!AB33</f>
        <v>0</v>
      </c>
      <c r="H34" s="70">
        <f>'Monthly Forecast'!AC33</f>
        <v>0</v>
      </c>
      <c r="I34" s="70">
        <f>'Monthly Forecast'!AD33</f>
        <v>0</v>
      </c>
      <c r="J34" s="70">
        <f>'Monthly Forecast'!AE33</f>
        <v>0</v>
      </c>
      <c r="K34" s="70">
        <f>'Monthly Forecast'!AF33</f>
        <v>0</v>
      </c>
      <c r="L34" s="70">
        <f>'Monthly Forecast'!AG33</f>
        <v>0</v>
      </c>
      <c r="M34" s="70">
        <f>'Monthly Forecast'!AH33</f>
        <v>0</v>
      </c>
      <c r="N34" s="70">
        <f>'Monthly Forecast'!AI33</f>
        <v>0</v>
      </c>
      <c r="O34" s="70">
        <f>'Monthly Forecast'!AJ33</f>
        <v>0</v>
      </c>
      <c r="P34" s="70">
        <f>SUM(D34:O34)</f>
        <v>0</v>
      </c>
      <c r="Q34" s="70">
        <f t="shared" si="9"/>
        <v>0</v>
      </c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</row>
    <row r="35" spans="1:91" x14ac:dyDescent="0.2">
      <c r="A35" s="4">
        <v>24</v>
      </c>
      <c r="B35" s="32" t="s">
        <v>79</v>
      </c>
      <c r="C35" s="32"/>
      <c r="D35" s="31">
        <f t="shared" ref="D35:P35" si="10">D32+D33+D34</f>
        <v>15219.8799</v>
      </c>
      <c r="E35" s="31">
        <f t="shared" si="10"/>
        <v>12621.678099999997</v>
      </c>
      <c r="F35" s="31">
        <f t="shared" si="10"/>
        <v>21603.453300000001</v>
      </c>
      <c r="G35" s="31">
        <f t="shared" si="10"/>
        <v>19716.883099999999</v>
      </c>
      <c r="H35" s="31">
        <f t="shared" si="10"/>
        <v>18439.272100000002</v>
      </c>
      <c r="I35" s="31">
        <f t="shared" si="10"/>
        <v>42338.036599999992</v>
      </c>
      <c r="J35" s="31">
        <f t="shared" si="10"/>
        <v>82176.154399999999</v>
      </c>
      <c r="K35" s="31">
        <f t="shared" si="10"/>
        <v>109080.83990000002</v>
      </c>
      <c r="L35" s="31">
        <f t="shared" si="10"/>
        <v>88900.575099999987</v>
      </c>
      <c r="M35" s="31">
        <f t="shared" si="10"/>
        <v>132666.98860000001</v>
      </c>
      <c r="N35" s="31">
        <f t="shared" si="10"/>
        <v>44291.265400000004</v>
      </c>
      <c r="O35" s="31">
        <f t="shared" si="10"/>
        <v>18992.643</v>
      </c>
      <c r="P35" s="31">
        <f t="shared" si="10"/>
        <v>606047.66950000008</v>
      </c>
      <c r="Q35" s="31">
        <f>SUM(Q31:Q34)</f>
        <v>875338</v>
      </c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</row>
    <row r="36" spans="1:91" x14ac:dyDescent="0.2">
      <c r="A36" s="4">
        <v>25</v>
      </c>
      <c r="B36" s="16" t="s">
        <v>237</v>
      </c>
      <c r="D36" s="93">
        <f>'Monthly Forecast'!Y35</f>
        <v>4.576446110502566</v>
      </c>
      <c r="E36" s="93">
        <f>'Monthly Forecast'!Z35</f>
        <v>4.576446110502566</v>
      </c>
      <c r="F36" s="93">
        <f>'Monthly Forecast'!AA35</f>
        <v>4.6088710472168026</v>
      </c>
      <c r="G36" s="93">
        <f>'Monthly Forecast'!AB35</f>
        <v>4.6088710472168026</v>
      </c>
      <c r="H36" s="93">
        <f>'Monthly Forecast'!AC35</f>
        <v>4.6088710472168026</v>
      </c>
      <c r="I36" s="93">
        <f>'Monthly Forecast'!AD35</f>
        <v>4.5535112981864572</v>
      </c>
      <c r="J36" s="93">
        <f>'Monthly Forecast'!AE35</f>
        <v>4.5535112981864572</v>
      </c>
      <c r="K36" s="93">
        <f>'Monthly Forecast'!AF35</f>
        <v>4.5535112981864572</v>
      </c>
      <c r="L36" s="93">
        <f>'Monthly Forecast'!AG35</f>
        <v>4.5576361502621516</v>
      </c>
      <c r="M36" s="93">
        <f>'Monthly Forecast'!AH35</f>
        <v>4.5576361502621516</v>
      </c>
      <c r="N36" s="93">
        <f>'Monthly Forecast'!AI35</f>
        <v>4.5576361502621516</v>
      </c>
      <c r="O36" s="93">
        <f>'Monthly Forecast'!AJ35</f>
        <v>4.83392198302381</v>
      </c>
      <c r="P36" s="93"/>
      <c r="Q36" s="93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</row>
    <row r="37" spans="1:91" x14ac:dyDescent="0.2">
      <c r="A37" s="4">
        <v>26</v>
      </c>
      <c r="B37" s="16" t="s">
        <v>229</v>
      </c>
      <c r="D37" s="59">
        <f t="shared" ref="D37:O37" si="11">D36*D35</f>
        <v>69652.960170671184</v>
      </c>
      <c r="E37" s="59">
        <f t="shared" si="11"/>
        <v>57762.429648760408</v>
      </c>
      <c r="F37" s="59">
        <f t="shared" si="11"/>
        <v>99567.530434270302</v>
      </c>
      <c r="G37" s="59">
        <f t="shared" si="11"/>
        <v>90872.571660948277</v>
      </c>
      <c r="H37" s="59">
        <f t="shared" si="11"/>
        <v>84984.227313442578</v>
      </c>
      <c r="I37" s="59">
        <f t="shared" si="11"/>
        <v>192786.72800113171</v>
      </c>
      <c r="J37" s="59">
        <f t="shared" si="11"/>
        <v>374190.04750191473</v>
      </c>
      <c r="K37" s="59">
        <f t="shared" si="11"/>
        <v>496700.83690031822</v>
      </c>
      <c r="L37" s="59">
        <f t="shared" si="11"/>
        <v>405176.47485485522</v>
      </c>
      <c r="M37" s="59">
        <f t="shared" si="11"/>
        <v>604647.86318977678</v>
      </c>
      <c r="N37" s="59">
        <f t="shared" si="11"/>
        <v>201863.47232789526</v>
      </c>
      <c r="O37" s="59">
        <f t="shared" si="11"/>
        <v>91808.95451342329</v>
      </c>
      <c r="P37" s="59">
        <f>SUM(D37:O37)</f>
        <v>2770014.0965174083</v>
      </c>
      <c r="Q37" s="38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</row>
    <row r="38" spans="1:91" x14ac:dyDescent="0.2">
      <c r="A38" s="4">
        <v>27</v>
      </c>
      <c r="D38" s="34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</row>
    <row r="39" spans="1:91" x14ac:dyDescent="0.2">
      <c r="A39" s="4">
        <v>28</v>
      </c>
      <c r="B39" s="35" t="s">
        <v>82</v>
      </c>
      <c r="C39" s="14"/>
      <c r="D39" s="101">
        <f>D40*$C$40+D41*$C$41+D42*$C$42+D43*$C$43</f>
        <v>118096.99117328068</v>
      </c>
      <c r="E39" s="101">
        <f t="shared" ref="E39:O39" si="12">E40*$C$40+E41*$C$41+E42*$C$42+E43*$C$43</f>
        <v>111807.03085395566</v>
      </c>
      <c r="F39" s="101">
        <f t="shared" si="12"/>
        <v>107030.16058263504</v>
      </c>
      <c r="G39" s="101">
        <f t="shared" si="12"/>
        <v>111059.30929601396</v>
      </c>
      <c r="H39" s="101">
        <f t="shared" si="12"/>
        <v>135395.44355362805</v>
      </c>
      <c r="I39" s="101">
        <f t="shared" si="12"/>
        <v>213694.95486277819</v>
      </c>
      <c r="J39" s="101">
        <f t="shared" si="12"/>
        <v>302687.09280917596</v>
      </c>
      <c r="K39" s="101">
        <f t="shared" si="12"/>
        <v>334863.69355628034</v>
      </c>
      <c r="L39" s="101">
        <f t="shared" si="12"/>
        <v>314829.40092417615</v>
      </c>
      <c r="M39" s="101">
        <f t="shared" si="12"/>
        <v>314267.73309664481</v>
      </c>
      <c r="N39" s="101">
        <f t="shared" si="12"/>
        <v>209747.19079056435</v>
      </c>
      <c r="O39" s="101">
        <f t="shared" si="12"/>
        <v>142604.84549318533</v>
      </c>
      <c r="P39" s="101">
        <f>SUM(D39:O39)</f>
        <v>2416083.8469923185</v>
      </c>
      <c r="Q39" s="101"/>
      <c r="S39" s="206">
        <f>(P39+P46)/P40</f>
        <v>395.66477662384796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</row>
    <row r="40" spans="1:91" x14ac:dyDescent="0.2">
      <c r="A40" s="4">
        <v>29</v>
      </c>
      <c r="B40" s="1" t="s">
        <v>23</v>
      </c>
      <c r="C40" s="11">
        <f>C31</f>
        <v>45</v>
      </c>
      <c r="D40" s="70">
        <f>'Monthly Forecast'!Y39</f>
        <v>1563</v>
      </c>
      <c r="E40" s="70">
        <f>'Monthly Forecast'!Z39</f>
        <v>1563</v>
      </c>
      <c r="F40" s="70">
        <f>'Monthly Forecast'!AA39</f>
        <v>1507</v>
      </c>
      <c r="G40" s="70">
        <f>'Monthly Forecast'!AB39</f>
        <v>1544</v>
      </c>
      <c r="H40" s="70">
        <f>'Monthly Forecast'!AC39</f>
        <v>1572</v>
      </c>
      <c r="I40" s="70">
        <f>'Monthly Forecast'!AD39</f>
        <v>1520</v>
      </c>
      <c r="J40" s="70">
        <f>'Monthly Forecast'!AE39</f>
        <v>1559</v>
      </c>
      <c r="K40" s="70">
        <f>'Monthly Forecast'!AF39</f>
        <v>1567</v>
      </c>
      <c r="L40" s="70">
        <f>'Monthly Forecast'!AG39</f>
        <v>1378</v>
      </c>
      <c r="M40" s="70">
        <f>'Monthly Forecast'!AH39</f>
        <v>1769</v>
      </c>
      <c r="N40" s="70">
        <f>'Monthly Forecast'!AI39</f>
        <v>1555</v>
      </c>
      <c r="O40" s="70">
        <f>'Monthly Forecast'!AJ39</f>
        <v>1550</v>
      </c>
      <c r="P40" s="70">
        <f>ROUND((SUM(D40:O40)),0)</f>
        <v>18647</v>
      </c>
      <c r="Q40" s="70">
        <f t="shared" ref="Q40:Q43" si="13">ROUND(P40*C40,0)</f>
        <v>839115</v>
      </c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</row>
    <row r="41" spans="1:91" x14ac:dyDescent="0.2">
      <c r="A41" s="4">
        <v>30</v>
      </c>
      <c r="B41" s="1" t="s">
        <v>24</v>
      </c>
      <c r="C41" s="14">
        <f>C32</f>
        <v>1.58</v>
      </c>
      <c r="D41" s="70">
        <f>'Monthly Forecast'!Y40</f>
        <v>26754.768472422253</v>
      </c>
      <c r="E41" s="70">
        <f>'Monthly Forecast'!Z40</f>
        <v>23258.624617466066</v>
      </c>
      <c r="F41" s="70">
        <f>'Monthly Forecast'!AA40</f>
        <v>21072.44857128954</v>
      </c>
      <c r="G41" s="70">
        <f>'Monthly Forecast'!AB40</f>
        <v>23077.926012305208</v>
      </c>
      <c r="H41" s="70">
        <f>'Monthly Forecast'!AC40</f>
        <v>34965.721308119355</v>
      </c>
      <c r="I41" s="70">
        <f>'Monthly Forecast'!AD40</f>
        <v>82771.732017154733</v>
      </c>
      <c r="J41" s="70">
        <f>'Monthly Forecast'!AE40</f>
        <v>127113.07717925601</v>
      </c>
      <c r="K41" s="70">
        <f>'Monthly Forecast'!AF40</f>
        <v>135814.18695312337</v>
      </c>
      <c r="L41" s="70">
        <f>'Monthly Forecast'!AG40</f>
        <v>130292.12603013362</v>
      </c>
      <c r="M41" s="70">
        <f>'Monthly Forecast'!AH40</f>
        <v>120844.82003271015</v>
      </c>
      <c r="N41" s="70">
        <f>'Monthly Forecast'!AI40</f>
        <v>79228.315102744426</v>
      </c>
      <c r="O41" s="70">
        <f>'Monthly Forecast'!AJ40</f>
        <v>39398.500991553163</v>
      </c>
      <c r="P41" s="70">
        <f>SUM(D41:O41)</f>
        <v>844592.24728827795</v>
      </c>
      <c r="Q41" s="70">
        <f t="shared" si="13"/>
        <v>1334456</v>
      </c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</row>
    <row r="42" spans="1:91" x14ac:dyDescent="0.2">
      <c r="A42" s="4">
        <v>31</v>
      </c>
      <c r="B42" s="1" t="s">
        <v>25</v>
      </c>
      <c r="C42" s="14">
        <f>C33</f>
        <v>1.01</v>
      </c>
      <c r="D42" s="70">
        <f>'Monthly Forecast'!Y41</f>
        <v>5435.1059275777461</v>
      </c>
      <c r="E42" s="70">
        <f>'Monthly Forecast'!Z41</f>
        <v>4676.6375825339346</v>
      </c>
      <c r="F42" s="70">
        <f>'Monthly Forecast'!AA41</f>
        <v>5862.0711287104614</v>
      </c>
      <c r="G42" s="70">
        <f>'Monthly Forecast'!AB41</f>
        <v>5065.5308876947893</v>
      </c>
      <c r="H42" s="70">
        <f>'Monthly Forecast'!AC41</f>
        <v>9316.4394918806447</v>
      </c>
      <c r="I42" s="70">
        <f>'Monthly Forecast'!AD41</f>
        <v>14371.899282845256</v>
      </c>
      <c r="J42" s="70">
        <f>'Monthly Forecast'!AE41</f>
        <v>31379.634520744003</v>
      </c>
      <c r="K42" s="70">
        <f>'Monthly Forecast'!AF41</f>
        <v>49269.582346876661</v>
      </c>
      <c r="L42" s="70">
        <f>'Monthly Forecast'!AG41</f>
        <v>46492.912669866404</v>
      </c>
      <c r="M42" s="70">
        <f>'Monthly Forecast'!AH41</f>
        <v>43294.96776728984</v>
      </c>
      <c r="N42" s="70">
        <f>'Monthly Forecast'!AI41</f>
        <v>14446.983097255577</v>
      </c>
      <c r="O42" s="70">
        <f>'Monthly Forecast'!AJ41</f>
        <v>10500.211808446846</v>
      </c>
      <c r="P42" s="70">
        <f>SUM(D42:O42)</f>
        <v>240111.97651172217</v>
      </c>
      <c r="Q42" s="70">
        <f t="shared" si="13"/>
        <v>242513</v>
      </c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</row>
    <row r="43" spans="1:91" x14ac:dyDescent="0.2">
      <c r="A43" s="4">
        <v>32</v>
      </c>
      <c r="B43" s="1" t="s">
        <v>81</v>
      </c>
      <c r="C43" s="14">
        <f>C34</f>
        <v>0.7228</v>
      </c>
      <c r="D43" s="70">
        <f>'Monthly Forecast'!Y42</f>
        <v>0</v>
      </c>
      <c r="E43" s="70">
        <f>'Monthly Forecast'!Z42</f>
        <v>0</v>
      </c>
      <c r="F43" s="70">
        <f>'Monthly Forecast'!AA42</f>
        <v>0</v>
      </c>
      <c r="G43" s="70">
        <f>'Monthly Forecast'!AB42</f>
        <v>0</v>
      </c>
      <c r="H43" s="70">
        <f>'Monthly Forecast'!AC42</f>
        <v>0</v>
      </c>
      <c r="I43" s="70">
        <f>'Monthly Forecast'!AD42</f>
        <v>0</v>
      </c>
      <c r="J43" s="70">
        <f>'Monthly Forecast'!AE42</f>
        <v>0</v>
      </c>
      <c r="K43" s="70">
        <f>'Monthly Forecast'!AF42</f>
        <v>0</v>
      </c>
      <c r="L43" s="70">
        <f>'Monthly Forecast'!AG42</f>
        <v>0</v>
      </c>
      <c r="M43" s="70">
        <f>'Monthly Forecast'!AH42</f>
        <v>0</v>
      </c>
      <c r="N43" s="70">
        <f>'Monthly Forecast'!AI42</f>
        <v>0</v>
      </c>
      <c r="O43" s="70">
        <f>'Monthly Forecast'!AJ42</f>
        <v>0</v>
      </c>
      <c r="P43" s="70">
        <f>SUM(D43:O43)</f>
        <v>0</v>
      </c>
      <c r="Q43" s="70">
        <f t="shared" si="13"/>
        <v>0</v>
      </c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</row>
    <row r="44" spans="1:91" x14ac:dyDescent="0.2">
      <c r="A44" s="4">
        <v>33</v>
      </c>
      <c r="B44" s="32" t="s">
        <v>79</v>
      </c>
      <c r="C44" s="32"/>
      <c r="D44" s="31">
        <f t="shared" ref="D44:P44" si="14">D41+D42+D43</f>
        <v>32189.874400000001</v>
      </c>
      <c r="E44" s="31">
        <f t="shared" si="14"/>
        <v>27935.262200000001</v>
      </c>
      <c r="F44" s="31">
        <f t="shared" si="14"/>
        <v>26934.519700000001</v>
      </c>
      <c r="G44" s="31">
        <f t="shared" si="14"/>
        <v>28143.456899999997</v>
      </c>
      <c r="H44" s="31">
        <f t="shared" si="14"/>
        <v>44282.160799999998</v>
      </c>
      <c r="I44" s="31">
        <f t="shared" si="14"/>
        <v>97143.631299999994</v>
      </c>
      <c r="J44" s="31">
        <f t="shared" si="14"/>
        <v>158492.71170000001</v>
      </c>
      <c r="K44" s="31">
        <f t="shared" si="14"/>
        <v>185083.76930000004</v>
      </c>
      <c r="L44" s="31">
        <f t="shared" si="14"/>
        <v>176785.03870000003</v>
      </c>
      <c r="M44" s="31">
        <f t="shared" si="14"/>
        <v>164139.78779999999</v>
      </c>
      <c r="N44" s="31">
        <f t="shared" si="14"/>
        <v>93675.298200000005</v>
      </c>
      <c r="O44" s="31">
        <f t="shared" si="14"/>
        <v>49898.712800000008</v>
      </c>
      <c r="P44" s="31">
        <f t="shared" si="14"/>
        <v>1084704.2238</v>
      </c>
      <c r="Q44" s="31">
        <f>SUM(Q40:Q43)</f>
        <v>2416084</v>
      </c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</row>
    <row r="45" spans="1:91" x14ac:dyDescent="0.2">
      <c r="A45" s="4">
        <v>34</v>
      </c>
      <c r="B45" s="16" t="s">
        <v>237</v>
      </c>
      <c r="D45" s="93">
        <f>'Monthly Forecast'!Y44</f>
        <v>4.576446110502566</v>
      </c>
      <c r="E45" s="93">
        <f>'Monthly Forecast'!Z44</f>
        <v>4.576446110502566</v>
      </c>
      <c r="F45" s="93">
        <f>'Monthly Forecast'!AA44</f>
        <v>4.6088710472168026</v>
      </c>
      <c r="G45" s="93">
        <f>'Monthly Forecast'!AB44</f>
        <v>4.6088710472168026</v>
      </c>
      <c r="H45" s="93">
        <f>'Monthly Forecast'!AC44</f>
        <v>4.6088710472168026</v>
      </c>
      <c r="I45" s="93">
        <f>'Monthly Forecast'!AD44</f>
        <v>4.5535112981864572</v>
      </c>
      <c r="J45" s="93">
        <f>'Monthly Forecast'!AE44</f>
        <v>4.5535112981864572</v>
      </c>
      <c r="K45" s="93">
        <f>'Monthly Forecast'!AF44</f>
        <v>4.5535112981864572</v>
      </c>
      <c r="L45" s="93">
        <f>'Monthly Forecast'!AG44</f>
        <v>4.5576361502621516</v>
      </c>
      <c r="M45" s="93">
        <f>'Monthly Forecast'!AH44</f>
        <v>4.5576361502621516</v>
      </c>
      <c r="N45" s="93">
        <f>'Monthly Forecast'!AI44</f>
        <v>4.5576361502621516</v>
      </c>
      <c r="O45" s="93">
        <f>'Monthly Forecast'!AJ44</f>
        <v>4.83392198302381</v>
      </c>
      <c r="P45" s="93"/>
      <c r="Q45" s="93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</row>
    <row r="46" spans="1:91" x14ac:dyDescent="0.2">
      <c r="A46" s="4">
        <v>35</v>
      </c>
      <c r="B46" s="16" t="s">
        <v>229</v>
      </c>
      <c r="D46" s="59">
        <f t="shared" ref="D46:O46" si="15">D45*D44</f>
        <v>147315.22549544612</v>
      </c>
      <c r="E46" s="59">
        <f t="shared" si="15"/>
        <v>127844.22204105936</v>
      </c>
      <c r="F46" s="59">
        <f t="shared" si="15"/>
        <v>124137.7280160206</v>
      </c>
      <c r="G46" s="59">
        <f t="shared" si="15"/>
        <v>129709.56367500394</v>
      </c>
      <c r="H46" s="59">
        <f t="shared" si="15"/>
        <v>204090.76881931882</v>
      </c>
      <c r="I46" s="59">
        <f t="shared" si="15"/>
        <v>442344.62267140951</v>
      </c>
      <c r="J46" s="59">
        <f t="shared" si="15"/>
        <v>721698.35340615897</v>
      </c>
      <c r="K46" s="59">
        <f t="shared" si="15"/>
        <v>842781.03461848595</v>
      </c>
      <c r="L46" s="59">
        <f t="shared" si="15"/>
        <v>805721.8832046137</v>
      </c>
      <c r="M46" s="59">
        <f t="shared" si="15"/>
        <v>748089.43057363841</v>
      </c>
      <c r="N46" s="59">
        <f t="shared" si="15"/>
        <v>426937.92546290706</v>
      </c>
      <c r="O46" s="59">
        <f t="shared" si="15"/>
        <v>241206.48472851163</v>
      </c>
      <c r="P46" s="59">
        <f>SUM(D46:O46)</f>
        <v>4961877.2427125741</v>
      </c>
      <c r="Q46" s="38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</row>
    <row r="47" spans="1:91" x14ac:dyDescent="0.2">
      <c r="A47" s="4">
        <v>36</v>
      </c>
      <c r="D47" s="34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</row>
    <row r="48" spans="1:91" x14ac:dyDescent="0.2">
      <c r="A48" s="4">
        <v>37</v>
      </c>
      <c r="B48" s="68" t="s">
        <v>83</v>
      </c>
      <c r="D48" s="101">
        <f t="shared" ref="D48:O48" si="16">D49*$C$49+D50*$C$50+D51*$C$51</f>
        <v>768.47284000000002</v>
      </c>
      <c r="E48" s="101">
        <f t="shared" si="16"/>
        <v>757.23089400000003</v>
      </c>
      <c r="F48" s="101">
        <f t="shared" si="16"/>
        <v>772.75943600000005</v>
      </c>
      <c r="G48" s="101">
        <f t="shared" si="16"/>
        <v>776.16626699999995</v>
      </c>
      <c r="H48" s="101">
        <f t="shared" si="16"/>
        <v>812.05124499999999</v>
      </c>
      <c r="I48" s="101">
        <f t="shared" si="16"/>
        <v>954.99103000000002</v>
      </c>
      <c r="J48" s="101">
        <f t="shared" si="16"/>
        <v>3512.3832590000002</v>
      </c>
      <c r="K48" s="101">
        <f t="shared" si="16"/>
        <v>3894.6505539999998</v>
      </c>
      <c r="L48" s="101">
        <f t="shared" si="16"/>
        <v>3336.074259</v>
      </c>
      <c r="M48" s="101">
        <f t="shared" si="16"/>
        <v>3900.0347740000002</v>
      </c>
      <c r="N48" s="101">
        <f t="shared" si="16"/>
        <v>3038.7346170000001</v>
      </c>
      <c r="O48" s="101">
        <f t="shared" si="16"/>
        <v>796.38875800000005</v>
      </c>
      <c r="P48" s="101">
        <f>SUM(D48:O48)</f>
        <v>23319.937933000001</v>
      </c>
      <c r="Q48" s="101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</row>
    <row r="49" spans="1:91" x14ac:dyDescent="0.2">
      <c r="A49" s="4">
        <v>38</v>
      </c>
      <c r="B49" s="2" t="s">
        <v>84</v>
      </c>
      <c r="C49" s="99">
        <f>'Rate Design'!G14</f>
        <v>375</v>
      </c>
      <c r="D49" s="70">
        <f>'Monthly Forecast'!Y48</f>
        <v>2</v>
      </c>
      <c r="E49" s="70">
        <f>'Monthly Forecast'!Z48</f>
        <v>2</v>
      </c>
      <c r="F49" s="70">
        <f>'Monthly Forecast'!AA48</f>
        <v>2</v>
      </c>
      <c r="G49" s="70">
        <f>'Monthly Forecast'!AB48</f>
        <v>2</v>
      </c>
      <c r="H49" s="70">
        <f>'Monthly Forecast'!AC48</f>
        <v>2</v>
      </c>
      <c r="I49" s="70">
        <f>'Monthly Forecast'!AD48</f>
        <v>2</v>
      </c>
      <c r="J49" s="70">
        <f>'Monthly Forecast'!AE48</f>
        <v>3</v>
      </c>
      <c r="K49" s="70">
        <f>'Monthly Forecast'!AF48</f>
        <v>4</v>
      </c>
      <c r="L49" s="70">
        <f>'Monthly Forecast'!AG48</f>
        <v>3</v>
      </c>
      <c r="M49" s="70">
        <f>'Monthly Forecast'!AH48</f>
        <v>3</v>
      </c>
      <c r="N49" s="70">
        <f>'Monthly Forecast'!AI48</f>
        <v>4</v>
      </c>
      <c r="O49" s="70">
        <f>'Monthly Forecast'!AJ48</f>
        <v>2</v>
      </c>
      <c r="P49" s="6">
        <f>SUM(D49:O49)</f>
        <v>31</v>
      </c>
      <c r="Q49" s="70">
        <f t="shared" ref="Q49:Q51" si="17">ROUND(P49*C49,0)</f>
        <v>11625</v>
      </c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</row>
    <row r="50" spans="1:91" x14ac:dyDescent="0.2">
      <c r="A50" s="4">
        <v>39</v>
      </c>
      <c r="B50" s="2" t="s">
        <v>85</v>
      </c>
      <c r="C50" s="14">
        <f>'Rate Design'!G27</f>
        <v>0.89</v>
      </c>
      <c r="D50" s="70">
        <f>'Monthly Forecast'!Y49</f>
        <v>20.756</v>
      </c>
      <c r="E50" s="70">
        <f>'Monthly Forecast'!Z49</f>
        <v>8.1245999999999992</v>
      </c>
      <c r="F50" s="70">
        <f>'Monthly Forecast'!AA49</f>
        <v>25.572399999999998</v>
      </c>
      <c r="G50" s="70">
        <f>'Monthly Forecast'!AB49</f>
        <v>29.400300000000001</v>
      </c>
      <c r="H50" s="70">
        <f>'Monthly Forecast'!AC49</f>
        <v>69.720500000000001</v>
      </c>
      <c r="I50" s="70">
        <f>'Monthly Forecast'!AD49</f>
        <v>230.327</v>
      </c>
      <c r="J50" s="70">
        <f>'Monthly Forecast'!AE49</f>
        <v>2682.4531000000002</v>
      </c>
      <c r="K50" s="70">
        <f>'Monthly Forecast'!AF49</f>
        <v>2690.6185999999998</v>
      </c>
      <c r="L50" s="70">
        <f>'Monthly Forecast'!AG49</f>
        <v>2484.3530999999998</v>
      </c>
      <c r="M50" s="70">
        <f>'Monthly Forecast'!AH49</f>
        <v>3118.0165999999999</v>
      </c>
      <c r="N50" s="70">
        <f>'Monthly Forecast'!AI49</f>
        <v>1728.9152999999999</v>
      </c>
      <c r="O50" s="70">
        <f>'Monthly Forecast'!AJ49</f>
        <v>52.122199999999999</v>
      </c>
      <c r="P50" s="6">
        <f>SUM(C50:O50)</f>
        <v>13141.269699999999</v>
      </c>
      <c r="Q50" s="70">
        <f t="shared" si="17"/>
        <v>11696</v>
      </c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</row>
    <row r="51" spans="1:91" x14ac:dyDescent="0.2">
      <c r="A51" s="4">
        <v>40</v>
      </c>
      <c r="B51" s="1" t="s">
        <v>81</v>
      </c>
      <c r="C51" s="14">
        <f>'Rate Design'!G28</f>
        <v>0.6</v>
      </c>
      <c r="D51" s="70">
        <f>'Monthly Forecast'!Y50</f>
        <v>0</v>
      </c>
      <c r="E51" s="70">
        <f>'Monthly Forecast'!Z50</f>
        <v>0</v>
      </c>
      <c r="F51" s="70">
        <f>'Monthly Forecast'!AA50</f>
        <v>0</v>
      </c>
      <c r="G51" s="70">
        <f>'Monthly Forecast'!AB50</f>
        <v>0</v>
      </c>
      <c r="H51" s="70">
        <f>'Monthly Forecast'!AC50</f>
        <v>0</v>
      </c>
      <c r="I51" s="70">
        <f>'Monthly Forecast'!AD50</f>
        <v>0</v>
      </c>
      <c r="J51" s="70">
        <f>'Monthly Forecast'!AE50</f>
        <v>0</v>
      </c>
      <c r="K51" s="70">
        <f>'Monthly Forecast'!AF50</f>
        <v>0</v>
      </c>
      <c r="L51" s="70">
        <f>'Monthly Forecast'!AG50</f>
        <v>0</v>
      </c>
      <c r="M51" s="70">
        <f>'Monthly Forecast'!AH50</f>
        <v>0</v>
      </c>
      <c r="N51" s="70">
        <f>'Monthly Forecast'!AI50</f>
        <v>0</v>
      </c>
      <c r="O51" s="70">
        <f>'Monthly Forecast'!AJ50</f>
        <v>0</v>
      </c>
      <c r="P51" s="6">
        <f>SUM(C51:O51)</f>
        <v>0.6</v>
      </c>
      <c r="Q51" s="70">
        <f t="shared" si="17"/>
        <v>0</v>
      </c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</row>
    <row r="52" spans="1:91" x14ac:dyDescent="0.2">
      <c r="A52" s="4">
        <v>41</v>
      </c>
      <c r="B52" s="32" t="s">
        <v>79</v>
      </c>
      <c r="C52" s="32"/>
      <c r="D52" s="31">
        <f t="shared" ref="D52:P52" si="18">D50+D51</f>
        <v>20.756</v>
      </c>
      <c r="E52" s="31">
        <f t="shared" si="18"/>
        <v>8.1245999999999992</v>
      </c>
      <c r="F52" s="31">
        <f t="shared" si="18"/>
        <v>25.572399999999998</v>
      </c>
      <c r="G52" s="31">
        <f t="shared" si="18"/>
        <v>29.400300000000001</v>
      </c>
      <c r="H52" s="31">
        <f t="shared" si="18"/>
        <v>69.720500000000001</v>
      </c>
      <c r="I52" s="31">
        <f t="shared" si="18"/>
        <v>230.327</v>
      </c>
      <c r="J52" s="31">
        <f t="shared" si="18"/>
        <v>2682.4531000000002</v>
      </c>
      <c r="K52" s="31">
        <f t="shared" si="18"/>
        <v>2690.6185999999998</v>
      </c>
      <c r="L52" s="31">
        <f t="shared" si="18"/>
        <v>2484.3530999999998</v>
      </c>
      <c r="M52" s="31">
        <f t="shared" si="18"/>
        <v>3118.0165999999999</v>
      </c>
      <c r="N52" s="31">
        <f t="shared" si="18"/>
        <v>1728.9152999999999</v>
      </c>
      <c r="O52" s="31">
        <f t="shared" si="18"/>
        <v>52.122199999999999</v>
      </c>
      <c r="P52" s="31">
        <f t="shared" si="18"/>
        <v>13141.869699999999</v>
      </c>
      <c r="Q52" s="31">
        <f>SUM(Q49:Q51)</f>
        <v>23321</v>
      </c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</row>
    <row r="53" spans="1:91" x14ac:dyDescent="0.2">
      <c r="A53" s="4">
        <v>42</v>
      </c>
      <c r="B53" s="16" t="s">
        <v>237</v>
      </c>
      <c r="D53" s="93">
        <f>'Monthly Forecast'!Y52</f>
        <v>3.3005671029755894</v>
      </c>
      <c r="E53" s="93">
        <f>'Monthly Forecast'!Z52</f>
        <v>3.3005671029755894</v>
      </c>
      <c r="F53" s="93">
        <f>'Monthly Forecast'!AA52</f>
        <v>3.3329920396898256</v>
      </c>
      <c r="G53" s="93">
        <f>'Monthly Forecast'!AB52</f>
        <v>3.3329920396898256</v>
      </c>
      <c r="H53" s="93">
        <f>'Monthly Forecast'!AC52</f>
        <v>3.3329920396898256</v>
      </c>
      <c r="I53" s="93">
        <f>'Monthly Forecast'!AD52</f>
        <v>3.2799670382500326</v>
      </c>
      <c r="J53" s="93">
        <f>'Monthly Forecast'!AE52</f>
        <v>3.2799670382500326</v>
      </c>
      <c r="K53" s="93">
        <f>'Monthly Forecast'!AF52</f>
        <v>3.2799670382500326</v>
      </c>
      <c r="L53" s="93">
        <f>'Monthly Forecast'!AG52</f>
        <v>3.284091890325727</v>
      </c>
      <c r="M53" s="93">
        <f>'Monthly Forecast'!AH52</f>
        <v>3.284091890325727</v>
      </c>
      <c r="N53" s="93">
        <f>'Monthly Forecast'!AI52</f>
        <v>3.284091890325727</v>
      </c>
      <c r="O53" s="93">
        <f>'Monthly Forecast'!AJ52</f>
        <v>3.560377723087385</v>
      </c>
      <c r="P53" s="93"/>
      <c r="Q53" s="93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</row>
    <row r="54" spans="1:91" x14ac:dyDescent="0.2">
      <c r="A54" s="4">
        <v>43</v>
      </c>
      <c r="B54" s="16" t="s">
        <v>229</v>
      </c>
      <c r="D54" s="59">
        <f t="shared" ref="D54:O54" si="19">D53*D52</f>
        <v>68.506570789361334</v>
      </c>
      <c r="E54" s="59">
        <f t="shared" si="19"/>
        <v>26.815787484835472</v>
      </c>
      <c r="F54" s="59">
        <f t="shared" si="19"/>
        <v>85.232605635764088</v>
      </c>
      <c r="G54" s="59">
        <f t="shared" si="19"/>
        <v>97.990965864492779</v>
      </c>
      <c r="H54" s="59">
        <f t="shared" si="19"/>
        <v>232.37787150319448</v>
      </c>
      <c r="I54" s="59">
        <f t="shared" si="19"/>
        <v>755.46496801901526</v>
      </c>
      <c r="J54" s="59">
        <f t="shared" si="19"/>
        <v>8798.3577496516191</v>
      </c>
      <c r="K54" s="59">
        <f t="shared" si="19"/>
        <v>8825.140320502449</v>
      </c>
      <c r="L54" s="59">
        <f t="shared" si="19"/>
        <v>8158.843868415579</v>
      </c>
      <c r="M54" s="59">
        <f t="shared" si="19"/>
        <v>10239.853029960996</v>
      </c>
      <c r="N54" s="59">
        <f t="shared" si="19"/>
        <v>5677.9167157900711</v>
      </c>
      <c r="O54" s="59">
        <f t="shared" si="19"/>
        <v>185.57471975830529</v>
      </c>
      <c r="P54" s="59">
        <f>SUM(D54:O54)</f>
        <v>43152.075173375677</v>
      </c>
      <c r="Q54" s="38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</row>
    <row r="55" spans="1:91" x14ac:dyDescent="0.2">
      <c r="A55" s="4">
        <v>44</v>
      </c>
      <c r="D55" s="34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</row>
    <row r="56" spans="1:91" x14ac:dyDescent="0.2">
      <c r="A56" s="4">
        <v>45</v>
      </c>
      <c r="B56" s="68" t="s">
        <v>86</v>
      </c>
      <c r="D56" s="101">
        <f t="shared" ref="D56:O56" si="20">D57*$C$57+D58*$C$58+D59*$C$59</f>
        <v>35114.619380000004</v>
      </c>
      <c r="E56" s="101">
        <f t="shared" si="20"/>
        <v>17699.015542000001</v>
      </c>
      <c r="F56" s="101">
        <f t="shared" si="20"/>
        <v>19561.887892000002</v>
      </c>
      <c r="G56" s="101">
        <f t="shared" si="20"/>
        <v>12551.042997</v>
      </c>
      <c r="H56" s="101">
        <f t="shared" si="20"/>
        <v>28885.830161999998</v>
      </c>
      <c r="I56" s="101">
        <f t="shared" si="20"/>
        <v>15371.299244</v>
      </c>
      <c r="J56" s="101">
        <f t="shared" si="20"/>
        <v>24438.197596000002</v>
      </c>
      <c r="K56" s="101">
        <f t="shared" si="20"/>
        <v>31065.273943999997</v>
      </c>
      <c r="L56" s="101">
        <f t="shared" si="20"/>
        <v>21123.688296000004</v>
      </c>
      <c r="M56" s="101">
        <f t="shared" si="20"/>
        <v>43697.466245000011</v>
      </c>
      <c r="N56" s="101">
        <f t="shared" si="20"/>
        <v>24741.186759</v>
      </c>
      <c r="O56" s="101">
        <f t="shared" si="20"/>
        <v>39568.190029999998</v>
      </c>
      <c r="P56" s="101">
        <f>SUM(D56:O56)</f>
        <v>313817.698087</v>
      </c>
      <c r="Q56" s="101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</row>
    <row r="57" spans="1:91" x14ac:dyDescent="0.2">
      <c r="A57" s="4">
        <v>46</v>
      </c>
      <c r="B57" s="2" t="s">
        <v>84</v>
      </c>
      <c r="C57" s="99">
        <f>C49</f>
        <v>375</v>
      </c>
      <c r="D57" s="70">
        <f>'Monthly Forecast'!Y56</f>
        <v>8</v>
      </c>
      <c r="E57" s="70">
        <f>'Monthly Forecast'!Z56</f>
        <v>8</v>
      </c>
      <c r="F57" s="70">
        <f>'Monthly Forecast'!AA56</f>
        <v>8</v>
      </c>
      <c r="G57" s="70">
        <f>'Monthly Forecast'!AB56</f>
        <v>7</v>
      </c>
      <c r="H57" s="70">
        <f>'Monthly Forecast'!AC56</f>
        <v>10</v>
      </c>
      <c r="I57" s="70">
        <f>'Monthly Forecast'!AD56</f>
        <v>10</v>
      </c>
      <c r="J57" s="70">
        <f>'Monthly Forecast'!AE56</f>
        <v>8</v>
      </c>
      <c r="K57" s="70">
        <f>'Monthly Forecast'!AF56</f>
        <v>11</v>
      </c>
      <c r="L57" s="70">
        <f>'Monthly Forecast'!AG56</f>
        <v>9</v>
      </c>
      <c r="M57" s="70">
        <f>'Monthly Forecast'!AH56</f>
        <v>9</v>
      </c>
      <c r="N57" s="70">
        <f>'Monthly Forecast'!AI56</f>
        <v>10</v>
      </c>
      <c r="O57" s="70">
        <f>'Monthly Forecast'!AJ56</f>
        <v>8</v>
      </c>
      <c r="P57" s="70">
        <f>ROUND((SUM(D57:O57)),0)</f>
        <v>106</v>
      </c>
      <c r="Q57" s="70">
        <f t="shared" ref="Q57:Q59" si="21">ROUND(P57*C57,0)</f>
        <v>39750</v>
      </c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</row>
    <row r="58" spans="1:91" x14ac:dyDescent="0.2">
      <c r="A58" s="4">
        <v>47</v>
      </c>
      <c r="B58" s="2" t="s">
        <v>85</v>
      </c>
      <c r="C58" s="14">
        <f>C50</f>
        <v>0.89</v>
      </c>
      <c r="D58" s="70">
        <f>'Monthly Forecast'!Y57</f>
        <v>36083.842000000004</v>
      </c>
      <c r="E58" s="70">
        <f>'Monthly Forecast'!Z57</f>
        <v>16515.747800000001</v>
      </c>
      <c r="F58" s="70">
        <f>'Monthly Forecast'!AA57</f>
        <v>18608.862800000003</v>
      </c>
      <c r="G58" s="70">
        <f>'Monthly Forecast'!AB57</f>
        <v>11152.8573</v>
      </c>
      <c r="H58" s="70">
        <f>'Monthly Forecast'!AC57</f>
        <v>28242.505799999999</v>
      </c>
      <c r="I58" s="70">
        <f>'Monthly Forecast'!AD57</f>
        <v>13057.639599999999</v>
      </c>
      <c r="J58" s="70">
        <f>'Monthly Forecast'!AE57</f>
        <v>22604.716400000001</v>
      </c>
      <c r="K58" s="70">
        <f>'Monthly Forecast'!AF57</f>
        <v>27710.869599999998</v>
      </c>
      <c r="L58" s="70">
        <f>'Monthly Forecast'!AG57</f>
        <v>19942.346400000002</v>
      </c>
      <c r="M58" s="70">
        <f>'Monthly Forecast'!AH57</f>
        <v>34783.22050000001</v>
      </c>
      <c r="N58" s="70">
        <f>'Monthly Forecast'!AI57</f>
        <v>23585.6031</v>
      </c>
      <c r="O58" s="70">
        <f>'Monthly Forecast'!AJ57</f>
        <v>39729.426999999996</v>
      </c>
      <c r="P58" s="6">
        <f>SUM(C58:O58)</f>
        <v>292018.52830000001</v>
      </c>
      <c r="Q58" s="70">
        <f t="shared" si="21"/>
        <v>259896</v>
      </c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</row>
    <row r="59" spans="1:91" x14ac:dyDescent="0.2">
      <c r="A59" s="4">
        <v>48</v>
      </c>
      <c r="B59" s="1" t="s">
        <v>81</v>
      </c>
      <c r="C59" s="14">
        <f>C51</f>
        <v>0.6</v>
      </c>
      <c r="D59" s="70">
        <f>'Monthly Forecast'!Y58</f>
        <v>0</v>
      </c>
      <c r="E59" s="70">
        <f>'Monthly Forecast'!Z58</f>
        <v>0</v>
      </c>
      <c r="F59" s="70">
        <f>'Monthly Forecast'!AA58</f>
        <v>0</v>
      </c>
      <c r="G59" s="70">
        <f>'Monthly Forecast'!AB58</f>
        <v>0</v>
      </c>
      <c r="H59" s="70">
        <f>'Monthly Forecast'!AC58</f>
        <v>0</v>
      </c>
      <c r="I59" s="70">
        <f>'Monthly Forecast'!AD58</f>
        <v>0</v>
      </c>
      <c r="J59" s="70">
        <f>'Monthly Forecast'!AE58</f>
        <v>2200</v>
      </c>
      <c r="K59" s="70">
        <f>'Monthly Forecast'!AF58</f>
        <v>3796</v>
      </c>
      <c r="L59" s="70">
        <f>'Monthly Forecast'!AG58</f>
        <v>0</v>
      </c>
      <c r="M59" s="70">
        <f>'Monthly Forecast'!AH58</f>
        <v>15609</v>
      </c>
      <c r="N59" s="70">
        <f>'Monthly Forecast'!AI58</f>
        <v>0</v>
      </c>
      <c r="O59" s="70">
        <f>'Monthly Forecast'!AJ58</f>
        <v>2015</v>
      </c>
      <c r="P59" s="6">
        <f>SUM(C59:O59)</f>
        <v>23620.6</v>
      </c>
      <c r="Q59" s="70">
        <f t="shared" si="21"/>
        <v>14172</v>
      </c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</row>
    <row r="60" spans="1:91" x14ac:dyDescent="0.2">
      <c r="A60" s="4">
        <v>49</v>
      </c>
      <c r="B60" s="32" t="s">
        <v>79</v>
      </c>
      <c r="C60" s="32"/>
      <c r="D60" s="31">
        <f t="shared" ref="D60:P60" si="22">D58+D59</f>
        <v>36083.842000000004</v>
      </c>
      <c r="E60" s="31">
        <f t="shared" si="22"/>
        <v>16515.747800000001</v>
      </c>
      <c r="F60" s="31">
        <f t="shared" si="22"/>
        <v>18608.862800000003</v>
      </c>
      <c r="G60" s="31">
        <f t="shared" si="22"/>
        <v>11152.8573</v>
      </c>
      <c r="H60" s="31">
        <f t="shared" si="22"/>
        <v>28242.505799999999</v>
      </c>
      <c r="I60" s="31">
        <f t="shared" si="22"/>
        <v>13057.639599999999</v>
      </c>
      <c r="J60" s="31">
        <f t="shared" si="22"/>
        <v>24804.716400000001</v>
      </c>
      <c r="K60" s="31">
        <f t="shared" si="22"/>
        <v>31506.869599999998</v>
      </c>
      <c r="L60" s="31">
        <f t="shared" si="22"/>
        <v>19942.346400000002</v>
      </c>
      <c r="M60" s="31">
        <f t="shared" si="22"/>
        <v>50392.22050000001</v>
      </c>
      <c r="N60" s="31">
        <f t="shared" si="22"/>
        <v>23585.6031</v>
      </c>
      <c r="O60" s="31">
        <f t="shared" si="22"/>
        <v>41744.426999999996</v>
      </c>
      <c r="P60" s="31">
        <f t="shared" si="22"/>
        <v>315639.12829999998</v>
      </c>
      <c r="Q60" s="31">
        <f>SUM(Q57:Q59)</f>
        <v>313818</v>
      </c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</row>
    <row r="61" spans="1:91" x14ac:dyDescent="0.2">
      <c r="A61" s="4">
        <v>50</v>
      </c>
      <c r="B61" s="16" t="s">
        <v>237</v>
      </c>
      <c r="D61" s="93">
        <f>'Monthly Forecast'!Y60</f>
        <v>3.3005671029755894</v>
      </c>
      <c r="E61" s="93">
        <f>'Monthly Forecast'!Z60</f>
        <v>3.3005671029755894</v>
      </c>
      <c r="F61" s="93">
        <f>'Monthly Forecast'!AA60</f>
        <v>3.3329920396898256</v>
      </c>
      <c r="G61" s="93">
        <f>'Monthly Forecast'!AB60</f>
        <v>3.3329920396898256</v>
      </c>
      <c r="H61" s="93">
        <f>'Monthly Forecast'!AC60</f>
        <v>3.3329920396898256</v>
      </c>
      <c r="I61" s="93">
        <f>'Monthly Forecast'!AD60</f>
        <v>3.2799670382500326</v>
      </c>
      <c r="J61" s="93">
        <f>'Monthly Forecast'!AE60</f>
        <v>3.2799670382500326</v>
      </c>
      <c r="K61" s="93">
        <f>'Monthly Forecast'!AF60</f>
        <v>3.2799670382500326</v>
      </c>
      <c r="L61" s="93">
        <f>'Monthly Forecast'!AG60</f>
        <v>3.284091890325727</v>
      </c>
      <c r="M61" s="93">
        <f>'Monthly Forecast'!AH60</f>
        <v>3.284091890325727</v>
      </c>
      <c r="N61" s="93">
        <f>'Monthly Forecast'!AI60</f>
        <v>3.284091890325727</v>
      </c>
      <c r="O61" s="93">
        <f>'Monthly Forecast'!AJ60</f>
        <v>3.560377723087385</v>
      </c>
      <c r="P61" s="93"/>
      <c r="Q61" s="93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</row>
    <row r="62" spans="1:91" x14ac:dyDescent="0.2">
      <c r="A62" s="4">
        <v>51</v>
      </c>
      <c r="B62" s="16" t="s">
        <v>229</v>
      </c>
      <c r="D62" s="59">
        <f t="shared" ref="D62:O62" si="23">D61*D60</f>
        <v>119097.14185416891</v>
      </c>
      <c r="E62" s="59">
        <f t="shared" si="23"/>
        <v>54511.333869721471</v>
      </c>
      <c r="F62" s="59">
        <f t="shared" si="23"/>
        <v>62023.191580080129</v>
      </c>
      <c r="G62" s="59">
        <f t="shared" si="23"/>
        <v>37172.384600696561</v>
      </c>
      <c r="H62" s="59">
        <f t="shared" si="23"/>
        <v>94132.047012293726</v>
      </c>
      <c r="I62" s="59">
        <f t="shared" si="23"/>
        <v>42828.627485348334</v>
      </c>
      <c r="J62" s="59">
        <f t="shared" si="23"/>
        <v>81358.652185140018</v>
      </c>
      <c r="K62" s="59">
        <f t="shared" si="23"/>
        <v>103341.49376644198</v>
      </c>
      <c r="L62" s="59">
        <f t="shared" si="23"/>
        <v>65492.498086306463</v>
      </c>
      <c r="M62" s="59">
        <f t="shared" si="23"/>
        <v>165492.68267955587</v>
      </c>
      <c r="N62" s="59">
        <f t="shared" si="23"/>
        <v>77457.287869151332</v>
      </c>
      <c r="O62" s="59">
        <f t="shared" si="23"/>
        <v>148625.92795384754</v>
      </c>
      <c r="P62" s="3">
        <f>SUM(C62:O62)</f>
        <v>1051533.2689427522</v>
      </c>
      <c r="Q62" s="38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</row>
    <row r="63" spans="1:91" x14ac:dyDescent="0.2">
      <c r="A63" s="4">
        <v>52</v>
      </c>
      <c r="B63" s="16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3"/>
      <c r="Q63" s="38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</row>
    <row r="64" spans="1:91" x14ac:dyDescent="0.2">
      <c r="A64" s="4">
        <v>53</v>
      </c>
      <c r="B64" s="68" t="s">
        <v>88</v>
      </c>
      <c r="D64" s="101">
        <f>D65*$C$65+D69*$C$69+D70*$C$70+D71*$C$71+D66+D67+D68</f>
        <v>556621.14119999995</v>
      </c>
      <c r="E64" s="101">
        <f t="shared" ref="E64:O64" si="24">E65*$C$65+E69*$C$69+E70*$C$70+E71*$C$71+E66+E67+E68</f>
        <v>551388.48680000007</v>
      </c>
      <c r="F64" s="101">
        <f t="shared" si="24"/>
        <v>562540.58280000009</v>
      </c>
      <c r="G64" s="101">
        <f t="shared" si="24"/>
        <v>562219.66680000001</v>
      </c>
      <c r="H64" s="101">
        <f t="shared" si="24"/>
        <v>634444.32380000001</v>
      </c>
      <c r="I64" s="101">
        <f t="shared" si="24"/>
        <v>745227.82119999989</v>
      </c>
      <c r="J64" s="101">
        <f t="shared" si="24"/>
        <v>759951.5512000001</v>
      </c>
      <c r="K64" s="101">
        <f t="shared" si="24"/>
        <v>874455.6372</v>
      </c>
      <c r="L64" s="101">
        <f t="shared" si="24"/>
        <v>862133.97279999999</v>
      </c>
      <c r="M64" s="101">
        <f t="shared" si="24"/>
        <v>760250.81079999998</v>
      </c>
      <c r="N64" s="101">
        <f t="shared" si="24"/>
        <v>615517.64240000001</v>
      </c>
      <c r="O64" s="101">
        <f t="shared" si="24"/>
        <v>577163.7276000001</v>
      </c>
      <c r="P64" s="101">
        <f>SUM(D64:O64)</f>
        <v>8061915.364599999</v>
      </c>
      <c r="Q64" s="101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</row>
    <row r="65" spans="1:91" x14ac:dyDescent="0.2">
      <c r="A65" s="4">
        <v>54</v>
      </c>
      <c r="B65" s="1" t="s">
        <v>87</v>
      </c>
      <c r="C65" s="99">
        <f>'Rate Design'!G15</f>
        <v>375</v>
      </c>
      <c r="D65" s="70">
        <f>'Monthly Forecast'!Y64</f>
        <v>123</v>
      </c>
      <c r="E65" s="70">
        <f>'Monthly Forecast'!Z64</f>
        <v>123</v>
      </c>
      <c r="F65" s="70">
        <f>'Monthly Forecast'!AA64</f>
        <v>123</v>
      </c>
      <c r="G65" s="70">
        <f>'Monthly Forecast'!AB64</f>
        <v>123</v>
      </c>
      <c r="H65" s="70">
        <f>'Monthly Forecast'!AC64</f>
        <v>123</v>
      </c>
      <c r="I65" s="70">
        <f>'Monthly Forecast'!AD64</f>
        <v>123</v>
      </c>
      <c r="J65" s="70">
        <f>'Monthly Forecast'!AE64</f>
        <v>123</v>
      </c>
      <c r="K65" s="70">
        <f>'Monthly Forecast'!AF64</f>
        <v>123</v>
      </c>
      <c r="L65" s="70">
        <f>'Monthly Forecast'!AG64</f>
        <v>123</v>
      </c>
      <c r="M65" s="70">
        <f>'Monthly Forecast'!AH64</f>
        <v>123</v>
      </c>
      <c r="N65" s="70">
        <f>'Monthly Forecast'!AI64</f>
        <v>123</v>
      </c>
      <c r="O65" s="70">
        <f>'Monthly Forecast'!AJ64</f>
        <v>123</v>
      </c>
      <c r="P65" s="6">
        <f>SUM(D65:O65)</f>
        <v>1476</v>
      </c>
      <c r="Q65" s="70">
        <f>ROUND(P65*C65,0)</f>
        <v>553500</v>
      </c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</row>
    <row r="66" spans="1:91" x14ac:dyDescent="0.2">
      <c r="A66" s="4">
        <v>55</v>
      </c>
      <c r="B66" s="2" t="s">
        <v>1</v>
      </c>
      <c r="D66" s="70">
        <f>'Monthly Forecast'!Y65</f>
        <v>6050</v>
      </c>
      <c r="E66" s="70">
        <f>'Monthly Forecast'!Z65</f>
        <v>6050</v>
      </c>
      <c r="F66" s="70">
        <f>'Monthly Forecast'!AA65</f>
        <v>6050</v>
      </c>
      <c r="G66" s="70">
        <f>'Monthly Forecast'!AB65</f>
        <v>6050</v>
      </c>
      <c r="H66" s="70">
        <f>'Monthly Forecast'!AC65</f>
        <v>6050</v>
      </c>
      <c r="I66" s="70">
        <f>'Monthly Forecast'!AD65</f>
        <v>6050</v>
      </c>
      <c r="J66" s="70">
        <f>'Monthly Forecast'!AE65</f>
        <v>6050</v>
      </c>
      <c r="K66" s="70">
        <f>'Monthly Forecast'!AF65</f>
        <v>6050</v>
      </c>
      <c r="L66" s="70">
        <f>'Monthly Forecast'!AG65</f>
        <v>6050</v>
      </c>
      <c r="M66" s="70">
        <f>'Monthly Forecast'!AH65</f>
        <v>6050</v>
      </c>
      <c r="N66" s="70">
        <f>'Monthly Forecast'!AI65</f>
        <v>6050</v>
      </c>
      <c r="O66" s="70">
        <f>'Monthly Forecast'!AJ65</f>
        <v>6050</v>
      </c>
      <c r="P66" s="3">
        <f t="shared" ref="P66:P71" si="25">SUM(D66:O66)</f>
        <v>72600</v>
      </c>
      <c r="Q66" s="70">
        <f>P66</f>
        <v>72600</v>
      </c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</row>
    <row r="67" spans="1:91" x14ac:dyDescent="0.2">
      <c r="A67" s="4">
        <v>56</v>
      </c>
      <c r="B67" s="2" t="s">
        <v>62</v>
      </c>
      <c r="D67" s="70">
        <f>'Monthly Forecast'!Y66</f>
        <v>6175</v>
      </c>
      <c r="E67" s="70">
        <f>'Monthly Forecast'!Z66</f>
        <v>6175</v>
      </c>
      <c r="F67" s="70">
        <f>'Monthly Forecast'!AA66</f>
        <v>6200</v>
      </c>
      <c r="G67" s="70">
        <f>'Monthly Forecast'!AB66</f>
        <v>6025</v>
      </c>
      <c r="H67" s="70">
        <f>'Monthly Forecast'!AC66</f>
        <v>6025</v>
      </c>
      <c r="I67" s="70">
        <f>'Monthly Forecast'!AD66</f>
        <v>6050</v>
      </c>
      <c r="J67" s="70">
        <f>'Monthly Forecast'!AE66</f>
        <v>6050</v>
      </c>
      <c r="K67" s="70">
        <f>'Monthly Forecast'!AF66</f>
        <v>6050</v>
      </c>
      <c r="L67" s="70">
        <f>'Monthly Forecast'!AG66</f>
        <v>6050</v>
      </c>
      <c r="M67" s="70">
        <f>'Monthly Forecast'!AH66</f>
        <v>6050</v>
      </c>
      <c r="N67" s="70">
        <f>'Monthly Forecast'!AI66</f>
        <v>6075</v>
      </c>
      <c r="O67" s="70">
        <f>'Monthly Forecast'!AJ66</f>
        <v>6075</v>
      </c>
      <c r="P67" s="3">
        <f t="shared" si="25"/>
        <v>73000</v>
      </c>
      <c r="Q67" s="70">
        <f>P67</f>
        <v>73000</v>
      </c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</row>
    <row r="68" spans="1:91" x14ac:dyDescent="0.2">
      <c r="A68" s="4">
        <v>57</v>
      </c>
      <c r="B68" s="2" t="s">
        <v>2</v>
      </c>
      <c r="D68" s="70">
        <f>'Monthly Forecast'!Y67</f>
        <v>31.1</v>
      </c>
      <c r="E68" s="70">
        <f>'Monthly Forecast'!Z67</f>
        <v>34.4</v>
      </c>
      <c r="F68" s="70">
        <f>'Monthly Forecast'!AA67</f>
        <v>30.799999999999997</v>
      </c>
      <c r="G68" s="70">
        <f>'Monthly Forecast'!AB67</f>
        <v>39.6</v>
      </c>
      <c r="H68" s="70">
        <f>'Monthly Forecast'!AC67</f>
        <v>42.3</v>
      </c>
      <c r="I68" s="70">
        <f>'Monthly Forecast'!AD67</f>
        <v>115.69999999999999</v>
      </c>
      <c r="J68" s="70">
        <f>'Monthly Forecast'!AE67</f>
        <v>143.30000000000001</v>
      </c>
      <c r="K68" s="70">
        <f>'Monthly Forecast'!AF67</f>
        <v>173.89999999999998</v>
      </c>
      <c r="L68" s="70">
        <f>'Monthly Forecast'!AG67</f>
        <v>182.5</v>
      </c>
      <c r="M68" s="70">
        <f>'Monthly Forecast'!AH67</f>
        <v>70.400000000000006</v>
      </c>
      <c r="N68" s="70">
        <f>'Monthly Forecast'!AI67</f>
        <v>23.1</v>
      </c>
      <c r="O68" s="70">
        <f>'Monthly Forecast'!AJ67</f>
        <v>25.8</v>
      </c>
      <c r="P68" s="3">
        <f t="shared" si="25"/>
        <v>912.89999999999986</v>
      </c>
      <c r="Q68" s="70">
        <f>P68</f>
        <v>912.89999999999986</v>
      </c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</row>
    <row r="69" spans="1:91" x14ac:dyDescent="0.2">
      <c r="A69" s="4">
        <v>58</v>
      </c>
      <c r="B69" s="1" t="s">
        <v>32</v>
      </c>
      <c r="C69" s="14">
        <f>'Rate Design'!G23</f>
        <v>1.58</v>
      </c>
      <c r="D69" s="70">
        <f>'Monthly Forecast'!Y68</f>
        <v>34136</v>
      </c>
      <c r="E69" s="70">
        <f>'Monthly Forecast'!Z68</f>
        <v>33819</v>
      </c>
      <c r="F69" s="70">
        <f>'Monthly Forecast'!AA68</f>
        <v>34474</v>
      </c>
      <c r="G69" s="70">
        <f>'Monthly Forecast'!AB68</f>
        <v>34611</v>
      </c>
      <c r="H69" s="70">
        <f>'Monthly Forecast'!AC68</f>
        <v>36171</v>
      </c>
      <c r="I69" s="70">
        <f>'Monthly Forecast'!AD68</f>
        <v>36744</v>
      </c>
      <c r="J69" s="70">
        <f>'Monthly Forecast'!AE68</f>
        <v>36730</v>
      </c>
      <c r="K69" s="70">
        <f>'Monthly Forecast'!AF68</f>
        <v>36900</v>
      </c>
      <c r="L69" s="70">
        <f>'Monthly Forecast'!AG68</f>
        <v>36900</v>
      </c>
      <c r="M69" s="70">
        <f>'Monthly Forecast'!AH68</f>
        <v>36900</v>
      </c>
      <c r="N69" s="70">
        <f>'Monthly Forecast'!AI68</f>
        <v>35971</v>
      </c>
      <c r="O69" s="70">
        <f>'Monthly Forecast'!AJ68</f>
        <v>35254</v>
      </c>
      <c r="P69" s="6">
        <f t="shared" si="25"/>
        <v>428610</v>
      </c>
      <c r="Q69" s="70">
        <f t="shared" ref="Q69:Q71" si="26">ROUND(P69*C69,0)</f>
        <v>677204</v>
      </c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</row>
    <row r="70" spans="1:91" x14ac:dyDescent="0.2">
      <c r="A70" s="4">
        <v>59</v>
      </c>
      <c r="B70" s="1" t="s">
        <v>33</v>
      </c>
      <c r="C70" s="14">
        <f>'Rate Design'!G24</f>
        <v>1.01</v>
      </c>
      <c r="D70" s="70">
        <f>'Monthly Forecast'!Y69</f>
        <v>392796</v>
      </c>
      <c r="E70" s="70">
        <f>'Monthly Forecast'!Z69</f>
        <v>381594</v>
      </c>
      <c r="F70" s="70">
        <f>'Monthly Forecast'!AA69</f>
        <v>397247</v>
      </c>
      <c r="G70" s="70">
        <f>'Monthly Forecast'!AB69</f>
        <v>392460.4</v>
      </c>
      <c r="H70" s="70">
        <f>'Monthly Forecast'!AC69</f>
        <v>449303.7</v>
      </c>
      <c r="I70" s="70">
        <f>'Monthly Forecast'!AD69</f>
        <v>549285</v>
      </c>
      <c r="J70" s="70">
        <f>'Monthly Forecast'!AE69</f>
        <v>558687</v>
      </c>
      <c r="K70" s="70">
        <f>'Monthly Forecast'!AF69</f>
        <v>639686</v>
      </c>
      <c r="L70" s="70">
        <f>'Monthly Forecast'!AG69</f>
        <v>636082</v>
      </c>
      <c r="M70" s="70">
        <f>'Monthly Forecast'!AH69</f>
        <v>555421</v>
      </c>
      <c r="N70" s="70">
        <f>'Monthly Forecast'!AI69</f>
        <v>438789</v>
      </c>
      <c r="O70" s="70">
        <f>'Monthly Forecast'!AJ69</f>
        <v>409871</v>
      </c>
      <c r="P70" s="6">
        <f t="shared" si="25"/>
        <v>5801222.0999999996</v>
      </c>
      <c r="Q70" s="70">
        <f t="shared" si="26"/>
        <v>5859234</v>
      </c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</row>
    <row r="71" spans="1:91" x14ac:dyDescent="0.2">
      <c r="A71" s="4">
        <v>60</v>
      </c>
      <c r="B71" s="1" t="s">
        <v>34</v>
      </c>
      <c r="C71" s="14">
        <f>'Rate Design'!G25</f>
        <v>0.7228</v>
      </c>
      <c r="D71" s="70">
        <f>'Monthly Forecast'!Y70</f>
        <v>65829</v>
      </c>
      <c r="E71" s="70">
        <f>'Monthly Forecast'!Z70</f>
        <v>74931</v>
      </c>
      <c r="F71" s="70">
        <f>'Monthly Forecast'!AA70</f>
        <v>67026</v>
      </c>
      <c r="G71" s="70">
        <f>'Monthly Forecast'!AB70</f>
        <v>73201</v>
      </c>
      <c r="H71" s="70">
        <f>'Monthly Forecast'!AC70</f>
        <v>90281</v>
      </c>
      <c r="I71" s="70">
        <f>'Monthly Forecast'!AD70</f>
        <v>102454</v>
      </c>
      <c r="J71" s="70">
        <f>'Monthly Forecast'!AE70</f>
        <v>109679</v>
      </c>
      <c r="K71" s="70">
        <f>'Monthly Forecast'!AF70</f>
        <v>154499</v>
      </c>
      <c r="L71" s="70">
        <f>'Monthly Forecast'!AG70</f>
        <v>142476</v>
      </c>
      <c r="M71" s="70">
        <f>'Monthly Forecast'!AH70</f>
        <v>114386</v>
      </c>
      <c r="N71" s="70">
        <f>'Monthly Forecast'!AI70</f>
        <v>79183</v>
      </c>
      <c r="O71" s="70">
        <f>'Monthly Forecast'!AJ70</f>
        <v>68092</v>
      </c>
      <c r="P71" s="6">
        <f t="shared" si="25"/>
        <v>1142037</v>
      </c>
      <c r="Q71" s="70">
        <f t="shared" si="26"/>
        <v>825464</v>
      </c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</row>
    <row r="72" spans="1:91" x14ac:dyDescent="0.2">
      <c r="A72" s="4">
        <v>61</v>
      </c>
      <c r="B72" s="32" t="s">
        <v>79</v>
      </c>
      <c r="C72" s="32"/>
      <c r="D72" s="31">
        <f t="shared" ref="D72:O72" si="27">D69+D70+D71</f>
        <v>492761</v>
      </c>
      <c r="E72" s="31">
        <f t="shared" si="27"/>
        <v>490344</v>
      </c>
      <c r="F72" s="31">
        <f t="shared" si="27"/>
        <v>498747</v>
      </c>
      <c r="G72" s="31">
        <f t="shared" si="27"/>
        <v>500272.4</v>
      </c>
      <c r="H72" s="31">
        <f t="shared" si="27"/>
        <v>575755.69999999995</v>
      </c>
      <c r="I72" s="31">
        <f t="shared" si="27"/>
        <v>688483</v>
      </c>
      <c r="J72" s="31">
        <f t="shared" si="27"/>
        <v>705096</v>
      </c>
      <c r="K72" s="31">
        <f t="shared" si="27"/>
        <v>831085</v>
      </c>
      <c r="L72" s="31">
        <f t="shared" si="27"/>
        <v>815458</v>
      </c>
      <c r="M72" s="31">
        <f t="shared" si="27"/>
        <v>706707</v>
      </c>
      <c r="N72" s="31">
        <f t="shared" si="27"/>
        <v>553943</v>
      </c>
      <c r="O72" s="31">
        <f t="shared" si="27"/>
        <v>513217</v>
      </c>
      <c r="P72" s="90">
        <f>SUM(C72:O72)</f>
        <v>7371869.0999999996</v>
      </c>
      <c r="Q72" s="31">
        <f>SUM(Q65:Q71)</f>
        <v>8061914.9000000004</v>
      </c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</row>
    <row r="73" spans="1:91" x14ac:dyDescent="0.2">
      <c r="A73" s="4">
        <v>62</v>
      </c>
      <c r="Q73" s="2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</row>
    <row r="74" spans="1:91" x14ac:dyDescent="0.2">
      <c r="A74" s="4">
        <v>63</v>
      </c>
      <c r="B74" s="171" t="s">
        <v>663</v>
      </c>
      <c r="C74" s="1"/>
      <c r="D74" s="576">
        <f>D75*$C$75+D76*$C$76+D77*$C$77</f>
        <v>8628.6057000000001</v>
      </c>
      <c r="E74" s="576">
        <f t="shared" ref="E74:O74" si="28">E75*$C$75+E76*$C$76+E77*$C$77</f>
        <v>7892.4339</v>
      </c>
      <c r="F74" s="576">
        <f t="shared" si="28"/>
        <v>8047.4745000000003</v>
      </c>
      <c r="G74" s="576">
        <f t="shared" si="28"/>
        <v>7010.4372000000003</v>
      </c>
      <c r="H74" s="576">
        <f t="shared" si="28"/>
        <v>7554.1635000000006</v>
      </c>
      <c r="I74" s="576">
        <f t="shared" si="28"/>
        <v>10792.101600000002</v>
      </c>
      <c r="J74" s="576">
        <f t="shared" si="28"/>
        <v>9042.2027999999991</v>
      </c>
      <c r="K74" s="576">
        <f t="shared" si="28"/>
        <v>13363.824000000001</v>
      </c>
      <c r="L74" s="576">
        <f t="shared" si="28"/>
        <v>11178.076799999999</v>
      </c>
      <c r="M74" s="576">
        <f t="shared" si="28"/>
        <v>10586.4426</v>
      </c>
      <c r="N74" s="576">
        <f t="shared" si="28"/>
        <v>9932.8983000000007</v>
      </c>
      <c r="O74" s="576">
        <f t="shared" si="28"/>
        <v>9288.8834999999999</v>
      </c>
      <c r="P74" s="576">
        <f>SUM(D74:O74)</f>
        <v>113317.54439999998</v>
      </c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</row>
    <row r="75" spans="1:91" x14ac:dyDescent="0.2">
      <c r="A75" s="4">
        <v>64</v>
      </c>
      <c r="B75" s="1" t="s">
        <v>32</v>
      </c>
      <c r="C75" s="527">
        <f>ROUND((C69*0.75),4)</f>
        <v>1.1850000000000001</v>
      </c>
      <c r="D75" s="70">
        <f>'Monthly Forecast'!Y74</f>
        <v>0</v>
      </c>
      <c r="E75" s="70">
        <f>'Monthly Forecast'!Z74</f>
        <v>0</v>
      </c>
      <c r="F75" s="70">
        <f>'Monthly Forecast'!AA74</f>
        <v>0</v>
      </c>
      <c r="G75" s="70">
        <f>'Monthly Forecast'!AB74</f>
        <v>0</v>
      </c>
      <c r="H75" s="70">
        <f>'Monthly Forecast'!AC74</f>
        <v>0</v>
      </c>
      <c r="I75" s="70">
        <f>'Monthly Forecast'!AD74</f>
        <v>0</v>
      </c>
      <c r="J75" s="70">
        <f>'Monthly Forecast'!AE74</f>
        <v>0</v>
      </c>
      <c r="K75" s="70">
        <f>'Monthly Forecast'!AF74</f>
        <v>0</v>
      </c>
      <c r="L75" s="70">
        <f>'Monthly Forecast'!AG74</f>
        <v>0</v>
      </c>
      <c r="M75" s="70">
        <f>'Monthly Forecast'!AH74</f>
        <v>0</v>
      </c>
      <c r="N75" s="70">
        <f>'Monthly Forecast'!AI74</f>
        <v>0</v>
      </c>
      <c r="O75" s="70">
        <f>'Monthly Forecast'!AJ74</f>
        <v>0</v>
      </c>
      <c r="P75" s="6">
        <f t="shared" ref="P75:P77" si="29">SUM(D75:O75)</f>
        <v>0</v>
      </c>
      <c r="Q75" s="70">
        <f t="shared" ref="Q75:Q77" si="30">P75*C75</f>
        <v>0</v>
      </c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</row>
    <row r="76" spans="1:91" x14ac:dyDescent="0.2">
      <c r="A76" s="4">
        <v>65</v>
      </c>
      <c r="B76" s="1" t="s">
        <v>33</v>
      </c>
      <c r="C76" s="527">
        <f t="shared" ref="C76:C77" si="31">ROUND((C70*0.75),4)</f>
        <v>0.75749999999999995</v>
      </c>
      <c r="D76" s="70">
        <f>'Monthly Forecast'!Y75</f>
        <v>0</v>
      </c>
      <c r="E76" s="70">
        <f>'Monthly Forecast'!Z75</f>
        <v>0</v>
      </c>
      <c r="F76" s="70">
        <f>'Monthly Forecast'!AA75</f>
        <v>0</v>
      </c>
      <c r="G76" s="70">
        <f>'Monthly Forecast'!AB75</f>
        <v>0</v>
      </c>
      <c r="H76" s="70">
        <f>'Monthly Forecast'!AC75</f>
        <v>0</v>
      </c>
      <c r="I76" s="70">
        <f>'Monthly Forecast'!AD75</f>
        <v>2728</v>
      </c>
      <c r="J76" s="70">
        <f>'Monthly Forecast'!AE75</f>
        <v>2728</v>
      </c>
      <c r="K76" s="70">
        <f>'Monthly Forecast'!AF75</f>
        <v>2728</v>
      </c>
      <c r="L76" s="70">
        <f>'Monthly Forecast'!AG75</f>
        <v>2728</v>
      </c>
      <c r="M76" s="70">
        <f>'Monthly Forecast'!AH75</f>
        <v>2342</v>
      </c>
      <c r="N76" s="70">
        <f>'Monthly Forecast'!AI75</f>
        <v>0</v>
      </c>
      <c r="O76" s="70">
        <f>'Monthly Forecast'!AJ75</f>
        <v>0</v>
      </c>
      <c r="P76" s="6">
        <f t="shared" si="29"/>
        <v>13254</v>
      </c>
      <c r="Q76" s="70">
        <f t="shared" si="30"/>
        <v>10039.904999999999</v>
      </c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</row>
    <row r="77" spans="1:91" x14ac:dyDescent="0.2">
      <c r="A77" s="4">
        <v>66</v>
      </c>
      <c r="B77" s="1" t="s">
        <v>661</v>
      </c>
      <c r="C77" s="527">
        <f t="shared" si="31"/>
        <v>0.54210000000000003</v>
      </c>
      <c r="D77" s="70">
        <f>'Monthly Forecast'!Y76</f>
        <v>15917</v>
      </c>
      <c r="E77" s="70">
        <f>'Monthly Forecast'!Z76</f>
        <v>14559</v>
      </c>
      <c r="F77" s="70">
        <f>'Monthly Forecast'!AA76</f>
        <v>14845</v>
      </c>
      <c r="G77" s="70">
        <f>'Monthly Forecast'!AB76</f>
        <v>12932</v>
      </c>
      <c r="H77" s="70">
        <f>'Monthly Forecast'!AC76</f>
        <v>13935</v>
      </c>
      <c r="I77" s="70">
        <f>'Monthly Forecast'!AD76</f>
        <v>16096</v>
      </c>
      <c r="J77" s="70">
        <f>'Monthly Forecast'!AE76</f>
        <v>12868</v>
      </c>
      <c r="K77" s="70">
        <f>'Monthly Forecast'!AF76</f>
        <v>20840</v>
      </c>
      <c r="L77" s="70">
        <f>'Monthly Forecast'!AG76</f>
        <v>16808</v>
      </c>
      <c r="M77" s="70">
        <f>'Monthly Forecast'!AH76</f>
        <v>16256</v>
      </c>
      <c r="N77" s="70">
        <f>'Monthly Forecast'!AI76</f>
        <v>18323</v>
      </c>
      <c r="O77" s="70">
        <f>'Monthly Forecast'!AJ76</f>
        <v>17135</v>
      </c>
      <c r="P77" s="6">
        <f t="shared" si="29"/>
        <v>190514</v>
      </c>
      <c r="Q77" s="70">
        <f t="shared" si="30"/>
        <v>103277.6394</v>
      </c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</row>
    <row r="78" spans="1:91" x14ac:dyDescent="0.2">
      <c r="A78" s="4">
        <v>67</v>
      </c>
      <c r="B78" s="32" t="s">
        <v>79</v>
      </c>
      <c r="C78" s="31"/>
      <c r="D78" s="31">
        <f t="shared" ref="D78:Q78" si="32">D75+D76+D77</f>
        <v>15917</v>
      </c>
      <c r="E78" s="31">
        <f t="shared" si="32"/>
        <v>14559</v>
      </c>
      <c r="F78" s="31">
        <f t="shared" si="32"/>
        <v>14845</v>
      </c>
      <c r="G78" s="31">
        <f t="shared" si="32"/>
        <v>12932</v>
      </c>
      <c r="H78" s="31">
        <f t="shared" si="32"/>
        <v>13935</v>
      </c>
      <c r="I78" s="31">
        <f t="shared" si="32"/>
        <v>18824</v>
      </c>
      <c r="J78" s="31">
        <f t="shared" si="32"/>
        <v>15596</v>
      </c>
      <c r="K78" s="31">
        <f t="shared" si="32"/>
        <v>23568</v>
      </c>
      <c r="L78" s="31">
        <f t="shared" si="32"/>
        <v>19536</v>
      </c>
      <c r="M78" s="31">
        <f t="shared" si="32"/>
        <v>18598</v>
      </c>
      <c r="N78" s="31">
        <f t="shared" si="32"/>
        <v>18323</v>
      </c>
      <c r="O78" s="31">
        <f t="shared" si="32"/>
        <v>17135</v>
      </c>
      <c r="P78" s="31">
        <f t="shared" si="32"/>
        <v>203768</v>
      </c>
      <c r="Q78" s="31">
        <f t="shared" si="32"/>
        <v>113317.5444</v>
      </c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</row>
    <row r="79" spans="1:91" x14ac:dyDescent="0.2">
      <c r="A79" s="4">
        <v>68</v>
      </c>
      <c r="B79" s="1"/>
      <c r="C79" s="1"/>
      <c r="D79" s="4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93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</row>
    <row r="80" spans="1:91" x14ac:dyDescent="0.2">
      <c r="A80" s="4">
        <v>69</v>
      </c>
      <c r="B80" s="171" t="s">
        <v>89</v>
      </c>
      <c r="C80" s="1"/>
      <c r="D80" s="101">
        <f t="shared" ref="D80:O80" si="33">D81*$C$81+D85*$C$85+D86*$C$86+D82+D83+D84</f>
        <v>522295.55</v>
      </c>
      <c r="E80" s="101">
        <f t="shared" si="33"/>
        <v>486100.01</v>
      </c>
      <c r="F80" s="101">
        <f t="shared" si="33"/>
        <v>530872.37</v>
      </c>
      <c r="G80" s="101">
        <f t="shared" si="33"/>
        <v>514616.19999999995</v>
      </c>
      <c r="H80" s="101">
        <f t="shared" si="33"/>
        <v>586824.74000000011</v>
      </c>
      <c r="I80" s="101">
        <f t="shared" si="33"/>
        <v>607500.72</v>
      </c>
      <c r="J80" s="101">
        <f t="shared" si="33"/>
        <v>604709.43000000005</v>
      </c>
      <c r="K80" s="101">
        <f t="shared" si="33"/>
        <v>637720.23</v>
      </c>
      <c r="L80" s="101">
        <f t="shared" si="33"/>
        <v>601428.53999999992</v>
      </c>
      <c r="M80" s="101">
        <f t="shared" si="33"/>
        <v>609674.88</v>
      </c>
      <c r="N80" s="101">
        <f t="shared" si="33"/>
        <v>551771.83000000007</v>
      </c>
      <c r="O80" s="101">
        <f t="shared" si="33"/>
        <v>540796.89</v>
      </c>
      <c r="P80" s="102">
        <f t="shared" ref="P80:P86" si="34">SUM(C80:O80)</f>
        <v>6794311.3899999997</v>
      </c>
      <c r="Q80" s="101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</row>
    <row r="81" spans="1:91" x14ac:dyDescent="0.2">
      <c r="A81" s="4">
        <v>70</v>
      </c>
      <c r="B81" s="1" t="s">
        <v>87</v>
      </c>
      <c r="C81" s="99">
        <f>'Rate Design'!G16</f>
        <v>375</v>
      </c>
      <c r="D81" s="70">
        <f>'Monthly Forecast'!Y80</f>
        <v>71</v>
      </c>
      <c r="E81" s="70">
        <f>'Monthly Forecast'!Z80</f>
        <v>71</v>
      </c>
      <c r="F81" s="70">
        <f>'Monthly Forecast'!AA80</f>
        <v>71</v>
      </c>
      <c r="G81" s="70">
        <f>'Monthly Forecast'!AB80</f>
        <v>71</v>
      </c>
      <c r="H81" s="70">
        <f>'Monthly Forecast'!AC80</f>
        <v>71</v>
      </c>
      <c r="I81" s="70">
        <f>'Monthly Forecast'!AD80</f>
        <v>71</v>
      </c>
      <c r="J81" s="70">
        <f>'Monthly Forecast'!AE80</f>
        <v>71</v>
      </c>
      <c r="K81" s="70">
        <f>'Monthly Forecast'!AF80</f>
        <v>71</v>
      </c>
      <c r="L81" s="70">
        <f>'Monthly Forecast'!AG80</f>
        <v>71</v>
      </c>
      <c r="M81" s="70">
        <f>'Monthly Forecast'!AH80</f>
        <v>71</v>
      </c>
      <c r="N81" s="70">
        <f>'Monthly Forecast'!AI80</f>
        <v>71</v>
      </c>
      <c r="O81" s="70">
        <f>'Monthly Forecast'!AJ80</f>
        <v>71</v>
      </c>
      <c r="P81" s="6">
        <f>SUM(D81:O81)</f>
        <v>852</v>
      </c>
      <c r="Q81" s="70">
        <f>ROUND(P81*C81,0)</f>
        <v>319500</v>
      </c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</row>
    <row r="82" spans="1:91" x14ac:dyDescent="0.2">
      <c r="A82" s="4">
        <v>71</v>
      </c>
      <c r="B82" s="1" t="s">
        <v>1</v>
      </c>
      <c r="C82" s="1"/>
      <c r="D82" s="70">
        <f>'Monthly Forecast'!Y81</f>
        <v>3550</v>
      </c>
      <c r="E82" s="70">
        <f>'Monthly Forecast'!Z81</f>
        <v>3550</v>
      </c>
      <c r="F82" s="70">
        <f>'Monthly Forecast'!AA81</f>
        <v>3550</v>
      </c>
      <c r="G82" s="70">
        <f>'Monthly Forecast'!AB81</f>
        <v>3550</v>
      </c>
      <c r="H82" s="70">
        <f>'Monthly Forecast'!AC81</f>
        <v>3550</v>
      </c>
      <c r="I82" s="70">
        <f>'Monthly Forecast'!AD81</f>
        <v>3550</v>
      </c>
      <c r="J82" s="70">
        <f>'Monthly Forecast'!AE81</f>
        <v>3550</v>
      </c>
      <c r="K82" s="70">
        <f>'Monthly Forecast'!AF81</f>
        <v>3550</v>
      </c>
      <c r="L82" s="70">
        <f>'Monthly Forecast'!AG81</f>
        <v>3550</v>
      </c>
      <c r="M82" s="70">
        <f>'Monthly Forecast'!AH81</f>
        <v>3550</v>
      </c>
      <c r="N82" s="70">
        <f>'Monthly Forecast'!AI81</f>
        <v>3550</v>
      </c>
      <c r="O82" s="70">
        <f>'Monthly Forecast'!AJ81</f>
        <v>3550</v>
      </c>
      <c r="P82" s="3">
        <f t="shared" si="34"/>
        <v>42600</v>
      </c>
      <c r="Q82" s="70">
        <f>P82</f>
        <v>42600</v>
      </c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</row>
    <row r="83" spans="1:91" x14ac:dyDescent="0.2">
      <c r="A83" s="4">
        <v>72</v>
      </c>
      <c r="B83" s="1" t="s">
        <v>62</v>
      </c>
      <c r="C83" s="1"/>
      <c r="D83" s="70">
        <f>'Monthly Forecast'!Y82</f>
        <v>3500</v>
      </c>
      <c r="E83" s="70">
        <f>'Monthly Forecast'!Z82</f>
        <v>3650</v>
      </c>
      <c r="F83" s="70">
        <f>'Monthly Forecast'!AA82</f>
        <v>3675</v>
      </c>
      <c r="G83" s="70">
        <f>'Monthly Forecast'!AB82</f>
        <v>3200</v>
      </c>
      <c r="H83" s="70">
        <f>'Monthly Forecast'!AC82</f>
        <v>3300</v>
      </c>
      <c r="I83" s="70">
        <f>'Monthly Forecast'!AD82</f>
        <v>3300</v>
      </c>
      <c r="J83" s="70">
        <f>'Monthly Forecast'!AE82</f>
        <v>3300</v>
      </c>
      <c r="K83" s="70">
        <f>'Monthly Forecast'!AF82</f>
        <v>3300</v>
      </c>
      <c r="L83" s="70">
        <f>'Monthly Forecast'!AG82</f>
        <v>3325</v>
      </c>
      <c r="M83" s="70">
        <f>'Monthly Forecast'!AH82</f>
        <v>3325</v>
      </c>
      <c r="N83" s="70">
        <f>'Monthly Forecast'!AI82</f>
        <v>3325</v>
      </c>
      <c r="O83" s="70">
        <f>'Monthly Forecast'!AJ82</f>
        <v>3600</v>
      </c>
      <c r="P83" s="3">
        <f t="shared" si="34"/>
        <v>40800</v>
      </c>
      <c r="Q83" s="70">
        <f>P83</f>
        <v>40800</v>
      </c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</row>
    <row r="84" spans="1:91" x14ac:dyDescent="0.2">
      <c r="A84" s="4">
        <v>73</v>
      </c>
      <c r="B84" s="1" t="s">
        <v>2</v>
      </c>
      <c r="C84" s="1"/>
      <c r="D84" s="70">
        <f>'Monthly Forecast'!Y83</f>
        <v>402</v>
      </c>
      <c r="E84" s="70">
        <f>'Monthly Forecast'!Z83</f>
        <v>229.9</v>
      </c>
      <c r="F84" s="70">
        <f>'Monthly Forecast'!AA83</f>
        <v>310.8</v>
      </c>
      <c r="G84" s="70">
        <f>'Monthly Forecast'!AB83</f>
        <v>345.5</v>
      </c>
      <c r="H84" s="70">
        <f>'Monthly Forecast'!AC83</f>
        <v>318.29999999999995</v>
      </c>
      <c r="I84" s="70">
        <f>'Monthly Forecast'!AD83</f>
        <v>281.60000000000002</v>
      </c>
      <c r="J84" s="70">
        <f>'Monthly Forecast'!AE83</f>
        <v>379.4</v>
      </c>
      <c r="K84" s="70">
        <f>'Monthly Forecast'!AF83</f>
        <v>323.10000000000002</v>
      </c>
      <c r="L84" s="70">
        <f>'Monthly Forecast'!AG83</f>
        <v>226.7</v>
      </c>
      <c r="M84" s="70">
        <f>'Monthly Forecast'!AH83</f>
        <v>303.10000000000002</v>
      </c>
      <c r="N84" s="70">
        <f>'Monthly Forecast'!AI83</f>
        <v>315.3</v>
      </c>
      <c r="O84" s="70">
        <f>'Monthly Forecast'!AJ83</f>
        <v>247.9</v>
      </c>
      <c r="P84" s="3">
        <f t="shared" si="34"/>
        <v>3683.6</v>
      </c>
      <c r="Q84" s="70">
        <f>P84</f>
        <v>3683.6</v>
      </c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</row>
    <row r="85" spans="1:91" x14ac:dyDescent="0.2">
      <c r="A85" s="4">
        <v>74</v>
      </c>
      <c r="B85" s="1" t="s">
        <v>46</v>
      </c>
      <c r="C85" s="100">
        <f>'Rate Design'!G30</f>
        <v>0.89</v>
      </c>
      <c r="D85" s="70">
        <f>'Monthly Forecast'!Y84</f>
        <v>429475</v>
      </c>
      <c r="E85" s="70">
        <f>'Monthly Forecast'!Z84</f>
        <v>388379</v>
      </c>
      <c r="F85" s="70">
        <f>'Monthly Forecast'!AA84</f>
        <v>413453</v>
      </c>
      <c r="G85" s="70">
        <f>'Monthly Forecast'!AB84</f>
        <v>408790</v>
      </c>
      <c r="H85" s="70">
        <f>'Monthly Forecast'!AC84</f>
        <v>466856</v>
      </c>
      <c r="I85" s="70">
        <f>'Monthly Forecast'!AD84</f>
        <v>483708</v>
      </c>
      <c r="J85" s="70">
        <f>'Monthly Forecast'!AE84</f>
        <v>481947</v>
      </c>
      <c r="K85" s="70">
        <f>'Monthly Forecast'!AF84</f>
        <v>484717</v>
      </c>
      <c r="L85" s="70">
        <f>'Monthly Forecast'!AG84</f>
        <v>471016</v>
      </c>
      <c r="M85" s="70">
        <f>'Monthly Forecast'!AH84</f>
        <v>465642</v>
      </c>
      <c r="N85" s="70">
        <f>'Monthly Forecast'!AI84</f>
        <v>452077</v>
      </c>
      <c r="O85" s="70">
        <f>'Monthly Forecast'!AJ84</f>
        <v>436031</v>
      </c>
      <c r="P85" s="6">
        <f t="shared" si="34"/>
        <v>5382091.8900000006</v>
      </c>
      <c r="Q85" s="70">
        <f t="shared" ref="Q85:Q86" si="35">ROUND(P85*C85,0)</f>
        <v>4790062</v>
      </c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</row>
    <row r="86" spans="1:91" x14ac:dyDescent="0.2">
      <c r="A86" s="4">
        <v>75</v>
      </c>
      <c r="B86" s="1" t="s">
        <v>47</v>
      </c>
      <c r="C86" s="100">
        <f>'Rate Design'!G31</f>
        <v>0.6</v>
      </c>
      <c r="D86" s="70">
        <f>'Monthly Forecast'!Y85</f>
        <v>176643</v>
      </c>
      <c r="E86" s="70">
        <f>'Monthly Forecast'!Z85</f>
        <v>177313</v>
      </c>
      <c r="F86" s="70">
        <f>'Monthly Forecast'!AA85</f>
        <v>214564</v>
      </c>
      <c r="G86" s="70">
        <f>'Monthly Forecast'!AB85</f>
        <v>195121</v>
      </c>
      <c r="H86" s="70">
        <f>'Monthly Forecast'!AC85</f>
        <v>229216</v>
      </c>
      <c r="I86" s="70">
        <f>'Monthly Forecast'!AD85</f>
        <v>238740</v>
      </c>
      <c r="J86" s="70">
        <f>'Monthly Forecast'!AE85</f>
        <v>236537</v>
      </c>
      <c r="K86" s="70">
        <f>'Monthly Forecast'!AF85</f>
        <v>287540</v>
      </c>
      <c r="L86" s="70">
        <f>'Monthly Forecast'!AG85</f>
        <v>247496</v>
      </c>
      <c r="M86" s="70">
        <f>'Monthly Forecast'!AH85</f>
        <v>269084</v>
      </c>
      <c r="N86" s="70">
        <f>'Monthly Forecast'!AI85</f>
        <v>192680</v>
      </c>
      <c r="O86" s="70">
        <f>'Monthly Forecast'!AJ85</f>
        <v>197844</v>
      </c>
      <c r="P86" s="6">
        <f t="shared" si="34"/>
        <v>2662778.6</v>
      </c>
      <c r="Q86" s="70">
        <f t="shared" si="35"/>
        <v>1597667</v>
      </c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</row>
    <row r="87" spans="1:91" x14ac:dyDescent="0.2">
      <c r="A87" s="4">
        <v>76</v>
      </c>
      <c r="B87" s="32" t="s">
        <v>79</v>
      </c>
      <c r="C87" s="32"/>
      <c r="D87" s="31">
        <f t="shared" ref="D87:P87" si="36">D85+D86</f>
        <v>606118</v>
      </c>
      <c r="E87" s="31">
        <f t="shared" si="36"/>
        <v>565692</v>
      </c>
      <c r="F87" s="31">
        <f t="shared" si="36"/>
        <v>628017</v>
      </c>
      <c r="G87" s="31">
        <f t="shared" si="36"/>
        <v>603911</v>
      </c>
      <c r="H87" s="31">
        <f t="shared" si="36"/>
        <v>696072</v>
      </c>
      <c r="I87" s="31">
        <f t="shared" si="36"/>
        <v>722448</v>
      </c>
      <c r="J87" s="31">
        <f t="shared" si="36"/>
        <v>718484</v>
      </c>
      <c r="K87" s="31">
        <f t="shared" si="36"/>
        <v>772257</v>
      </c>
      <c r="L87" s="31">
        <f t="shared" si="36"/>
        <v>718512</v>
      </c>
      <c r="M87" s="31">
        <f t="shared" si="36"/>
        <v>734726</v>
      </c>
      <c r="N87" s="31">
        <f t="shared" si="36"/>
        <v>644757</v>
      </c>
      <c r="O87" s="31">
        <f t="shared" si="36"/>
        <v>633875</v>
      </c>
      <c r="P87" s="31">
        <f t="shared" si="36"/>
        <v>8044870.4900000002</v>
      </c>
      <c r="Q87" s="31">
        <f>SUM(Q81:Q86)</f>
        <v>6794312.5999999996</v>
      </c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</row>
    <row r="88" spans="1:91" x14ac:dyDescent="0.2">
      <c r="A88" s="4">
        <v>77</v>
      </c>
      <c r="B88" s="1"/>
      <c r="C88" s="1"/>
      <c r="D88" s="4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</row>
    <row r="89" spans="1:91" x14ac:dyDescent="0.2">
      <c r="A89" s="4">
        <v>78</v>
      </c>
      <c r="B89" s="171" t="s">
        <v>90</v>
      </c>
      <c r="C89" s="1"/>
      <c r="D89" s="101">
        <f t="shared" ref="D89:O89" si="37">D90*$C$90+D91+D92+D93+D95</f>
        <v>198243.80750000002</v>
      </c>
      <c r="E89" s="101">
        <f t="shared" si="37"/>
        <v>198681.44750000004</v>
      </c>
      <c r="F89" s="101">
        <f t="shared" si="37"/>
        <v>207453.83249999999</v>
      </c>
      <c r="G89" s="101">
        <f t="shared" si="37"/>
        <v>197356.58499999999</v>
      </c>
      <c r="H89" s="101">
        <f t="shared" si="37"/>
        <v>213502.51250000004</v>
      </c>
      <c r="I89" s="101">
        <f t="shared" si="37"/>
        <v>225558.07250000001</v>
      </c>
      <c r="J89" s="101">
        <f t="shared" si="37"/>
        <v>235550.01249999998</v>
      </c>
      <c r="K89" s="101">
        <f t="shared" si="37"/>
        <v>252288.6275</v>
      </c>
      <c r="L89" s="101">
        <f t="shared" si="37"/>
        <v>241810.63249999995</v>
      </c>
      <c r="M89" s="101">
        <f t="shared" si="37"/>
        <v>227856.71499999997</v>
      </c>
      <c r="N89" s="101">
        <f t="shared" si="37"/>
        <v>214959.52000000002</v>
      </c>
      <c r="O89" s="101">
        <f t="shared" si="37"/>
        <v>205466.29249999998</v>
      </c>
      <c r="P89" s="102">
        <f t="shared" ref="P89:P95" si="38">SUM(C89:O89)</f>
        <v>2618728.0574999996</v>
      </c>
      <c r="Q89" s="101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</row>
    <row r="90" spans="1:91" x14ac:dyDescent="0.2">
      <c r="A90" s="4">
        <v>79</v>
      </c>
      <c r="B90" s="1" t="s">
        <v>87</v>
      </c>
      <c r="C90" s="99">
        <f>'Rate Design'!F17</f>
        <v>350</v>
      </c>
      <c r="D90" s="70">
        <f>'Monthly Forecast'!Y89</f>
        <v>15</v>
      </c>
      <c r="E90" s="70">
        <f>'Monthly Forecast'!Z89</f>
        <v>15</v>
      </c>
      <c r="F90" s="70">
        <f>'Monthly Forecast'!AA89</f>
        <v>15</v>
      </c>
      <c r="G90" s="70">
        <f>'Monthly Forecast'!AB89</f>
        <v>15</v>
      </c>
      <c r="H90" s="70">
        <f>'Monthly Forecast'!AC89</f>
        <v>15</v>
      </c>
      <c r="I90" s="70">
        <f>'Monthly Forecast'!AD89</f>
        <v>15</v>
      </c>
      <c r="J90" s="70">
        <f>'Monthly Forecast'!AE89</f>
        <v>15</v>
      </c>
      <c r="K90" s="70">
        <f>'Monthly Forecast'!AF89</f>
        <v>15</v>
      </c>
      <c r="L90" s="70">
        <f>'Monthly Forecast'!AG89</f>
        <v>15</v>
      </c>
      <c r="M90" s="70">
        <f>'Monthly Forecast'!AH89</f>
        <v>15</v>
      </c>
      <c r="N90" s="70">
        <f>'Monthly Forecast'!AI89</f>
        <v>15</v>
      </c>
      <c r="O90" s="70">
        <f>'Monthly Forecast'!AJ89</f>
        <v>15</v>
      </c>
      <c r="P90" s="6">
        <f>SUM(D90:O90)</f>
        <v>180</v>
      </c>
      <c r="Q90" s="70">
        <f>ROUND(P90*C90,0)</f>
        <v>63000</v>
      </c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</row>
    <row r="91" spans="1:91" x14ac:dyDescent="0.2">
      <c r="A91" s="4">
        <v>80</v>
      </c>
      <c r="B91" s="1" t="s">
        <v>1</v>
      </c>
      <c r="C91" s="1"/>
      <c r="D91" s="70">
        <f>'Monthly Forecast'!Y90</f>
        <v>750</v>
      </c>
      <c r="E91" s="70">
        <f>'Monthly Forecast'!Z90</f>
        <v>750</v>
      </c>
      <c r="F91" s="70">
        <f>'Monthly Forecast'!AA90</f>
        <v>750</v>
      </c>
      <c r="G91" s="70">
        <f>'Monthly Forecast'!AB90</f>
        <v>750</v>
      </c>
      <c r="H91" s="70">
        <f>'Monthly Forecast'!AC90</f>
        <v>750</v>
      </c>
      <c r="I91" s="70">
        <f>'Monthly Forecast'!AD90</f>
        <v>750</v>
      </c>
      <c r="J91" s="70">
        <f>'Monthly Forecast'!AE90</f>
        <v>750</v>
      </c>
      <c r="K91" s="70">
        <f>'Monthly Forecast'!AF90</f>
        <v>750</v>
      </c>
      <c r="L91" s="70">
        <f>'Monthly Forecast'!AG90</f>
        <v>750</v>
      </c>
      <c r="M91" s="70">
        <f>'Monthly Forecast'!AH90</f>
        <v>750</v>
      </c>
      <c r="N91" s="70">
        <f>'Monthly Forecast'!AI90</f>
        <v>750</v>
      </c>
      <c r="O91" s="70">
        <f>'Monthly Forecast'!AJ90</f>
        <v>750</v>
      </c>
      <c r="P91" s="3">
        <f t="shared" si="38"/>
        <v>9000</v>
      </c>
      <c r="Q91" s="70">
        <f>P91</f>
        <v>9000</v>
      </c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26"/>
      <c r="BM91" s="126"/>
      <c r="BN91" s="126"/>
      <c r="BO91" s="126"/>
      <c r="BP91" s="126"/>
      <c r="BQ91" s="126"/>
      <c r="BR91" s="126"/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</row>
    <row r="92" spans="1:91" x14ac:dyDescent="0.2">
      <c r="A92" s="4">
        <v>81</v>
      </c>
      <c r="B92" s="1" t="s">
        <v>62</v>
      </c>
      <c r="C92" s="1"/>
      <c r="D92" s="70">
        <f>'Monthly Forecast'!Y91</f>
        <v>700</v>
      </c>
      <c r="E92" s="70">
        <f>'Monthly Forecast'!Z91</f>
        <v>700</v>
      </c>
      <c r="F92" s="70">
        <f>'Monthly Forecast'!AA91</f>
        <v>700</v>
      </c>
      <c r="G92" s="70">
        <f>'Monthly Forecast'!AB91</f>
        <v>700</v>
      </c>
      <c r="H92" s="70">
        <f>'Monthly Forecast'!AC91</f>
        <v>700</v>
      </c>
      <c r="I92" s="70">
        <f>'Monthly Forecast'!AD91</f>
        <v>700</v>
      </c>
      <c r="J92" s="70">
        <f>'Monthly Forecast'!AE91</f>
        <v>700</v>
      </c>
      <c r="K92" s="70">
        <f>'Monthly Forecast'!AF91</f>
        <v>700</v>
      </c>
      <c r="L92" s="70">
        <f>'Monthly Forecast'!AG91</f>
        <v>700</v>
      </c>
      <c r="M92" s="70">
        <f>'Monthly Forecast'!AH91</f>
        <v>700</v>
      </c>
      <c r="N92" s="70">
        <f>'Monthly Forecast'!AI91</f>
        <v>700</v>
      </c>
      <c r="O92" s="70">
        <f>'Monthly Forecast'!AJ91</f>
        <v>700</v>
      </c>
      <c r="P92" s="3">
        <f t="shared" si="38"/>
        <v>8400</v>
      </c>
      <c r="Q92" s="70">
        <f>P92</f>
        <v>8400</v>
      </c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6"/>
      <c r="BL92" s="126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6"/>
      <c r="BX92" s="126"/>
      <c r="BY92" s="126"/>
      <c r="BZ92" s="126"/>
      <c r="CA92" s="126"/>
      <c r="CB92" s="126"/>
      <c r="CC92" s="126"/>
      <c r="CD92" s="126"/>
      <c r="CE92" s="126"/>
      <c r="CF92" s="126"/>
      <c r="CG92" s="126"/>
      <c r="CH92" s="126"/>
      <c r="CI92" s="126"/>
      <c r="CJ92" s="126"/>
      <c r="CK92" s="126"/>
      <c r="CL92" s="126"/>
      <c r="CM92" s="126"/>
    </row>
    <row r="93" spans="1:91" x14ac:dyDescent="0.2">
      <c r="A93" s="4">
        <v>82</v>
      </c>
      <c r="B93" s="1" t="s">
        <v>2</v>
      </c>
      <c r="C93" s="1"/>
      <c r="D93" s="70">
        <f>'Monthly Forecast'!Y92</f>
        <v>7314.7999999999993</v>
      </c>
      <c r="E93" s="70">
        <f>'Monthly Forecast'!Z92</f>
        <v>4248.3999999999996</v>
      </c>
      <c r="F93" s="70">
        <f>'Monthly Forecast'!AA92</f>
        <v>8166.9</v>
      </c>
      <c r="G93" s="70">
        <f>'Monthly Forecast'!AB92</f>
        <v>5302.8</v>
      </c>
      <c r="H93" s="70">
        <f>'Monthly Forecast'!AC92</f>
        <v>4009.6000000000004</v>
      </c>
      <c r="I93" s="70">
        <f>'Monthly Forecast'!AD92</f>
        <v>11880.3</v>
      </c>
      <c r="J93" s="70">
        <f>'Monthly Forecast'!AE92</f>
        <v>13347.599999999999</v>
      </c>
      <c r="K93" s="70">
        <f>'Monthly Forecast'!AF92</f>
        <v>9687.6999999999989</v>
      </c>
      <c r="L93" s="70">
        <f>'Monthly Forecast'!AG92</f>
        <v>7007.9000000000005</v>
      </c>
      <c r="M93" s="70">
        <f>'Monthly Forecast'!AH92</f>
        <v>8230.7999999999993</v>
      </c>
      <c r="N93" s="70">
        <f>'Monthly Forecast'!AI92</f>
        <v>4601.3</v>
      </c>
      <c r="O93" s="70">
        <f>'Monthly Forecast'!AJ92</f>
        <v>8004.5</v>
      </c>
      <c r="P93" s="3">
        <f t="shared" si="38"/>
        <v>91802.6</v>
      </c>
      <c r="Q93" s="70">
        <f>P93</f>
        <v>91802.6</v>
      </c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</row>
    <row r="94" spans="1:91" x14ac:dyDescent="0.2">
      <c r="A94" s="4">
        <v>83</v>
      </c>
      <c r="B94" s="1" t="s">
        <v>91</v>
      </c>
      <c r="C94" s="69" t="s">
        <v>61</v>
      </c>
      <c r="D94" s="70">
        <f>'Monthly Forecast'!Y93</f>
        <v>1109174</v>
      </c>
      <c r="E94" s="70">
        <f>'Monthly Forecast'!Z93</f>
        <v>1125907</v>
      </c>
      <c r="F94" s="70">
        <f>'Monthly Forecast'!AA93</f>
        <v>1134520</v>
      </c>
      <c r="G94" s="70">
        <f>'Monthly Forecast'!AB93</f>
        <v>1120717</v>
      </c>
      <c r="H94" s="70">
        <f>'Monthly Forecast'!AC93</f>
        <v>1161721</v>
      </c>
      <c r="I94" s="70">
        <f>'Monthly Forecast'!AD93</f>
        <v>1213200</v>
      </c>
      <c r="J94" s="70">
        <f>'Monthly Forecast'!AE93</f>
        <v>1264580</v>
      </c>
      <c r="K94" s="70">
        <f>'Monthly Forecast'!AF93</f>
        <v>1356515</v>
      </c>
      <c r="L94" s="70">
        <f>'Monthly Forecast'!AG93</f>
        <v>1329401</v>
      </c>
      <c r="M94" s="70">
        <f>'Monthly Forecast'!AH93</f>
        <v>1281922</v>
      </c>
      <c r="N94" s="70">
        <f>'Monthly Forecast'!AI93</f>
        <v>1164880</v>
      </c>
      <c r="O94" s="70">
        <f>'Monthly Forecast'!AJ93</f>
        <v>1118519</v>
      </c>
      <c r="P94" s="6">
        <f t="shared" si="38"/>
        <v>14381056</v>
      </c>
      <c r="Q94" s="70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</row>
    <row r="95" spans="1:91" x14ac:dyDescent="0.2">
      <c r="A95" s="4">
        <v>84</v>
      </c>
      <c r="B95" s="1" t="s">
        <v>92</v>
      </c>
      <c r="C95" s="69"/>
      <c r="D95" s="70">
        <f>'Monthly Forecast'!Y94</f>
        <v>184229.00750000004</v>
      </c>
      <c r="E95" s="70">
        <f>'Monthly Forecast'!Z94</f>
        <v>187733.04750000004</v>
      </c>
      <c r="F95" s="70">
        <f>'Monthly Forecast'!AA94</f>
        <v>192586.9325</v>
      </c>
      <c r="G95" s="70">
        <f>'Monthly Forecast'!AB94</f>
        <v>185353.785</v>
      </c>
      <c r="H95" s="70">
        <f>'Monthly Forecast'!AC94</f>
        <v>202792.91250000003</v>
      </c>
      <c r="I95" s="70">
        <f>'Monthly Forecast'!AD94</f>
        <v>206977.77250000002</v>
      </c>
      <c r="J95" s="70">
        <f>'Monthly Forecast'!AE94</f>
        <v>215502.41249999998</v>
      </c>
      <c r="K95" s="70">
        <f>'Monthly Forecast'!AF94</f>
        <v>235900.92749999999</v>
      </c>
      <c r="L95" s="70">
        <f>'Monthly Forecast'!AG94</f>
        <v>228102.73249999995</v>
      </c>
      <c r="M95" s="70">
        <f>'Monthly Forecast'!AH94</f>
        <v>212925.91499999998</v>
      </c>
      <c r="N95" s="70">
        <f>'Monthly Forecast'!AI94</f>
        <v>203658.22000000003</v>
      </c>
      <c r="O95" s="70">
        <f>'Monthly Forecast'!AJ94</f>
        <v>190761.79249999998</v>
      </c>
      <c r="P95" s="3">
        <f t="shared" si="38"/>
        <v>2446525.4575</v>
      </c>
      <c r="Q95" s="70">
        <f>P95</f>
        <v>2446525.4575</v>
      </c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</row>
    <row r="96" spans="1:91" x14ac:dyDescent="0.2">
      <c r="A96" s="4">
        <v>85</v>
      </c>
      <c r="B96" s="32" t="s">
        <v>79</v>
      </c>
      <c r="C96" s="32"/>
      <c r="D96" s="31">
        <f t="shared" ref="D96:P96" si="39">D94</f>
        <v>1109174</v>
      </c>
      <c r="E96" s="31">
        <f t="shared" si="39"/>
        <v>1125907</v>
      </c>
      <c r="F96" s="31">
        <f t="shared" si="39"/>
        <v>1134520</v>
      </c>
      <c r="G96" s="31">
        <f t="shared" si="39"/>
        <v>1120717</v>
      </c>
      <c r="H96" s="31">
        <f t="shared" si="39"/>
        <v>1161721</v>
      </c>
      <c r="I96" s="31">
        <f t="shared" si="39"/>
        <v>1213200</v>
      </c>
      <c r="J96" s="31">
        <f t="shared" si="39"/>
        <v>1264580</v>
      </c>
      <c r="K96" s="31">
        <f t="shared" si="39"/>
        <v>1356515</v>
      </c>
      <c r="L96" s="31">
        <f t="shared" si="39"/>
        <v>1329401</v>
      </c>
      <c r="M96" s="31">
        <f t="shared" si="39"/>
        <v>1281922</v>
      </c>
      <c r="N96" s="31">
        <f t="shared" si="39"/>
        <v>1164880</v>
      </c>
      <c r="O96" s="31">
        <f t="shared" si="39"/>
        <v>1118519</v>
      </c>
      <c r="P96" s="31">
        <f t="shared" si="39"/>
        <v>14381056</v>
      </c>
      <c r="Q96" s="31">
        <f>SUM(Q90:Q95)</f>
        <v>2618728.0575000001</v>
      </c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</row>
    <row r="97" spans="1:91" x14ac:dyDescent="0.2">
      <c r="A97" s="4">
        <v>86</v>
      </c>
      <c r="B97" s="1"/>
      <c r="C97" s="1"/>
      <c r="D97" s="6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26"/>
      <c r="BM97" s="126"/>
      <c r="BN97" s="126"/>
      <c r="BO97" s="126"/>
      <c r="BP97" s="126"/>
      <c r="BQ97" s="126"/>
      <c r="BR97" s="126"/>
      <c r="BS97" s="126"/>
      <c r="BT97" s="126"/>
      <c r="BU97" s="126"/>
      <c r="BV97" s="126"/>
      <c r="BW97" s="126"/>
      <c r="BX97" s="126"/>
      <c r="BY97" s="126"/>
      <c r="BZ97" s="126"/>
      <c r="CA97" s="126"/>
      <c r="CB97" s="126"/>
      <c r="CC97" s="126"/>
      <c r="CD97" s="126"/>
      <c r="CE97" s="126"/>
      <c r="CF97" s="126"/>
      <c r="CG97" s="126"/>
      <c r="CH97" s="126"/>
      <c r="CI97" s="126"/>
      <c r="CJ97" s="126"/>
      <c r="CK97" s="126"/>
      <c r="CL97" s="126"/>
      <c r="CM97" s="126"/>
    </row>
    <row r="98" spans="1:91" x14ac:dyDescent="0.2">
      <c r="A98" s="4">
        <v>87</v>
      </c>
      <c r="B98" s="1" t="s">
        <v>321</v>
      </c>
      <c r="C98" s="1"/>
      <c r="D98" s="6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6"/>
      <c r="BM98" s="126"/>
      <c r="BN98" s="126"/>
      <c r="BO98" s="126"/>
      <c r="BP98" s="126"/>
      <c r="BQ98" s="126"/>
      <c r="BR98" s="126"/>
      <c r="BS98" s="126"/>
      <c r="BT98" s="126"/>
      <c r="BU98" s="126"/>
      <c r="BV98" s="126"/>
      <c r="BW98" s="126"/>
      <c r="BX98" s="126"/>
      <c r="BY98" s="126"/>
      <c r="BZ98" s="126"/>
      <c r="CA98" s="126"/>
      <c r="CB98" s="126"/>
      <c r="CC98" s="126"/>
      <c r="CD98" s="126"/>
      <c r="CE98" s="126"/>
      <c r="CF98" s="126"/>
      <c r="CG98" s="126"/>
      <c r="CH98" s="126"/>
      <c r="CI98" s="126"/>
      <c r="CJ98" s="126"/>
      <c r="CK98" s="126"/>
      <c r="CL98" s="126"/>
      <c r="CM98" s="126"/>
    </row>
    <row r="99" spans="1:91" x14ac:dyDescent="0.2">
      <c r="A99" s="4">
        <v>88</v>
      </c>
      <c r="B99" s="1" t="s">
        <v>322</v>
      </c>
      <c r="C99" s="1"/>
      <c r="D99" s="60">
        <f>'Monthly Forecast'!Y98</f>
        <v>53147</v>
      </c>
      <c r="E99" s="60">
        <f>'Monthly Forecast'!Z98</f>
        <v>52352</v>
      </c>
      <c r="F99" s="60">
        <f>'Monthly Forecast'!AA98</f>
        <v>49875</v>
      </c>
      <c r="G99" s="60">
        <f>'Monthly Forecast'!AB98</f>
        <v>61445</v>
      </c>
      <c r="H99" s="60">
        <f>'Monthly Forecast'!AC98</f>
        <v>120749</v>
      </c>
      <c r="I99" s="60">
        <f>'Monthly Forecast'!AD98</f>
        <v>125695</v>
      </c>
      <c r="J99" s="60">
        <f>'Monthly Forecast'!AE98</f>
        <v>56798</v>
      </c>
      <c r="K99" s="60">
        <f>'Monthly Forecast'!AF98</f>
        <v>53861</v>
      </c>
      <c r="L99" s="60">
        <f>'Monthly Forecast'!AG98</f>
        <v>48764</v>
      </c>
      <c r="M99" s="60">
        <f>'Monthly Forecast'!AH98</f>
        <v>61274</v>
      </c>
      <c r="N99" s="60">
        <f>'Monthly Forecast'!AI98</f>
        <v>55115</v>
      </c>
      <c r="O99" s="60">
        <f>'Monthly Forecast'!AJ98</f>
        <v>56750</v>
      </c>
      <c r="P99" s="60">
        <f>SUM(D99:O99)</f>
        <v>795825</v>
      </c>
      <c r="Q99" s="60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  <c r="CE99" s="126"/>
      <c r="CF99" s="126"/>
      <c r="CG99" s="126"/>
      <c r="CH99" s="126"/>
      <c r="CI99" s="126"/>
      <c r="CJ99" s="126"/>
      <c r="CK99" s="126"/>
      <c r="CL99" s="126"/>
      <c r="CM99" s="126"/>
    </row>
    <row r="100" spans="1:91" x14ac:dyDescent="0.2">
      <c r="A100" s="4">
        <v>89</v>
      </c>
      <c r="B100" s="1" t="s">
        <v>99</v>
      </c>
      <c r="C100" s="1"/>
      <c r="D100" s="60">
        <f>'Monthly Forecast'!Y99+D112*'Other Revenue'!$B$64</f>
        <v>64201.382130121965</v>
      </c>
      <c r="E100" s="60">
        <f>'Monthly Forecast'!Z99+E112*'Other Revenue'!$B$64</f>
        <v>50134.918052710265</v>
      </c>
      <c r="F100" s="60">
        <f>'Monthly Forecast'!AA99+F112*'Other Revenue'!$B$64</f>
        <v>46393.854315704681</v>
      </c>
      <c r="G100" s="60">
        <f>'Monthly Forecast'!AB99+G112*'Other Revenue'!$B$64</f>
        <v>45632.716131418638</v>
      </c>
      <c r="H100" s="60">
        <f>'Monthly Forecast'!AC99+H112*'Other Revenue'!$B$64</f>
        <v>46432.79395105267</v>
      </c>
      <c r="I100" s="60">
        <f>'Monthly Forecast'!AD99+I112*'Other Revenue'!$B$64</f>
        <v>60251.270981048197</v>
      </c>
      <c r="J100" s="60">
        <f>'Monthly Forecast'!AE99+J112*'Other Revenue'!$B$64</f>
        <v>103355.15998132309</v>
      </c>
      <c r="K100" s="60">
        <f>'Monthly Forecast'!AF99+K112*'Other Revenue'!$B$64</f>
        <v>153180.48213824714</v>
      </c>
      <c r="L100" s="60">
        <f>'Monthly Forecast'!AG99+L112*'Other Revenue'!$B$64</f>
        <v>173070.50827696943</v>
      </c>
      <c r="M100" s="60">
        <f>'Monthly Forecast'!AH99+M112*'Other Revenue'!$B$64</f>
        <v>166412.80976019951</v>
      </c>
      <c r="N100" s="60">
        <f>'Monthly Forecast'!AI99+N112*'Other Revenue'!$B$64</f>
        <v>153933.43895909854</v>
      </c>
      <c r="O100" s="60">
        <f>'Monthly Forecast'!AJ99+O112*'Other Revenue'!$B$64</f>
        <v>99325.030308035377</v>
      </c>
      <c r="P100" s="60">
        <f>SUM(D100:O100)</f>
        <v>1162324.3649859296</v>
      </c>
      <c r="Q100" s="60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 s="126"/>
      <c r="CF100" s="126"/>
      <c r="CG100" s="126"/>
      <c r="CH100" s="126"/>
      <c r="CI100" s="126"/>
      <c r="CJ100" s="126"/>
      <c r="CK100" s="126"/>
      <c r="CL100" s="126"/>
      <c r="CM100" s="126"/>
    </row>
    <row r="101" spans="1:91" x14ac:dyDescent="0.2">
      <c r="A101" s="4">
        <v>90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 s="126"/>
      <c r="CF101" s="126"/>
      <c r="CG101" s="126"/>
      <c r="CH101" s="126"/>
      <c r="CI101" s="126"/>
      <c r="CJ101" s="126"/>
      <c r="CK101" s="126"/>
      <c r="CL101" s="126"/>
      <c r="CM101" s="126"/>
    </row>
    <row r="102" spans="1:91" x14ac:dyDescent="0.2">
      <c r="A102" s="4">
        <v>91</v>
      </c>
      <c r="B102" s="172" t="s">
        <v>323</v>
      </c>
      <c r="C102" s="1"/>
      <c r="D102" s="60">
        <f>D108+D99+D100</f>
        <v>5828141.9714941485</v>
      </c>
      <c r="E102" s="60">
        <f t="shared" ref="E102:O102" si="40">E108+E99+E100</f>
        <v>5595384.936917345</v>
      </c>
      <c r="F102" s="60">
        <f t="shared" si="40"/>
        <v>5590088.2053621989</v>
      </c>
      <c r="G102" s="60">
        <f t="shared" si="40"/>
        <v>5563731.3808296556</v>
      </c>
      <c r="H102" s="60">
        <f t="shared" si="40"/>
        <v>6207208.7956189187</v>
      </c>
      <c r="I102" s="60">
        <f t="shared" si="40"/>
        <v>7783653.3497637212</v>
      </c>
      <c r="J102" s="60">
        <f t="shared" si="40"/>
        <v>9561937.1608525049</v>
      </c>
      <c r="K102" s="60">
        <f t="shared" si="40"/>
        <v>10466845.276154159</v>
      </c>
      <c r="L102" s="60">
        <f t="shared" si="40"/>
        <v>9917219.1944130883</v>
      </c>
      <c r="M102" s="60">
        <f t="shared" si="40"/>
        <v>10108054.053474871</v>
      </c>
      <c r="N102" s="60">
        <f t="shared" si="40"/>
        <v>7713255.6450440912</v>
      </c>
      <c r="O102" s="60">
        <f t="shared" si="40"/>
        <v>6398604.073653643</v>
      </c>
      <c r="P102" s="60">
        <f>SUM(D102:O102)</f>
        <v>90734124.043578342</v>
      </c>
      <c r="Q102" s="70"/>
      <c r="R102" s="442">
        <f>P102-'Test Year Revenue Proposed'!P44</f>
        <v>0.22109241783618927</v>
      </c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6"/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6"/>
      <c r="CJ102" s="126"/>
      <c r="CK102" s="126"/>
      <c r="CL102" s="126"/>
      <c r="CM102" s="126"/>
    </row>
    <row r="103" spans="1:91" x14ac:dyDescent="0.2">
      <c r="A103" s="4">
        <v>92</v>
      </c>
      <c r="B103" s="1" t="s">
        <v>229</v>
      </c>
      <c r="C103" s="1"/>
      <c r="D103" s="60">
        <f t="shared" ref="D103:O103" si="41">D62+D54+D46+D37+D28+D19</f>
        <v>2113849.5648995508</v>
      </c>
      <c r="E103" s="60">
        <f t="shared" si="41"/>
        <v>1707940.8674351822</v>
      </c>
      <c r="F103" s="60">
        <f t="shared" si="41"/>
        <v>1738084.7627984323</v>
      </c>
      <c r="G103" s="60">
        <f t="shared" si="41"/>
        <v>1745311.9617956677</v>
      </c>
      <c r="H103" s="60">
        <f t="shared" si="41"/>
        <v>2944013.037562144</v>
      </c>
      <c r="I103" s="60">
        <f t="shared" si="41"/>
        <v>6971277.0486483565</v>
      </c>
      <c r="J103" s="60">
        <f t="shared" si="41"/>
        <v>11854748.194883922</v>
      </c>
      <c r="K103" s="60">
        <f t="shared" si="41"/>
        <v>13940763.023727167</v>
      </c>
      <c r="L103" s="60">
        <f t="shared" si="41"/>
        <v>13559963.841834718</v>
      </c>
      <c r="M103" s="60">
        <f t="shared" si="41"/>
        <v>12228924.995742612</v>
      </c>
      <c r="N103" s="60">
        <f t="shared" si="41"/>
        <v>6869654.7837143922</v>
      </c>
      <c r="O103" s="60">
        <f t="shared" si="41"/>
        <v>3703644.6074125073</v>
      </c>
      <c r="P103" s="60">
        <f>SUM(D103:O103)</f>
        <v>79378176.690454647</v>
      </c>
      <c r="Q103" s="70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26"/>
      <c r="BM103" s="126"/>
      <c r="BN103" s="126"/>
      <c r="BO103" s="126"/>
      <c r="BP103" s="126"/>
      <c r="BQ103" s="126"/>
      <c r="BR103" s="126"/>
      <c r="BS103" s="126"/>
      <c r="BT103" s="126"/>
      <c r="BU103" s="126"/>
      <c r="BV103" s="126"/>
      <c r="BW103" s="126"/>
      <c r="BX103" s="126"/>
      <c r="BY103" s="126"/>
      <c r="BZ103" s="126"/>
      <c r="CA103" s="126"/>
      <c r="CB103" s="126"/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</row>
    <row r="104" spans="1:91" x14ac:dyDescent="0.2">
      <c r="A104" s="4">
        <v>93</v>
      </c>
      <c r="B104" s="172" t="s">
        <v>324</v>
      </c>
      <c r="C104" s="1"/>
      <c r="D104" s="60">
        <f>D102+D103</f>
        <v>7941991.5363936992</v>
      </c>
      <c r="E104" s="60">
        <f t="shared" ref="E104:O104" si="42">E102+E103</f>
        <v>7303325.8043525275</v>
      </c>
      <c r="F104" s="60">
        <f t="shared" si="42"/>
        <v>7328172.9681606311</v>
      </c>
      <c r="G104" s="60">
        <f t="shared" si="42"/>
        <v>7309043.3426253237</v>
      </c>
      <c r="H104" s="60">
        <f t="shared" si="42"/>
        <v>9151221.8331810627</v>
      </c>
      <c r="I104" s="60">
        <f t="shared" si="42"/>
        <v>14754930.398412079</v>
      </c>
      <c r="J104" s="60">
        <f t="shared" si="42"/>
        <v>21416685.355736427</v>
      </c>
      <c r="K104" s="60">
        <f t="shared" si="42"/>
        <v>24407608.299881324</v>
      </c>
      <c r="L104" s="60">
        <f t="shared" si="42"/>
        <v>23477183.036247805</v>
      </c>
      <c r="M104" s="60">
        <f t="shared" si="42"/>
        <v>22336979.049217485</v>
      </c>
      <c r="N104" s="60">
        <f t="shared" si="42"/>
        <v>14582910.428758483</v>
      </c>
      <c r="O104" s="60">
        <f t="shared" si="42"/>
        <v>10102248.68106615</v>
      </c>
      <c r="P104" s="60">
        <f>SUM(D104:O104)</f>
        <v>170112300.73403299</v>
      </c>
      <c r="Q104" s="70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</row>
    <row r="105" spans="1:91" x14ac:dyDescent="0.2">
      <c r="Q105" s="70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</row>
    <row r="106" spans="1:91" x14ac:dyDescent="0.2">
      <c r="A106" s="4"/>
      <c r="Q106" s="70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</row>
    <row r="107" spans="1:91" x14ac:dyDescent="0.2">
      <c r="A107" s="4"/>
      <c r="D107" s="43">
        <f t="shared" ref="D107:P107" si="43">D17+D26+D35+D44+D52+D60+D72+D87+D96</f>
        <v>2680016.3120132508</v>
      </c>
      <c r="E107" s="43">
        <f t="shared" si="43"/>
        <v>2559752.1749808723</v>
      </c>
      <c r="F107" s="43">
        <f t="shared" si="43"/>
        <v>2643559.8392320788</v>
      </c>
      <c r="G107" s="43">
        <f t="shared" si="43"/>
        <v>2606681.3505837312</v>
      </c>
      <c r="H107" s="43">
        <f t="shared" si="43"/>
        <v>3080157.3775316281</v>
      </c>
      <c r="I107" s="43">
        <f t="shared" si="43"/>
        <v>4158814.7648171047</v>
      </c>
      <c r="J107" s="43">
        <f t="shared" si="43"/>
        <v>5299277.7821295662</v>
      </c>
      <c r="K107" s="43">
        <f t="shared" si="43"/>
        <v>6030962.8176353052</v>
      </c>
      <c r="L107" s="43">
        <f t="shared" si="43"/>
        <v>5844856.3112990744</v>
      </c>
      <c r="M107" s="43">
        <f t="shared" si="43"/>
        <v>5421480.1345265545</v>
      </c>
      <c r="N107" s="43">
        <f t="shared" si="43"/>
        <v>3877938.2584842313</v>
      </c>
      <c r="O107" s="43">
        <f t="shared" si="43"/>
        <v>3042800.6972944615</v>
      </c>
      <c r="P107" s="43">
        <f t="shared" si="43"/>
        <v>47246302.290527865</v>
      </c>
      <c r="Q107" s="70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</row>
    <row r="108" spans="1:91" x14ac:dyDescent="0.2">
      <c r="A108" s="4"/>
      <c r="C108" s="43"/>
      <c r="D108" s="75">
        <f>D89+D80+D64+D56+D48+D39+D30+D21+D12+D74</f>
        <v>5710793.5893640267</v>
      </c>
      <c r="E108" s="75">
        <f t="shared" ref="E108:O108" si="44">E89+E80+E64+E56+E48+E39+E30+E21+E12+E74</f>
        <v>5492898.0188646344</v>
      </c>
      <c r="F108" s="75">
        <f t="shared" si="44"/>
        <v>5493819.3510464942</v>
      </c>
      <c r="G108" s="75">
        <f t="shared" si="44"/>
        <v>5456653.6646982366</v>
      </c>
      <c r="H108" s="75">
        <f t="shared" si="44"/>
        <v>6040027.0016678665</v>
      </c>
      <c r="I108" s="75">
        <f t="shared" si="44"/>
        <v>7597707.078782673</v>
      </c>
      <c r="J108" s="75">
        <f t="shared" si="44"/>
        <v>9401784.0008711815</v>
      </c>
      <c r="K108" s="75">
        <f t="shared" si="44"/>
        <v>10259803.794015912</v>
      </c>
      <c r="L108" s="75">
        <f t="shared" si="44"/>
        <v>9695384.6861361191</v>
      </c>
      <c r="M108" s="75">
        <f t="shared" si="44"/>
        <v>9880367.2437146716</v>
      </c>
      <c r="N108" s="75">
        <f t="shared" si="44"/>
        <v>7504207.2060849927</v>
      </c>
      <c r="O108" s="75">
        <f t="shared" si="44"/>
        <v>6242529.0433456078</v>
      </c>
      <c r="P108" s="75">
        <f>P89+P80+P64+P56+P48+P39+P30+P21+P12</f>
        <v>88662657.134192422</v>
      </c>
      <c r="Q108" s="70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</row>
    <row r="109" spans="1:91" x14ac:dyDescent="0.2">
      <c r="A109" s="4"/>
      <c r="C109" s="43"/>
      <c r="D109" s="75">
        <f>D62+D54+D46+D37+D28+D19</f>
        <v>2113849.5648995508</v>
      </c>
      <c r="E109" s="75">
        <f>E62+E54+E46+E37+E28+E19</f>
        <v>1707940.8674351822</v>
      </c>
      <c r="F109" s="75">
        <f>F62+F54+F46+F37+F28+F19</f>
        <v>1738084.7627984323</v>
      </c>
      <c r="G109" s="75">
        <f>G62+G54+G46+G37+G28+G19</f>
        <v>1745311.9617956677</v>
      </c>
      <c r="H109" s="75">
        <f t="shared" ref="H109:P109" si="45">H62+H54+H46+H37+H28+H19</f>
        <v>2944013.037562144</v>
      </c>
      <c r="I109" s="75">
        <f t="shared" si="45"/>
        <v>6971277.0486483565</v>
      </c>
      <c r="J109" s="75">
        <f t="shared" si="45"/>
        <v>11854748.194883922</v>
      </c>
      <c r="K109" s="75">
        <f t="shared" si="45"/>
        <v>13940763.023727167</v>
      </c>
      <c r="L109" s="75">
        <f t="shared" si="45"/>
        <v>13559963.841834718</v>
      </c>
      <c r="M109" s="75">
        <f t="shared" si="45"/>
        <v>12228924.995742612</v>
      </c>
      <c r="N109" s="75">
        <f t="shared" si="45"/>
        <v>6869654.7837143922</v>
      </c>
      <c r="O109" s="75">
        <f t="shared" si="45"/>
        <v>3703644.6074125073</v>
      </c>
      <c r="P109" s="75">
        <f t="shared" si="45"/>
        <v>79378176.690454647</v>
      </c>
      <c r="Q109" s="70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</row>
    <row r="110" spans="1:91" x14ac:dyDescent="0.2">
      <c r="A110" s="4"/>
      <c r="D110" s="75"/>
      <c r="O110" s="17"/>
      <c r="P110" s="17"/>
      <c r="Q110" s="70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/>
      <c r="CI110" s="126"/>
      <c r="CJ110" s="126"/>
      <c r="CK110" s="126"/>
      <c r="CL110" s="126"/>
      <c r="CM110" s="126"/>
    </row>
    <row r="111" spans="1:91" x14ac:dyDescent="0.2">
      <c r="A111" s="4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26"/>
      <c r="P111" s="26"/>
      <c r="Q111" s="83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  <c r="CE111" s="126"/>
      <c r="CF111" s="126"/>
      <c r="CG111" s="126"/>
      <c r="CH111" s="126"/>
      <c r="CI111" s="126"/>
      <c r="CJ111" s="126"/>
      <c r="CK111" s="126"/>
      <c r="CL111" s="126"/>
      <c r="CM111" s="126"/>
    </row>
    <row r="112" spans="1:91" x14ac:dyDescent="0.2">
      <c r="A112" s="4"/>
      <c r="B112" s="2" t="s">
        <v>667</v>
      </c>
      <c r="D112" s="70">
        <f>(D12+D21+D39)-('Test Year Monthly - (Pres)'!D12+'Test Year Monthly - (Pres)'!D21+'Test Year Monthly - (Pres)'!D39)</f>
        <v>-19762.843791086227</v>
      </c>
      <c r="E112" s="70">
        <f>(E12+E21+E39)-('Test Year Monthly - (Pres)'!E12+'Test Year Monthly - (Pres)'!E21+'Test Year Monthly - (Pres)'!E39)</f>
        <v>-36987.326803706586</v>
      </c>
      <c r="F112" s="70">
        <f>(F12+F21+F39)-('Test Year Monthly - (Pres)'!F12+'Test Year Monthly - (Pres)'!F21+'Test Year Monthly - (Pres)'!F39)</f>
        <v>-37450.781255017966</v>
      </c>
      <c r="G112" s="70">
        <f>(G12+G21+G39)-('Test Year Monthly - (Pres)'!G12+'Test Year Monthly - (Pres)'!G21+'Test Year Monthly - (Pres)'!G39)</f>
        <v>-36583.384574265219</v>
      </c>
      <c r="H112" s="70">
        <f>(H12+H21+H39)-('Test Year Monthly - (Pres)'!H12+'Test Year Monthly - (Pres)'!H21+'Test Year Monthly - (Pres)'!H39)</f>
        <v>22355.320693830959</v>
      </c>
      <c r="I112" s="70">
        <f>(I12+I21+I39)-('Test Year Monthly - (Pres)'!I12+'Test Year Monthly - (Pres)'!I21+'Test Year Monthly - (Pres)'!I39)</f>
        <v>254919.08414435759</v>
      </c>
      <c r="J112" s="70">
        <f>(J12+J21+J39)-('Test Year Monthly - (Pres)'!J12+'Test Year Monthly - (Pres)'!J21+'Test Year Monthly - (Pres)'!J39)</f>
        <v>510945.66721248534</v>
      </c>
      <c r="K112" s="70">
        <f>(K12+K21+K39)-('Test Year Monthly - (Pres)'!K12+'Test Year Monthly - (Pres)'!K21+'Test Year Monthly - (Pres)'!K39)</f>
        <v>616093.36577743664</v>
      </c>
      <c r="L112" s="70">
        <f>(L12+L21+L39)-('Test Year Monthly - (Pres)'!L12+'Test Year Monthly - (Pres)'!L21+'Test Year Monthly - (Pres)'!L39)</f>
        <v>614482.83081461862</v>
      </c>
      <c r="M112" s="70">
        <f>(M12+M21+M39)-('Test Year Monthly - (Pres)'!M12+'Test Year Monthly - (Pres)'!M21+'Test Year Monthly - (Pres)'!M39)</f>
        <v>497544.72355948109</v>
      </c>
      <c r="N112" s="70">
        <f>(N12+N21+N39)-('Test Year Monthly - (Pres)'!N12+'Test Year Monthly - (Pres)'!N21+'Test Year Monthly - (Pres)'!N39)</f>
        <v>239996.01031853352</v>
      </c>
      <c r="O112" s="70">
        <f>(O12+O21+O39)-('Test Year Monthly - (Pres)'!O12+'Test Year Monthly - (Pres)'!O21+'Test Year Monthly - (Pres)'!O39)</f>
        <v>54095.582685315982</v>
      </c>
      <c r="P112" s="37"/>
      <c r="Q112" s="1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126"/>
      <c r="CI112" s="126"/>
      <c r="CJ112" s="126"/>
      <c r="CK112" s="126"/>
      <c r="CL112" s="126"/>
      <c r="CM112" s="126"/>
    </row>
    <row r="113" spans="1:91" x14ac:dyDescent="0.2">
      <c r="A113" s="4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37"/>
      <c r="P113" s="37"/>
      <c r="Q113" s="1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</row>
    <row r="114" spans="1:91" x14ac:dyDescent="0.2">
      <c r="A114" s="4"/>
      <c r="B114" s="2" t="s">
        <v>414</v>
      </c>
      <c r="D114" s="43">
        <f>D17+D26+D35+D44</f>
        <v>435858.71401325101</v>
      </c>
      <c r="E114" s="43">
        <f t="shared" ref="E114:O114" si="46">E17+E26+E35+E44</f>
        <v>361285.30258087238</v>
      </c>
      <c r="F114" s="43">
        <f t="shared" si="46"/>
        <v>363641.40403207904</v>
      </c>
      <c r="G114" s="43">
        <f t="shared" si="46"/>
        <v>370598.69298373093</v>
      </c>
      <c r="H114" s="43">
        <f t="shared" si="46"/>
        <v>618296.45123162819</v>
      </c>
      <c r="I114" s="43">
        <f t="shared" si="46"/>
        <v>1521395.7982171045</v>
      </c>
      <c r="J114" s="43">
        <f t="shared" si="46"/>
        <v>2583630.6126295663</v>
      </c>
      <c r="K114" s="43">
        <f t="shared" si="46"/>
        <v>3036908.3294353057</v>
      </c>
      <c r="L114" s="43">
        <f t="shared" si="46"/>
        <v>2959058.6117990739</v>
      </c>
      <c r="M114" s="43">
        <f t="shared" si="46"/>
        <v>2644614.897426554</v>
      </c>
      <c r="N114" s="43">
        <f t="shared" si="46"/>
        <v>1489043.7400842311</v>
      </c>
      <c r="O114" s="43">
        <f t="shared" si="46"/>
        <v>735393.14809446153</v>
      </c>
      <c r="P114" s="26">
        <f>SUM(D114:O114)</f>
        <v>17119725.702527858</v>
      </c>
      <c r="Q114" s="1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</row>
    <row r="115" spans="1:91" x14ac:dyDescent="0.2">
      <c r="A115" s="4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6"/>
      <c r="BZ115" s="126"/>
      <c r="CA115" s="126"/>
      <c r="CB115" s="126"/>
      <c r="CC115" s="126"/>
      <c r="CD115" s="126"/>
      <c r="CE115" s="126"/>
      <c r="CF115" s="126"/>
      <c r="CG115" s="126"/>
      <c r="CH115" s="126"/>
      <c r="CI115" s="126"/>
      <c r="CJ115" s="126"/>
      <c r="CK115" s="126"/>
      <c r="CL115" s="126"/>
      <c r="CM115" s="126"/>
    </row>
    <row r="116" spans="1:91" x14ac:dyDescent="0.2">
      <c r="A116" s="4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26"/>
      <c r="BM116" s="126"/>
      <c r="BN116" s="126"/>
      <c r="BO116" s="126"/>
      <c r="BP116" s="126"/>
      <c r="BQ116" s="126"/>
      <c r="BR116" s="126"/>
      <c r="BS116" s="126"/>
      <c r="BT116" s="126"/>
      <c r="BU116" s="126"/>
      <c r="BV116" s="126"/>
      <c r="BW116" s="126"/>
      <c r="BX116" s="126"/>
      <c r="BY116" s="126"/>
      <c r="BZ116" s="126"/>
      <c r="CA116" s="126"/>
      <c r="CB116" s="126"/>
      <c r="CC116" s="126"/>
      <c r="CD116" s="126"/>
      <c r="CE116" s="126"/>
      <c r="CF116" s="126"/>
      <c r="CG116" s="126"/>
      <c r="CH116" s="126"/>
      <c r="CI116" s="126"/>
      <c r="CJ116" s="126"/>
      <c r="CK116" s="126"/>
      <c r="CL116" s="126"/>
      <c r="CM116" s="126"/>
    </row>
    <row r="117" spans="1:91" x14ac:dyDescent="0.2">
      <c r="A117" s="4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</row>
    <row r="118" spans="1:91" x14ac:dyDescent="0.2">
      <c r="A118" s="15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</row>
    <row r="119" spans="1:91" x14ac:dyDescent="0.2">
      <c r="A119" s="15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</row>
    <row r="120" spans="1:91" x14ac:dyDescent="0.2">
      <c r="A120" s="15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</row>
    <row r="121" spans="1:91" x14ac:dyDescent="0.2">
      <c r="A121" s="15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</row>
    <row r="122" spans="1:91" x14ac:dyDescent="0.2">
      <c r="A122" s="15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</row>
    <row r="123" spans="1:91" x14ac:dyDescent="0.2">
      <c r="A123" s="15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6"/>
      <c r="BZ123" s="126"/>
      <c r="CA123" s="126"/>
      <c r="CB123" s="126"/>
      <c r="CC123" s="126"/>
      <c r="CD123" s="126"/>
      <c r="CE123" s="126"/>
      <c r="CF123" s="126"/>
      <c r="CG123" s="126"/>
      <c r="CH123" s="126"/>
      <c r="CI123" s="126"/>
      <c r="CJ123" s="126"/>
      <c r="CK123" s="126"/>
      <c r="CL123" s="126"/>
      <c r="CM123" s="126"/>
    </row>
    <row r="124" spans="1:91" x14ac:dyDescent="0.2">
      <c r="A124" s="15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</row>
    <row r="125" spans="1:91" x14ac:dyDescent="0.2">
      <c r="A125" s="15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</row>
    <row r="126" spans="1:91" x14ac:dyDescent="0.2">
      <c r="A126" s="15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6"/>
      <c r="BM126" s="126"/>
      <c r="BN126" s="126"/>
      <c r="BO126" s="126"/>
      <c r="BP126" s="126"/>
      <c r="BQ126" s="126"/>
      <c r="BR126" s="126"/>
      <c r="BS126" s="126"/>
      <c r="BT126" s="126"/>
      <c r="BU126" s="126"/>
      <c r="BV126" s="126"/>
      <c r="BW126" s="126"/>
      <c r="BX126" s="126"/>
      <c r="BY126" s="126"/>
      <c r="BZ126" s="126"/>
      <c r="CA126" s="126"/>
      <c r="CB126" s="126"/>
      <c r="CC126" s="126"/>
      <c r="CD126" s="126"/>
      <c r="CE126" s="126"/>
      <c r="CF126" s="126"/>
      <c r="CG126" s="126"/>
      <c r="CH126" s="126"/>
      <c r="CI126" s="126"/>
      <c r="CJ126" s="126"/>
      <c r="CK126" s="126"/>
      <c r="CL126" s="126"/>
      <c r="CM126" s="126"/>
    </row>
    <row r="127" spans="1:91" x14ac:dyDescent="0.2">
      <c r="A127" s="15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6"/>
      <c r="BZ127" s="126"/>
      <c r="CA127" s="126"/>
      <c r="CB127" s="126"/>
      <c r="CC127" s="126"/>
      <c r="CD127" s="126"/>
      <c r="CE127" s="126"/>
      <c r="CF127" s="126"/>
      <c r="CG127" s="126"/>
      <c r="CH127" s="126"/>
      <c r="CI127" s="126"/>
      <c r="CJ127" s="126"/>
      <c r="CK127" s="126"/>
      <c r="CL127" s="126"/>
      <c r="CM127" s="126"/>
    </row>
    <row r="128" spans="1:9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6"/>
      <c r="BM128" s="126"/>
      <c r="BN128" s="126"/>
      <c r="BO128" s="126"/>
      <c r="BP128" s="126"/>
      <c r="BQ128" s="126"/>
      <c r="BR128" s="126"/>
      <c r="BS128" s="126"/>
      <c r="BT128" s="126"/>
      <c r="BU128" s="126"/>
      <c r="BV128" s="126"/>
      <c r="BW128" s="126"/>
      <c r="BX128" s="126"/>
      <c r="BY128" s="126"/>
      <c r="BZ128" s="126"/>
      <c r="CA128" s="126"/>
      <c r="CB128" s="126"/>
      <c r="CC128" s="126"/>
      <c r="CD128" s="126"/>
      <c r="CE128" s="126"/>
      <c r="CF128" s="126"/>
      <c r="CG128" s="126"/>
      <c r="CH128" s="126"/>
      <c r="CI128" s="126"/>
      <c r="CJ128" s="126"/>
      <c r="CK128" s="126"/>
      <c r="CL128" s="126"/>
      <c r="CM128" s="126"/>
    </row>
    <row r="129" spans="1:9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6"/>
      <c r="BM129" s="126"/>
      <c r="BN129" s="126"/>
      <c r="BO129" s="126"/>
      <c r="BP129" s="126"/>
      <c r="BQ129" s="126"/>
      <c r="BR129" s="126"/>
      <c r="BS129" s="126"/>
      <c r="BT129" s="126"/>
      <c r="BU129" s="126"/>
      <c r="BV129" s="126"/>
      <c r="BW129" s="126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6"/>
      <c r="CL129" s="126"/>
      <c r="CM129" s="126"/>
    </row>
    <row r="130" spans="1:9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6"/>
      <c r="BM130" s="126"/>
      <c r="BN130" s="126"/>
      <c r="BO130" s="126"/>
      <c r="BP130" s="126"/>
      <c r="BQ130" s="126"/>
      <c r="BR130" s="126"/>
      <c r="BS130" s="126"/>
      <c r="BT130" s="126"/>
      <c r="BU130" s="126"/>
      <c r="BV130" s="126"/>
      <c r="BW130" s="126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6"/>
      <c r="CL130" s="126"/>
      <c r="CM130" s="126"/>
    </row>
    <row r="131" spans="1:9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</row>
    <row r="132" spans="1:9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</row>
    <row r="133" spans="1:9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</row>
    <row r="134" spans="1:9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</row>
    <row r="135" spans="1:9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</row>
    <row r="136" spans="1:9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  <c r="BR136" s="126"/>
      <c r="BS136" s="126"/>
      <c r="BT136" s="126"/>
      <c r="BU136" s="126"/>
      <c r="BV136" s="126"/>
      <c r="BW136" s="126"/>
      <c r="BX136" s="126"/>
      <c r="BY136" s="126"/>
      <c r="BZ136" s="126"/>
      <c r="CA136" s="126"/>
      <c r="CB136" s="126"/>
      <c r="CC136" s="126"/>
      <c r="CD136" s="126"/>
      <c r="CE136" s="126"/>
      <c r="CF136" s="126"/>
      <c r="CG136" s="126"/>
      <c r="CH136" s="126"/>
      <c r="CI136" s="126"/>
      <c r="CJ136" s="126"/>
      <c r="CK136" s="126"/>
      <c r="CL136" s="126"/>
      <c r="CM136" s="126"/>
    </row>
    <row r="137" spans="1:9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  <c r="BR137" s="126"/>
      <c r="BS137" s="126"/>
      <c r="BT137" s="126"/>
      <c r="BU137" s="126"/>
      <c r="BV137" s="126"/>
      <c r="BW137" s="126"/>
      <c r="BX137" s="126"/>
      <c r="BY137" s="126"/>
      <c r="BZ137" s="126"/>
      <c r="CA137" s="126"/>
      <c r="CB137" s="126"/>
      <c r="CC137" s="126"/>
      <c r="CD137" s="126"/>
      <c r="CE137" s="126"/>
      <c r="CF137" s="126"/>
      <c r="CG137" s="126"/>
      <c r="CH137" s="126"/>
      <c r="CI137" s="126"/>
      <c r="CJ137" s="126"/>
      <c r="CK137" s="126"/>
      <c r="CL137" s="126"/>
      <c r="CM137" s="126"/>
    </row>
    <row r="138" spans="1:91" x14ac:dyDescent="0.2">
      <c r="A138" s="1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  <c r="BR138" s="126"/>
      <c r="BS138" s="126"/>
      <c r="BT138" s="126"/>
      <c r="BU138" s="126"/>
      <c r="BV138" s="126"/>
      <c r="BW138" s="126"/>
      <c r="BX138" s="126"/>
      <c r="BY138" s="126"/>
      <c r="BZ138" s="126"/>
      <c r="CA138" s="126"/>
      <c r="CB138" s="126"/>
      <c r="CC138" s="126"/>
      <c r="CD138" s="126"/>
      <c r="CE138" s="126"/>
      <c r="CF138" s="126"/>
      <c r="CG138" s="126"/>
      <c r="CH138" s="126"/>
      <c r="CI138" s="126"/>
      <c r="CJ138" s="126"/>
      <c r="CK138" s="126"/>
      <c r="CL138" s="126"/>
      <c r="CM138" s="126"/>
    </row>
    <row r="139" spans="1:91" x14ac:dyDescent="0.2">
      <c r="A139" s="1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6"/>
      <c r="BZ139" s="126"/>
      <c r="CA139" s="126"/>
      <c r="CB139" s="126"/>
      <c r="CC139" s="126"/>
      <c r="CD139" s="126"/>
      <c r="CE139" s="126"/>
      <c r="CF139" s="126"/>
      <c r="CG139" s="126"/>
      <c r="CH139" s="126"/>
      <c r="CI139" s="126"/>
      <c r="CJ139" s="126"/>
      <c r="CK139" s="126"/>
      <c r="CL139" s="126"/>
      <c r="CM139" s="126"/>
    </row>
    <row r="140" spans="1:91" x14ac:dyDescent="0.2">
      <c r="A140" s="1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</row>
    <row r="141" spans="1:91" x14ac:dyDescent="0.2">
      <c r="A141" s="1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</row>
    <row r="142" spans="1:91" x14ac:dyDescent="0.2">
      <c r="A142" s="1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26"/>
      <c r="BU142" s="126"/>
      <c r="BV142" s="126"/>
      <c r="BW142" s="126"/>
      <c r="BX142" s="126"/>
      <c r="BY142" s="126"/>
      <c r="BZ142" s="126"/>
      <c r="CA142" s="126"/>
      <c r="CB142" s="126"/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</row>
    <row r="143" spans="1:91" x14ac:dyDescent="0.2">
      <c r="A143" s="1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6"/>
      <c r="BZ143" s="126"/>
      <c r="CA143" s="126"/>
      <c r="CB143" s="126"/>
      <c r="CC143" s="126"/>
      <c r="CD143" s="126"/>
      <c r="CE143" s="126"/>
      <c r="CF143" s="126"/>
      <c r="CG143" s="126"/>
      <c r="CH143" s="126"/>
      <c r="CI143" s="126"/>
      <c r="CJ143" s="126"/>
      <c r="CK143" s="126"/>
      <c r="CL143" s="126"/>
      <c r="CM143" s="126"/>
    </row>
    <row r="144" spans="1:91" x14ac:dyDescent="0.2">
      <c r="A144" s="1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6"/>
      <c r="BW144" s="126"/>
      <c r="BX144" s="126"/>
      <c r="BY144" s="126"/>
      <c r="BZ144" s="126"/>
      <c r="CA144" s="126"/>
      <c r="CB144" s="126"/>
      <c r="CC144" s="126"/>
      <c r="CD144" s="126"/>
      <c r="CE144" s="126"/>
      <c r="CF144" s="126"/>
      <c r="CG144" s="126"/>
      <c r="CH144" s="126"/>
      <c r="CI144" s="126"/>
      <c r="CJ144" s="126"/>
      <c r="CK144" s="126"/>
      <c r="CL144" s="126"/>
      <c r="CM144" s="126"/>
    </row>
    <row r="145" spans="1:91" x14ac:dyDescent="0.2">
      <c r="A145" s="1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  <c r="BR145" s="126"/>
      <c r="BS145" s="126"/>
      <c r="BT145" s="126"/>
      <c r="BU145" s="126"/>
      <c r="BV145" s="126"/>
      <c r="BW145" s="126"/>
      <c r="BX145" s="126"/>
      <c r="BY145" s="126"/>
      <c r="BZ145" s="126"/>
      <c r="CA145" s="126"/>
      <c r="CB145" s="126"/>
      <c r="CC145" s="126"/>
      <c r="CD145" s="126"/>
      <c r="CE145" s="126"/>
      <c r="CF145" s="126"/>
      <c r="CG145" s="126"/>
      <c r="CH145" s="126"/>
      <c r="CI145" s="126"/>
      <c r="CJ145" s="126"/>
      <c r="CK145" s="126"/>
      <c r="CL145" s="126"/>
      <c r="CM145" s="126"/>
    </row>
    <row r="146" spans="1:91" x14ac:dyDescent="0.2">
      <c r="A146" s="1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  <c r="BR146" s="126"/>
      <c r="BS146" s="126"/>
      <c r="BT146" s="126"/>
      <c r="BU146" s="126"/>
      <c r="BV146" s="126"/>
      <c r="BW146" s="126"/>
      <c r="BX146" s="126"/>
      <c r="BY146" s="126"/>
      <c r="BZ146" s="126"/>
      <c r="CA146" s="126"/>
      <c r="CB146" s="126"/>
      <c r="CC146" s="126"/>
      <c r="CD146" s="126"/>
      <c r="CE146" s="126"/>
      <c r="CF146" s="126"/>
      <c r="CG146" s="126"/>
      <c r="CH146" s="126"/>
      <c r="CI146" s="126"/>
      <c r="CJ146" s="126"/>
      <c r="CK146" s="126"/>
      <c r="CL146" s="126"/>
      <c r="CM146" s="126"/>
    </row>
    <row r="147" spans="1:91" x14ac:dyDescent="0.2">
      <c r="A147" s="1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6"/>
      <c r="BZ147" s="126"/>
      <c r="CA147" s="126"/>
      <c r="CB147" s="126"/>
      <c r="CC147" s="126"/>
      <c r="CD147" s="126"/>
      <c r="CE147" s="126"/>
      <c r="CF147" s="126"/>
      <c r="CG147" s="126"/>
      <c r="CH147" s="126"/>
      <c r="CI147" s="126"/>
      <c r="CJ147" s="126"/>
      <c r="CK147" s="126"/>
      <c r="CL147" s="126"/>
      <c r="CM147" s="126"/>
    </row>
    <row r="148" spans="1:91" x14ac:dyDescent="0.2">
      <c r="A148" s="1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  <c r="BY148" s="126"/>
      <c r="BZ148" s="126"/>
      <c r="CA148" s="126"/>
      <c r="CB148" s="126"/>
      <c r="CC148" s="126"/>
      <c r="CD148" s="126"/>
      <c r="CE148" s="126"/>
      <c r="CF148" s="126"/>
      <c r="CG148" s="126"/>
      <c r="CH148" s="126"/>
      <c r="CI148" s="126"/>
      <c r="CJ148" s="126"/>
      <c r="CK148" s="126"/>
      <c r="CL148" s="126"/>
      <c r="CM148" s="126"/>
    </row>
    <row r="149" spans="1:91" x14ac:dyDescent="0.2">
      <c r="A149" s="1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26"/>
      <c r="BU149" s="126"/>
      <c r="BV149" s="126"/>
      <c r="BW149" s="126"/>
      <c r="BX149" s="126"/>
      <c r="BY149" s="126"/>
      <c r="BZ149" s="126"/>
      <c r="CA149" s="126"/>
      <c r="CB149" s="126"/>
      <c r="CC149" s="126"/>
      <c r="CD149" s="126"/>
      <c r="CE149" s="126"/>
      <c r="CF149" s="126"/>
      <c r="CG149" s="126"/>
      <c r="CH149" s="126"/>
      <c r="CI149" s="126"/>
      <c r="CJ149" s="126"/>
      <c r="CK149" s="126"/>
      <c r="CL149" s="126"/>
      <c r="CM149" s="126"/>
    </row>
    <row r="150" spans="1:91" x14ac:dyDescent="0.2">
      <c r="A150" s="1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</row>
    <row r="151" spans="1:91" x14ac:dyDescent="0.2">
      <c r="A151" s="1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</row>
    <row r="152" spans="1:91" x14ac:dyDescent="0.2">
      <c r="A152" s="1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</row>
    <row r="153" spans="1:91" x14ac:dyDescent="0.2">
      <c r="A153" s="1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</row>
    <row r="154" spans="1:91" x14ac:dyDescent="0.2">
      <c r="A154" s="1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</row>
    <row r="155" spans="1:91" x14ac:dyDescent="0.2">
      <c r="A155" s="1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  <c r="BR155" s="126"/>
      <c r="BS155" s="126"/>
      <c r="BT155" s="126"/>
      <c r="BU155" s="126"/>
      <c r="BV155" s="126"/>
      <c r="BW155" s="126"/>
      <c r="BX155" s="126"/>
      <c r="BY155" s="126"/>
      <c r="BZ155" s="126"/>
      <c r="CA155" s="126"/>
      <c r="CB155" s="126"/>
      <c r="CC155" s="126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6"/>
    </row>
    <row r="156" spans="1:91" x14ac:dyDescent="0.2">
      <c r="A156" s="1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  <c r="BR156" s="126"/>
      <c r="BS156" s="126"/>
      <c r="BT156" s="126"/>
      <c r="BU156" s="126"/>
      <c r="BV156" s="126"/>
      <c r="BW156" s="126"/>
      <c r="BX156" s="126"/>
      <c r="BY156" s="126"/>
      <c r="BZ156" s="126"/>
      <c r="CA156" s="126"/>
      <c r="CB156" s="126"/>
      <c r="CC156" s="126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6"/>
    </row>
    <row r="157" spans="1:91" x14ac:dyDescent="0.2">
      <c r="A157" s="1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  <c r="BR157" s="126"/>
      <c r="BS157" s="126"/>
      <c r="BT157" s="126"/>
      <c r="BU157" s="126"/>
      <c r="BV157" s="126"/>
      <c r="BW157" s="126"/>
      <c r="BX157" s="126"/>
      <c r="BY157" s="126"/>
      <c r="BZ157" s="126"/>
      <c r="CA157" s="126"/>
      <c r="CB157" s="126"/>
      <c r="CC157" s="126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6"/>
    </row>
    <row r="158" spans="1:91" x14ac:dyDescent="0.2">
      <c r="A158" s="1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</row>
    <row r="159" spans="1:91" x14ac:dyDescent="0.2">
      <c r="A159" s="1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</row>
    <row r="160" spans="1:91" x14ac:dyDescent="0.2">
      <c r="A160" s="1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</row>
    <row r="161" spans="1:9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</row>
    <row r="162" spans="1:9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  <c r="BR162" s="126"/>
      <c r="BS162" s="126"/>
      <c r="BT162" s="126"/>
      <c r="BU162" s="126"/>
      <c r="BV162" s="126"/>
      <c r="BW162" s="126"/>
      <c r="BX162" s="126"/>
      <c r="BY162" s="126"/>
      <c r="BZ162" s="126"/>
      <c r="CA162" s="126"/>
      <c r="CB162" s="126"/>
      <c r="CC162" s="126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126"/>
    </row>
    <row r="163" spans="1:9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</row>
    <row r="164" spans="1:9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</row>
    <row r="165" spans="1:9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</row>
    <row r="166" spans="1:9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</row>
    <row r="167" spans="1:9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</row>
    <row r="168" spans="1:9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</row>
    <row r="169" spans="1:9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</row>
    <row r="170" spans="1:9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</row>
    <row r="171" spans="1:9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</row>
    <row r="172" spans="1:9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</row>
    <row r="173" spans="1:9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</row>
    <row r="174" spans="1:9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</row>
    <row r="175" spans="1:9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</row>
    <row r="176" spans="1:9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</row>
    <row r="177" spans="1:9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</row>
    <row r="178" spans="1:9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</row>
    <row r="179" spans="1:9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</row>
    <row r="180" spans="1:9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</row>
    <row r="181" spans="1:9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</row>
    <row r="182" spans="1:9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</row>
    <row r="183" spans="1:9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</row>
    <row r="184" spans="1:9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</row>
    <row r="185" spans="1:9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</row>
    <row r="186" spans="1:9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</row>
    <row r="187" spans="1:9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</row>
    <row r="188" spans="1:9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</row>
    <row r="189" spans="1:9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</row>
    <row r="190" spans="1:9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</row>
    <row r="191" spans="1:9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</row>
    <row r="192" spans="1:9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</row>
    <row r="193" spans="1:9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</row>
    <row r="194" spans="1:9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</row>
    <row r="195" spans="1:9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</row>
    <row r="196" spans="1:9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</row>
    <row r="197" spans="1:9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</row>
    <row r="198" spans="1:9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</row>
    <row r="199" spans="1:9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</row>
    <row r="200" spans="1:9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</row>
    <row r="201" spans="1:9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</row>
    <row r="202" spans="1:9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</row>
    <row r="203" spans="1:9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</row>
    <row r="204" spans="1:9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</row>
    <row r="205" spans="1:9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</row>
    <row r="206" spans="1:9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</row>
    <row r="207" spans="1:9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</row>
    <row r="208" spans="1:9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</row>
    <row r="209" spans="1:9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</row>
    <row r="210" spans="1:9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</row>
    <row r="211" spans="1:9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</row>
    <row r="212" spans="1:9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</row>
    <row r="213" spans="1:9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</row>
    <row r="214" spans="1:9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</row>
    <row r="215" spans="1:9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</row>
    <row r="216" spans="1:9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</row>
    <row r="217" spans="1:9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</row>
    <row r="218" spans="1:9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</row>
    <row r="219" spans="1:9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</row>
    <row r="220" spans="1:9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</row>
    <row r="221" spans="1:9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</row>
    <row r="222" spans="1:9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</row>
    <row r="223" spans="1:9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</row>
    <row r="224" spans="1:9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</row>
    <row r="225" spans="1:9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</row>
    <row r="226" spans="1:9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</row>
    <row r="227" spans="1:9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</row>
    <row r="228" spans="1:9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</row>
    <row r="229" spans="1:9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</row>
    <row r="230" spans="1:9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</row>
    <row r="231" spans="1:9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</row>
    <row r="232" spans="1:9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</row>
    <row r="233" spans="1:9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</row>
    <row r="234" spans="1:9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</row>
    <row r="235" spans="1:9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</row>
    <row r="236" spans="1:9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</row>
    <row r="237" spans="1:9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</row>
    <row r="238" spans="1:9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</row>
    <row r="239" spans="1:9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</row>
    <row r="240" spans="1:9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</row>
    <row r="241" spans="1:9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</row>
    <row r="242" spans="1:9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</row>
    <row r="243" spans="1:9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</row>
    <row r="244" spans="1:9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</row>
    <row r="245" spans="1:9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</row>
    <row r="246" spans="1:9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</row>
    <row r="247" spans="1:9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</row>
    <row r="248" spans="1:9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</row>
    <row r="249" spans="1:9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</row>
    <row r="250" spans="1:9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</row>
    <row r="251" spans="1:9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</row>
    <row r="252" spans="1:9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</row>
    <row r="253" spans="1:9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</row>
    <row r="254" spans="1:91" x14ac:dyDescent="0.2">
      <c r="A254" s="17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</row>
    <row r="255" spans="1:91" x14ac:dyDescent="0.2">
      <c r="A255" s="17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</row>
    <row r="256" spans="1:91" x14ac:dyDescent="0.2">
      <c r="A256" s="17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</row>
    <row r="257" spans="1:91" x14ac:dyDescent="0.2">
      <c r="A257" s="17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</row>
    <row r="258" spans="1:91" x14ac:dyDescent="0.2">
      <c r="A258" s="17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</row>
    <row r="259" spans="1:91" x14ac:dyDescent="0.2">
      <c r="A259" s="17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</row>
    <row r="260" spans="1:91" x14ac:dyDescent="0.2">
      <c r="A260" s="17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</row>
    <row r="261" spans="1:91" x14ac:dyDescent="0.2">
      <c r="A261" s="17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</row>
    <row r="262" spans="1:91" x14ac:dyDescent="0.2">
      <c r="A262" s="17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</row>
    <row r="263" spans="1:91" x14ac:dyDescent="0.2">
      <c r="A263" s="17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</row>
    <row r="264" spans="1:91" x14ac:dyDescent="0.2">
      <c r="A264" s="17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</row>
    <row r="265" spans="1:91" x14ac:dyDescent="0.2">
      <c r="A265" s="17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</row>
    <row r="266" spans="1:91" x14ac:dyDescent="0.2">
      <c r="A266" s="17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</row>
    <row r="267" spans="1:91" x14ac:dyDescent="0.2">
      <c r="A267" s="17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</row>
    <row r="268" spans="1:91" x14ac:dyDescent="0.2">
      <c r="A268" s="17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</row>
    <row r="269" spans="1:91" x14ac:dyDescent="0.2">
      <c r="A269" s="17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</row>
    <row r="270" spans="1:91" x14ac:dyDescent="0.2">
      <c r="A270" s="17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</row>
    <row r="271" spans="1:91" x14ac:dyDescent="0.2">
      <c r="A271" s="17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</row>
    <row r="272" spans="1:91" x14ac:dyDescent="0.2">
      <c r="A272" s="17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</row>
    <row r="273" spans="1:91" x14ac:dyDescent="0.2">
      <c r="A273" s="17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</row>
    <row r="274" spans="1:91" x14ac:dyDescent="0.2">
      <c r="A274" s="17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</row>
    <row r="275" spans="1:91" x14ac:dyDescent="0.2">
      <c r="A275" s="17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</row>
    <row r="276" spans="1:91" x14ac:dyDescent="0.2">
      <c r="A276" s="17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</row>
    <row r="277" spans="1:91" x14ac:dyDescent="0.2">
      <c r="A277" s="17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</row>
    <row r="278" spans="1:91" x14ac:dyDescent="0.2">
      <c r="A278" s="17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</row>
    <row r="279" spans="1:91" x14ac:dyDescent="0.2">
      <c r="A279" s="17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</row>
    <row r="280" spans="1:91" x14ac:dyDescent="0.2">
      <c r="A280" s="17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</row>
    <row r="281" spans="1:91" x14ac:dyDescent="0.2">
      <c r="A281" s="17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</row>
    <row r="282" spans="1:91" x14ac:dyDescent="0.2">
      <c r="A282" s="17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</row>
    <row r="283" spans="1:91" x14ac:dyDescent="0.2">
      <c r="A283" s="17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</row>
    <row r="284" spans="1:91" x14ac:dyDescent="0.2">
      <c r="A284" s="17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</row>
    <row r="285" spans="1:91" x14ac:dyDescent="0.2">
      <c r="A285" s="17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</row>
    <row r="286" spans="1:91" x14ac:dyDescent="0.2">
      <c r="A286" s="17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</row>
    <row r="287" spans="1:91" x14ac:dyDescent="0.2">
      <c r="A287" s="17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</row>
    <row r="288" spans="1:91" x14ac:dyDescent="0.2">
      <c r="A288" s="17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</row>
    <row r="289" spans="1:91" x14ac:dyDescent="0.2">
      <c r="A289" s="17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</row>
    <row r="290" spans="1:91" x14ac:dyDescent="0.2">
      <c r="A290" s="17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</row>
    <row r="291" spans="1:91" x14ac:dyDescent="0.2">
      <c r="A291" s="17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</row>
    <row r="292" spans="1:91" x14ac:dyDescent="0.2">
      <c r="A292" s="17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</row>
    <row r="293" spans="1:91" x14ac:dyDescent="0.2">
      <c r="A293" s="17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</row>
    <row r="294" spans="1:91" x14ac:dyDescent="0.2">
      <c r="A294" s="17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</row>
    <row r="295" spans="1:91" x14ac:dyDescent="0.2">
      <c r="A295" s="17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</row>
    <row r="296" spans="1:91" x14ac:dyDescent="0.2">
      <c r="A296" s="17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</row>
    <row r="297" spans="1:91" x14ac:dyDescent="0.2">
      <c r="A297" s="17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</row>
    <row r="298" spans="1:91" x14ac:dyDescent="0.2">
      <c r="A298" s="17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</row>
    <row r="299" spans="1:91" x14ac:dyDescent="0.2">
      <c r="A299" s="17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</row>
    <row r="300" spans="1:91" x14ac:dyDescent="0.2">
      <c r="A300" s="17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</row>
    <row r="301" spans="1:91" x14ac:dyDescent="0.2">
      <c r="A301" s="17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</row>
    <row r="302" spans="1:91" x14ac:dyDescent="0.2">
      <c r="A302" s="17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</row>
    <row r="303" spans="1:91" x14ac:dyDescent="0.2">
      <c r="A303" s="17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</row>
    <row r="304" spans="1:91" x14ac:dyDescent="0.2">
      <c r="A304" s="17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</row>
    <row r="305" spans="1:91" x14ac:dyDescent="0.2">
      <c r="A305" s="17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</row>
    <row r="306" spans="1:91" x14ac:dyDescent="0.2">
      <c r="A306" s="17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</row>
    <row r="307" spans="1:91" x14ac:dyDescent="0.2">
      <c r="A307" s="17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</row>
    <row r="308" spans="1:91" x14ac:dyDescent="0.2">
      <c r="A308" s="17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</row>
    <row r="309" spans="1:91" x14ac:dyDescent="0.2">
      <c r="A309" s="17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</row>
    <row r="310" spans="1:91" x14ac:dyDescent="0.2">
      <c r="A310" s="17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</row>
    <row r="311" spans="1:91" x14ac:dyDescent="0.2">
      <c r="A311" s="17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</row>
    <row r="312" spans="1:91" x14ac:dyDescent="0.2">
      <c r="A312" s="17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</row>
    <row r="313" spans="1:91" x14ac:dyDescent="0.2">
      <c r="A313" s="17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</row>
    <row r="314" spans="1:91" x14ac:dyDescent="0.2">
      <c r="A314" s="17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</row>
    <row r="315" spans="1:91" x14ac:dyDescent="0.2">
      <c r="A315" s="17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</row>
    <row r="316" spans="1:91" x14ac:dyDescent="0.2">
      <c r="A316" s="17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</row>
    <row r="317" spans="1:91" x14ac:dyDescent="0.2">
      <c r="A317" s="17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</row>
    <row r="318" spans="1:91" x14ac:dyDescent="0.2">
      <c r="A318" s="17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</row>
    <row r="319" spans="1:91" x14ac:dyDescent="0.2">
      <c r="A319" s="17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</row>
    <row r="320" spans="1:91" x14ac:dyDescent="0.2">
      <c r="A320" s="17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</row>
    <row r="321" spans="1:91" x14ac:dyDescent="0.2">
      <c r="A321" s="17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</row>
    <row r="322" spans="1:91" x14ac:dyDescent="0.2">
      <c r="A322" s="17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</row>
    <row r="323" spans="1:91" x14ac:dyDescent="0.2">
      <c r="A323" s="17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</row>
    <row r="324" spans="1:91" x14ac:dyDescent="0.2">
      <c r="A324" s="17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</row>
    <row r="325" spans="1:91" x14ac:dyDescent="0.2">
      <c r="A325" s="17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</row>
    <row r="326" spans="1:91" x14ac:dyDescent="0.2">
      <c r="A326" s="17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</row>
    <row r="327" spans="1:91" x14ac:dyDescent="0.2">
      <c r="A327" s="17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</row>
    <row r="328" spans="1:91" x14ac:dyDescent="0.2">
      <c r="A328" s="17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</row>
    <row r="329" spans="1:91" x14ac:dyDescent="0.2">
      <c r="A329" s="17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</row>
    <row r="330" spans="1:91" x14ac:dyDescent="0.2">
      <c r="A330" s="17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</row>
    <row r="331" spans="1:91" x14ac:dyDescent="0.2">
      <c r="A331" s="17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</row>
    <row r="332" spans="1:91" x14ac:dyDescent="0.2">
      <c r="A332" s="17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</row>
    <row r="333" spans="1:91" x14ac:dyDescent="0.2">
      <c r="A333" s="17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</row>
    <row r="334" spans="1:91" x14ac:dyDescent="0.2">
      <c r="A334" s="17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</row>
    <row r="335" spans="1:91" x14ac:dyDescent="0.2">
      <c r="A335" s="17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</row>
    <row r="336" spans="1:91" x14ac:dyDescent="0.2">
      <c r="A336" s="17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</row>
    <row r="337" spans="1:91" x14ac:dyDescent="0.2">
      <c r="A337" s="17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</row>
    <row r="338" spans="1:91" x14ac:dyDescent="0.2">
      <c r="A338" s="17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</row>
    <row r="339" spans="1:91" x14ac:dyDescent="0.2">
      <c r="A339" s="17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</row>
    <row r="340" spans="1:91" x14ac:dyDescent="0.2">
      <c r="A340" s="17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</row>
    <row r="341" spans="1:91" x14ac:dyDescent="0.2">
      <c r="A341" s="17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</row>
    <row r="342" spans="1:91" x14ac:dyDescent="0.2">
      <c r="A342" s="17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</row>
    <row r="343" spans="1:91" x14ac:dyDescent="0.2">
      <c r="A343" s="17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</row>
    <row r="344" spans="1:91" x14ac:dyDescent="0.2">
      <c r="A344" s="17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</row>
    <row r="345" spans="1:91" x14ac:dyDescent="0.2">
      <c r="A345" s="17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</row>
    <row r="346" spans="1:91" x14ac:dyDescent="0.2">
      <c r="A346" s="17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</row>
    <row r="347" spans="1:91" x14ac:dyDescent="0.2">
      <c r="A347" s="17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</row>
    <row r="348" spans="1:91" x14ac:dyDescent="0.2">
      <c r="A348" s="17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</row>
    <row r="349" spans="1:91" x14ac:dyDescent="0.2">
      <c r="A349" s="17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</row>
    <row r="350" spans="1:91" x14ac:dyDescent="0.2">
      <c r="A350" s="17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</row>
    <row r="351" spans="1:91" x14ac:dyDescent="0.2">
      <c r="A351" s="17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</row>
    <row r="352" spans="1:91" x14ac:dyDescent="0.2">
      <c r="A352" s="17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</row>
    <row r="353" spans="1:91" x14ac:dyDescent="0.2">
      <c r="A353" s="17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</row>
    <row r="354" spans="1:91" x14ac:dyDescent="0.2">
      <c r="A354" s="17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</row>
    <row r="355" spans="1:91" x14ac:dyDescent="0.2">
      <c r="A355" s="17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</row>
    <row r="356" spans="1:91" x14ac:dyDescent="0.2">
      <c r="A356" s="17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</row>
    <row r="357" spans="1:91" x14ac:dyDescent="0.2">
      <c r="A357" s="17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</row>
    <row r="358" spans="1:91" x14ac:dyDescent="0.2">
      <c r="A358" s="17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</row>
    <row r="359" spans="1:91" x14ac:dyDescent="0.2">
      <c r="A359" s="17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</row>
    <row r="360" spans="1:91" x14ac:dyDescent="0.2">
      <c r="A360" s="17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</row>
    <row r="361" spans="1:91" x14ac:dyDescent="0.2">
      <c r="A361" s="17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</row>
    <row r="362" spans="1:91" x14ac:dyDescent="0.2">
      <c r="A362" s="17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</row>
    <row r="363" spans="1:91" x14ac:dyDescent="0.2">
      <c r="A363" s="17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</row>
    <row r="364" spans="1:91" x14ac:dyDescent="0.2">
      <c r="A364" s="17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</row>
    <row r="365" spans="1:91" x14ac:dyDescent="0.2">
      <c r="A365" s="17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</row>
    <row r="366" spans="1:91" x14ac:dyDescent="0.2">
      <c r="A366" s="17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</row>
    <row r="367" spans="1:91" x14ac:dyDescent="0.2">
      <c r="A367" s="17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</row>
    <row r="368" spans="1:91" x14ac:dyDescent="0.2">
      <c r="A368" s="17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</row>
    <row r="369" spans="1:91" x14ac:dyDescent="0.2">
      <c r="A369" s="17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</row>
    <row r="370" spans="1:91" x14ac:dyDescent="0.2">
      <c r="A370" s="17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</row>
    <row r="371" spans="1:91" x14ac:dyDescent="0.2">
      <c r="A371" s="17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</row>
    <row r="372" spans="1:91" x14ac:dyDescent="0.2">
      <c r="A372" s="17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</row>
    <row r="373" spans="1:91" x14ac:dyDescent="0.2">
      <c r="A373" s="17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</row>
    <row r="374" spans="1:91" x14ac:dyDescent="0.2">
      <c r="A374" s="17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</row>
    <row r="375" spans="1:91" x14ac:dyDescent="0.2">
      <c r="A375" s="17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</row>
    <row r="376" spans="1:91" x14ac:dyDescent="0.2">
      <c r="A376" s="17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</row>
    <row r="377" spans="1:91" x14ac:dyDescent="0.2">
      <c r="A377" s="17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</row>
    <row r="378" spans="1:91" x14ac:dyDescent="0.2">
      <c r="A378" s="17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</row>
    <row r="379" spans="1:91" x14ac:dyDescent="0.2">
      <c r="A379" s="17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</row>
    <row r="380" spans="1:91" x14ac:dyDescent="0.2">
      <c r="A380" s="17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</row>
    <row r="381" spans="1:91" x14ac:dyDescent="0.2">
      <c r="A381" s="17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</row>
    <row r="382" spans="1:91" x14ac:dyDescent="0.2">
      <c r="A382" s="17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</row>
    <row r="383" spans="1:91" x14ac:dyDescent="0.2">
      <c r="A383" s="17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</row>
    <row r="384" spans="1:91" x14ac:dyDescent="0.2">
      <c r="A384" s="17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</row>
    <row r="385" spans="1:91" x14ac:dyDescent="0.2">
      <c r="A385" s="17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</row>
    <row r="386" spans="1:91" x14ac:dyDescent="0.2">
      <c r="A386" s="17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</row>
    <row r="387" spans="1:91" x14ac:dyDescent="0.2">
      <c r="A387" s="17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</row>
    <row r="388" spans="1:91" x14ac:dyDescent="0.2">
      <c r="A388" s="17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</row>
    <row r="389" spans="1:91" x14ac:dyDescent="0.2">
      <c r="A389" s="17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</row>
    <row r="390" spans="1:91" x14ac:dyDescent="0.2">
      <c r="A390" s="17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</row>
    <row r="391" spans="1:91" x14ac:dyDescent="0.2">
      <c r="A391" s="17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</row>
    <row r="392" spans="1:91" x14ac:dyDescent="0.2">
      <c r="A392" s="17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</row>
    <row r="393" spans="1:91" x14ac:dyDescent="0.2">
      <c r="A393" s="17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</row>
    <row r="394" spans="1:91" x14ac:dyDescent="0.2">
      <c r="A394" s="17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</row>
    <row r="395" spans="1:91" x14ac:dyDescent="0.2">
      <c r="A395" s="17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</row>
    <row r="396" spans="1:91" x14ac:dyDescent="0.2">
      <c r="A396" s="17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</row>
    <row r="397" spans="1:91" x14ac:dyDescent="0.2">
      <c r="A397" s="17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</row>
    <row r="398" spans="1:91" x14ac:dyDescent="0.2">
      <c r="A398" s="17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</row>
    <row r="399" spans="1:91" x14ac:dyDescent="0.2">
      <c r="A399" s="17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</row>
    <row r="400" spans="1:91" x14ac:dyDescent="0.2">
      <c r="A400" s="17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</row>
    <row r="401" spans="1:91" x14ac:dyDescent="0.2">
      <c r="A401" s="17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</row>
    <row r="402" spans="1:91" x14ac:dyDescent="0.2">
      <c r="A402" s="17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</row>
    <row r="403" spans="1:91" x14ac:dyDescent="0.2">
      <c r="A403" s="17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</row>
    <row r="404" spans="1:91" x14ac:dyDescent="0.2">
      <c r="A404" s="17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</row>
    <row r="405" spans="1:91" x14ac:dyDescent="0.2">
      <c r="A405" s="17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</row>
    <row r="406" spans="1:91" x14ac:dyDescent="0.2">
      <c r="A406" s="17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</row>
    <row r="407" spans="1:91" x14ac:dyDescent="0.2">
      <c r="A407" s="17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</row>
    <row r="408" spans="1:91" x14ac:dyDescent="0.2">
      <c r="A408" s="17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</row>
    <row r="409" spans="1:91" x14ac:dyDescent="0.2">
      <c r="A409" s="17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</row>
    <row r="410" spans="1:91" x14ac:dyDescent="0.2">
      <c r="A410" s="17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</row>
    <row r="411" spans="1:91" x14ac:dyDescent="0.2">
      <c r="A411" s="17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</row>
    <row r="412" spans="1:91" x14ac:dyDescent="0.2">
      <c r="A412" s="17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</row>
    <row r="413" spans="1:91" x14ac:dyDescent="0.2">
      <c r="A413" s="17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</row>
    <row r="414" spans="1:91" x14ac:dyDescent="0.2">
      <c r="A414" s="17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</row>
    <row r="415" spans="1:91" x14ac:dyDescent="0.2">
      <c r="A415" s="17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</row>
    <row r="416" spans="1:91" x14ac:dyDescent="0.2">
      <c r="A416" s="17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</row>
    <row r="417" spans="1:91" x14ac:dyDescent="0.2">
      <c r="A417" s="17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</row>
    <row r="418" spans="1:91" x14ac:dyDescent="0.2">
      <c r="A418" s="17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</row>
    <row r="419" spans="1:91" x14ac:dyDescent="0.2">
      <c r="A419" s="17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</row>
    <row r="420" spans="1:91" x14ac:dyDescent="0.2">
      <c r="A420" s="17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</row>
    <row r="421" spans="1:91" x14ac:dyDescent="0.2">
      <c r="A421" s="17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</row>
    <row r="422" spans="1:91" x14ac:dyDescent="0.2">
      <c r="A422" s="17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</row>
    <row r="423" spans="1:91" x14ac:dyDescent="0.2">
      <c r="A423" s="17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</row>
    <row r="424" spans="1:91" x14ac:dyDescent="0.2">
      <c r="A424" s="17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</row>
    <row r="425" spans="1:91" x14ac:dyDescent="0.2">
      <c r="A425" s="17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</row>
    <row r="426" spans="1:91" x14ac:dyDescent="0.2">
      <c r="A426" s="17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</row>
    <row r="427" spans="1:91" x14ac:dyDescent="0.2">
      <c r="A427" s="17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</row>
    <row r="428" spans="1:91" x14ac:dyDescent="0.2">
      <c r="A428" s="17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</row>
    <row r="429" spans="1:91" x14ac:dyDescent="0.2">
      <c r="A429" s="17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</row>
    <row r="430" spans="1:91" x14ac:dyDescent="0.2">
      <c r="A430" s="17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</row>
    <row r="431" spans="1:91" x14ac:dyDescent="0.2">
      <c r="A431" s="17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</row>
    <row r="432" spans="1:91" x14ac:dyDescent="0.2">
      <c r="A432" s="17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</row>
    <row r="433" spans="1:91" x14ac:dyDescent="0.2">
      <c r="A433" s="17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</row>
    <row r="434" spans="1:91" x14ac:dyDescent="0.2">
      <c r="A434" s="17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</row>
    <row r="435" spans="1:91" x14ac:dyDescent="0.2">
      <c r="A435" s="17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</row>
    <row r="436" spans="1:91" x14ac:dyDescent="0.2">
      <c r="A436" s="17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</row>
    <row r="437" spans="1:91" x14ac:dyDescent="0.2">
      <c r="A437" s="17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</row>
    <row r="438" spans="1:91" x14ac:dyDescent="0.2">
      <c r="A438" s="17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</row>
    <row r="439" spans="1:91" x14ac:dyDescent="0.2">
      <c r="A439" s="17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</row>
    <row r="440" spans="1:91" x14ac:dyDescent="0.2">
      <c r="A440" s="17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</row>
    <row r="441" spans="1:91" x14ac:dyDescent="0.2">
      <c r="A441" s="17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</row>
    <row r="442" spans="1:91" x14ac:dyDescent="0.2">
      <c r="A442" s="17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</row>
    <row r="443" spans="1:91" x14ac:dyDescent="0.2">
      <c r="A443" s="17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</row>
    <row r="444" spans="1:91" x14ac:dyDescent="0.2">
      <c r="A444" s="17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</row>
    <row r="445" spans="1:91" x14ac:dyDescent="0.2">
      <c r="A445" s="17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</row>
    <row r="446" spans="1:91" x14ac:dyDescent="0.2">
      <c r="A446" s="17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</row>
    <row r="447" spans="1:91" x14ac:dyDescent="0.2">
      <c r="A447" s="17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</row>
    <row r="448" spans="1:91" x14ac:dyDescent="0.2">
      <c r="A448" s="17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</row>
    <row r="449" spans="1:91" x14ac:dyDescent="0.2">
      <c r="A449" s="17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</row>
    <row r="450" spans="1:91" x14ac:dyDescent="0.2">
      <c r="A450" s="17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</row>
    <row r="451" spans="1:91" x14ac:dyDescent="0.2">
      <c r="A451" s="17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</row>
    <row r="452" spans="1:91" x14ac:dyDescent="0.2">
      <c r="A452" s="17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</row>
    <row r="453" spans="1:91" x14ac:dyDescent="0.2">
      <c r="A453" s="17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</row>
    <row r="454" spans="1:91" x14ac:dyDescent="0.2">
      <c r="A454" s="17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</row>
    <row r="455" spans="1:91" x14ac:dyDescent="0.2">
      <c r="A455" s="17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</row>
    <row r="456" spans="1:91" x14ac:dyDescent="0.2">
      <c r="A456" s="17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</row>
    <row r="457" spans="1:91" x14ac:dyDescent="0.2">
      <c r="A457" s="17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</row>
    <row r="458" spans="1:91" x14ac:dyDescent="0.2">
      <c r="A458" s="17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</row>
    <row r="459" spans="1:91" x14ac:dyDescent="0.2">
      <c r="A459" s="17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</row>
    <row r="460" spans="1:91" x14ac:dyDescent="0.2">
      <c r="A460" s="17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</row>
    <row r="461" spans="1:91" x14ac:dyDescent="0.2">
      <c r="A461" s="17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</row>
    <row r="462" spans="1:91" x14ac:dyDescent="0.2">
      <c r="A462" s="17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</row>
    <row r="463" spans="1:91" x14ac:dyDescent="0.2">
      <c r="A463" s="17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</row>
    <row r="464" spans="1:91" x14ac:dyDescent="0.2">
      <c r="A464" s="17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</row>
    <row r="465" spans="1:91" x14ac:dyDescent="0.2">
      <c r="A465" s="17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</row>
    <row r="466" spans="1:91" x14ac:dyDescent="0.2">
      <c r="A466" s="17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</row>
    <row r="467" spans="1:91" x14ac:dyDescent="0.2">
      <c r="A467" s="17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</row>
    <row r="468" spans="1:91" x14ac:dyDescent="0.2">
      <c r="A468" s="17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</row>
    <row r="469" spans="1:91" x14ac:dyDescent="0.2">
      <c r="A469" s="17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</row>
    <row r="470" spans="1:91" x14ac:dyDescent="0.2">
      <c r="A470" s="17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</row>
    <row r="471" spans="1:91" x14ac:dyDescent="0.2">
      <c r="A471" s="17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</row>
    <row r="472" spans="1:91" x14ac:dyDescent="0.2">
      <c r="A472" s="17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</row>
    <row r="473" spans="1:91" x14ac:dyDescent="0.2">
      <c r="A473" s="17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</row>
    <row r="474" spans="1:91" x14ac:dyDescent="0.2">
      <c r="A474" s="17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</row>
    <row r="475" spans="1:91" x14ac:dyDescent="0.2">
      <c r="A475" s="17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</row>
    <row r="476" spans="1:91" x14ac:dyDescent="0.2">
      <c r="A476" s="17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</row>
    <row r="477" spans="1:91" x14ac:dyDescent="0.2">
      <c r="A477" s="17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</row>
    <row r="478" spans="1:91" x14ac:dyDescent="0.2">
      <c r="A478" s="17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</row>
    <row r="479" spans="1:91" x14ac:dyDescent="0.2">
      <c r="A479" s="17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</row>
    <row r="480" spans="1:91" x14ac:dyDescent="0.2">
      <c r="A480" s="17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</row>
    <row r="481" spans="1:91" x14ac:dyDescent="0.2">
      <c r="A481" s="17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</row>
    <row r="482" spans="1:91" x14ac:dyDescent="0.2">
      <c r="A482" s="17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</row>
    <row r="483" spans="1:91" x14ac:dyDescent="0.2">
      <c r="A483" s="17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</row>
    <row r="484" spans="1:91" x14ac:dyDescent="0.2">
      <c r="A484" s="17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</row>
    <row r="485" spans="1:91" x14ac:dyDescent="0.2">
      <c r="A485" s="17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</row>
    <row r="486" spans="1:91" x14ac:dyDescent="0.2">
      <c r="A486" s="17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</row>
    <row r="487" spans="1:91" x14ac:dyDescent="0.2">
      <c r="A487" s="17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</row>
    <row r="488" spans="1:91" x14ac:dyDescent="0.2">
      <c r="A488" s="17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</row>
    <row r="489" spans="1:91" x14ac:dyDescent="0.2">
      <c r="A489" s="17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</row>
    <row r="490" spans="1:91" x14ac:dyDescent="0.2">
      <c r="A490" s="17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</row>
    <row r="491" spans="1:91" x14ac:dyDescent="0.2">
      <c r="A491" s="17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</row>
    <row r="492" spans="1:91" x14ac:dyDescent="0.2">
      <c r="A492" s="17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</row>
    <row r="493" spans="1:91" x14ac:dyDescent="0.2">
      <c r="A493" s="17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</row>
    <row r="494" spans="1:91" x14ac:dyDescent="0.2">
      <c r="A494" s="17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</row>
    <row r="495" spans="1:91" x14ac:dyDescent="0.2">
      <c r="A495" s="17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</row>
    <row r="496" spans="1:91" x14ac:dyDescent="0.2">
      <c r="A496" s="17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</row>
    <row r="497" spans="1:91" x14ac:dyDescent="0.2">
      <c r="A497" s="17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</row>
    <row r="498" spans="1:91" x14ac:dyDescent="0.2">
      <c r="A498" s="17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</row>
    <row r="499" spans="1:91" x14ac:dyDescent="0.2">
      <c r="A499" s="17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</row>
    <row r="500" spans="1:91" x14ac:dyDescent="0.2">
      <c r="A500" s="17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</row>
    <row r="501" spans="1:91" x14ac:dyDescent="0.2">
      <c r="A501" s="17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</row>
    <row r="502" spans="1:91" x14ac:dyDescent="0.2">
      <c r="A502" s="17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</row>
    <row r="503" spans="1:91" x14ac:dyDescent="0.2">
      <c r="A503" s="17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</row>
    <row r="504" spans="1:91" x14ac:dyDescent="0.2">
      <c r="A504" s="17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</row>
    <row r="505" spans="1:91" x14ac:dyDescent="0.2">
      <c r="A505" s="17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</row>
    <row r="506" spans="1:91" x14ac:dyDescent="0.2">
      <c r="A506" s="17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</row>
    <row r="507" spans="1:91" x14ac:dyDescent="0.2">
      <c r="A507" s="17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</row>
    <row r="508" spans="1:91" x14ac:dyDescent="0.2">
      <c r="A508" s="17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</row>
    <row r="509" spans="1:91" x14ac:dyDescent="0.2">
      <c r="A509" s="17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</row>
    <row r="510" spans="1:91" x14ac:dyDescent="0.2">
      <c r="A510" s="17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</row>
    <row r="511" spans="1:91" x14ac:dyDescent="0.2">
      <c r="A511" s="17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</row>
    <row r="512" spans="1:91" x14ac:dyDescent="0.2">
      <c r="A512" s="17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</row>
    <row r="513" spans="1:17" x14ac:dyDescent="0.2">
      <c r="A513" s="17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</row>
    <row r="514" spans="1:17" x14ac:dyDescent="0.2">
      <c r="A514" s="17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</row>
    <row r="515" spans="1:17" x14ac:dyDescent="0.2">
      <c r="A515" s="17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</row>
    <row r="516" spans="1:17" x14ac:dyDescent="0.2">
      <c r="A516" s="17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</row>
    <row r="517" spans="1:17" x14ac:dyDescent="0.2">
      <c r="A517" s="17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</row>
    <row r="518" spans="1:17" x14ac:dyDescent="0.2">
      <c r="A518" s="17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</row>
    <row r="519" spans="1:17" x14ac:dyDescent="0.2">
      <c r="A519" s="17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</row>
    <row r="520" spans="1:17" x14ac:dyDescent="0.2">
      <c r="A520" s="17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</row>
    <row r="521" spans="1:17" x14ac:dyDescent="0.2">
      <c r="A521" s="17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1:17" x14ac:dyDescent="0.2">
      <c r="A522" s="17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</row>
    <row r="523" spans="1:17" x14ac:dyDescent="0.2">
      <c r="A523" s="17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</row>
    <row r="524" spans="1:17" x14ac:dyDescent="0.2">
      <c r="A524" s="17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</row>
    <row r="525" spans="1:17" x14ac:dyDescent="0.2">
      <c r="A525" s="17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</row>
    <row r="526" spans="1:17" x14ac:dyDescent="0.2">
      <c r="A526" s="17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</row>
    <row r="527" spans="1:17" x14ac:dyDescent="0.2">
      <c r="A527" s="17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</row>
    <row r="528" spans="1:17" x14ac:dyDescent="0.2">
      <c r="A528" s="17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</row>
    <row r="529" spans="1:17" x14ac:dyDescent="0.2">
      <c r="A529" s="17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</row>
    <row r="530" spans="1:17" x14ac:dyDescent="0.2">
      <c r="A530" s="17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</row>
    <row r="531" spans="1:17" x14ac:dyDescent="0.2">
      <c r="A531" s="17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</row>
    <row r="532" spans="1:17" x14ac:dyDescent="0.2">
      <c r="A532" s="17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</row>
    <row r="533" spans="1:17" x14ac:dyDescent="0.2">
      <c r="A533" s="17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</row>
    <row r="534" spans="1:17" x14ac:dyDescent="0.2">
      <c r="A534" s="17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</row>
    <row r="535" spans="1:17" x14ac:dyDescent="0.2">
      <c r="A535" s="17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</row>
    <row r="536" spans="1:17" x14ac:dyDescent="0.2">
      <c r="A536" s="17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</row>
    <row r="537" spans="1:17" x14ac:dyDescent="0.2">
      <c r="A537" s="17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</row>
    <row r="538" spans="1:17" x14ac:dyDescent="0.2">
      <c r="A538" s="17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</row>
    <row r="539" spans="1:17" x14ac:dyDescent="0.2">
      <c r="A539" s="17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</row>
    <row r="540" spans="1:17" x14ac:dyDescent="0.2">
      <c r="A540" s="17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</row>
    <row r="541" spans="1:17" x14ac:dyDescent="0.2">
      <c r="A541" s="17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</row>
    <row r="542" spans="1:17" x14ac:dyDescent="0.2">
      <c r="A542" s="17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</row>
    <row r="543" spans="1:17" x14ac:dyDescent="0.2">
      <c r="A543" s="17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</row>
    <row r="544" spans="1:17" x14ac:dyDescent="0.2">
      <c r="A544" s="17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</row>
    <row r="545" spans="1:17" x14ac:dyDescent="0.2">
      <c r="A545" s="17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</row>
    <row r="546" spans="1:17" x14ac:dyDescent="0.2">
      <c r="A546" s="17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</row>
    <row r="547" spans="1:17" x14ac:dyDescent="0.2">
      <c r="A547" s="17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</row>
    <row r="548" spans="1:17" x14ac:dyDescent="0.2">
      <c r="A548" s="17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</row>
    <row r="549" spans="1:17" x14ac:dyDescent="0.2">
      <c r="A549" s="17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</row>
    <row r="550" spans="1:17" x14ac:dyDescent="0.2">
      <c r="A550" s="17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</row>
    <row r="551" spans="1:17" x14ac:dyDescent="0.2">
      <c r="A551" s="17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</row>
    <row r="552" spans="1:17" x14ac:dyDescent="0.2">
      <c r="A552" s="17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</row>
    <row r="553" spans="1:17" x14ac:dyDescent="0.2">
      <c r="A553" s="17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</row>
    <row r="554" spans="1:17" x14ac:dyDescent="0.2">
      <c r="A554" s="17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</row>
    <row r="555" spans="1:17" x14ac:dyDescent="0.2">
      <c r="A555" s="17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</row>
    <row r="556" spans="1:17" x14ac:dyDescent="0.2">
      <c r="A556" s="17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</row>
    <row r="557" spans="1:17" x14ac:dyDescent="0.2">
      <c r="A557" s="17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</row>
    <row r="558" spans="1:17" x14ac:dyDescent="0.2">
      <c r="A558" s="17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</row>
    <row r="559" spans="1:17" x14ac:dyDescent="0.2">
      <c r="A559" s="17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</row>
    <row r="560" spans="1:17" x14ac:dyDescent="0.2">
      <c r="A560" s="17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</row>
    <row r="561" spans="1:17" x14ac:dyDescent="0.2">
      <c r="A561" s="17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</row>
    <row r="562" spans="1:17" x14ac:dyDescent="0.2">
      <c r="A562" s="17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</row>
    <row r="563" spans="1:17" x14ac:dyDescent="0.2">
      <c r="A563" s="17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</row>
    <row r="564" spans="1:17" x14ac:dyDescent="0.2">
      <c r="A564" s="17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</row>
    <row r="565" spans="1:17" x14ac:dyDescent="0.2">
      <c r="A565" s="17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</row>
    <row r="566" spans="1:17" x14ac:dyDescent="0.2">
      <c r="A566" s="17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</row>
    <row r="567" spans="1:17" x14ac:dyDescent="0.2">
      <c r="A567" s="17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</row>
    <row r="568" spans="1:17" x14ac:dyDescent="0.2">
      <c r="A568" s="17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</row>
    <row r="569" spans="1:17" x14ac:dyDescent="0.2">
      <c r="A569" s="17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</row>
    <row r="570" spans="1:17" x14ac:dyDescent="0.2">
      <c r="A570" s="17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</row>
    <row r="571" spans="1:17" x14ac:dyDescent="0.2">
      <c r="A571" s="17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</row>
    <row r="572" spans="1:17" x14ac:dyDescent="0.2">
      <c r="A572" s="17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</row>
    <row r="573" spans="1:17" x14ac:dyDescent="0.2">
      <c r="A573" s="17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</row>
    <row r="574" spans="1:17" x14ac:dyDescent="0.2">
      <c r="A574" s="17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</row>
    <row r="575" spans="1:17" x14ac:dyDescent="0.2">
      <c r="A575" s="17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</row>
    <row r="576" spans="1:17" x14ac:dyDescent="0.2">
      <c r="A576" s="17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</row>
    <row r="577" spans="1:17" x14ac:dyDescent="0.2">
      <c r="A577" s="17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</row>
    <row r="578" spans="1:17" x14ac:dyDescent="0.2">
      <c r="A578" s="17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</row>
    <row r="579" spans="1:17" x14ac:dyDescent="0.2">
      <c r="A579" s="17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</row>
    <row r="580" spans="1:17" x14ac:dyDescent="0.2">
      <c r="A580" s="17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</row>
    <row r="581" spans="1:17" x14ac:dyDescent="0.2">
      <c r="A581" s="17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</row>
    <row r="582" spans="1:17" x14ac:dyDescent="0.2">
      <c r="A582" s="17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</row>
    <row r="583" spans="1:17" x14ac:dyDescent="0.2">
      <c r="A583" s="17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</row>
    <row r="584" spans="1:17" x14ac:dyDescent="0.2">
      <c r="A584" s="17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</row>
    <row r="585" spans="1:17" x14ac:dyDescent="0.2">
      <c r="A585" s="17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</row>
    <row r="586" spans="1:17" x14ac:dyDescent="0.2">
      <c r="A586" s="17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</row>
    <row r="587" spans="1:17" x14ac:dyDescent="0.2">
      <c r="A587" s="17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</row>
    <row r="588" spans="1:17" x14ac:dyDescent="0.2">
      <c r="A588" s="17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</row>
    <row r="589" spans="1:17" x14ac:dyDescent="0.2">
      <c r="A589" s="17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</row>
    <row r="590" spans="1:17" x14ac:dyDescent="0.2">
      <c r="A590" s="17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</row>
    <row r="591" spans="1:17" x14ac:dyDescent="0.2">
      <c r="A591" s="17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</row>
    <row r="592" spans="1:17" x14ac:dyDescent="0.2">
      <c r="A592" s="17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</row>
    <row r="593" spans="1:17" x14ac:dyDescent="0.2">
      <c r="A593" s="17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</row>
    <row r="594" spans="1:17" x14ac:dyDescent="0.2">
      <c r="A594" s="17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</row>
    <row r="595" spans="1:17" x14ac:dyDescent="0.2">
      <c r="A595" s="17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</row>
    <row r="596" spans="1:17" x14ac:dyDescent="0.2">
      <c r="A596" s="17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</row>
    <row r="597" spans="1:17" x14ac:dyDescent="0.2">
      <c r="A597" s="17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</row>
    <row r="598" spans="1:17" x14ac:dyDescent="0.2">
      <c r="A598" s="17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</row>
    <row r="599" spans="1:17" x14ac:dyDescent="0.2">
      <c r="A599" s="17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</row>
    <row r="600" spans="1:17" x14ac:dyDescent="0.2">
      <c r="A600" s="17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</row>
    <row r="601" spans="1:17" x14ac:dyDescent="0.2">
      <c r="A601" s="17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</row>
    <row r="602" spans="1:17" x14ac:dyDescent="0.2">
      <c r="A602" s="17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</row>
    <row r="603" spans="1:17" x14ac:dyDescent="0.2">
      <c r="A603" s="17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</row>
    <row r="604" spans="1:17" x14ac:dyDescent="0.2">
      <c r="A604" s="17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</row>
    <row r="605" spans="1:17" x14ac:dyDescent="0.2">
      <c r="A605" s="17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</row>
    <row r="606" spans="1:17" x14ac:dyDescent="0.2">
      <c r="A606" s="17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</row>
    <row r="607" spans="1:17" x14ac:dyDescent="0.2">
      <c r="A607" s="17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</row>
    <row r="608" spans="1:17" x14ac:dyDescent="0.2">
      <c r="A608" s="17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</row>
    <row r="609" spans="1:17" x14ac:dyDescent="0.2">
      <c r="A609" s="17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</row>
    <row r="610" spans="1:17" x14ac:dyDescent="0.2">
      <c r="A610" s="17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</row>
    <row r="611" spans="1:17" x14ac:dyDescent="0.2">
      <c r="A611" s="17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</row>
    <row r="612" spans="1:17" x14ac:dyDescent="0.2">
      <c r="A612" s="17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</row>
    <row r="613" spans="1:17" x14ac:dyDescent="0.2">
      <c r="A613" s="17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</row>
    <row r="614" spans="1:17" x14ac:dyDescent="0.2">
      <c r="A614" s="17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</row>
    <row r="615" spans="1:17" x14ac:dyDescent="0.2">
      <c r="A615" s="17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</row>
    <row r="616" spans="1:17" x14ac:dyDescent="0.2">
      <c r="A616" s="17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</row>
    <row r="617" spans="1:17" x14ac:dyDescent="0.2">
      <c r="A617" s="17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</row>
    <row r="618" spans="1:17" x14ac:dyDescent="0.2">
      <c r="A618" s="17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</row>
    <row r="619" spans="1:17" x14ac:dyDescent="0.2">
      <c r="A619" s="17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</row>
    <row r="620" spans="1:17" x14ac:dyDescent="0.2">
      <c r="A620" s="17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</row>
    <row r="621" spans="1:17" x14ac:dyDescent="0.2">
      <c r="A621" s="17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</row>
    <row r="622" spans="1:17" x14ac:dyDescent="0.2">
      <c r="A622" s="17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</row>
    <row r="623" spans="1:17" x14ac:dyDescent="0.2">
      <c r="A623" s="17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</row>
    <row r="624" spans="1:17" x14ac:dyDescent="0.2">
      <c r="A624" s="17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</row>
    <row r="625" spans="1:17" x14ac:dyDescent="0.2">
      <c r="A625" s="17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</row>
    <row r="626" spans="1:17" x14ac:dyDescent="0.2">
      <c r="A626" s="17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</row>
    <row r="627" spans="1:17" x14ac:dyDescent="0.2">
      <c r="A627" s="17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</row>
    <row r="628" spans="1:17" x14ac:dyDescent="0.2">
      <c r="A628" s="17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</row>
    <row r="629" spans="1:17" x14ac:dyDescent="0.2">
      <c r="A629" s="17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</row>
    <row r="630" spans="1:17" x14ac:dyDescent="0.2">
      <c r="A630" s="17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</row>
    <row r="631" spans="1:17" x14ac:dyDescent="0.2">
      <c r="A631" s="17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</row>
    <row r="632" spans="1:17" x14ac:dyDescent="0.2">
      <c r="A632" s="17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</row>
    <row r="633" spans="1:17" x14ac:dyDescent="0.2">
      <c r="A633" s="17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</row>
    <row r="634" spans="1:17" x14ac:dyDescent="0.2">
      <c r="A634" s="17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</row>
    <row r="635" spans="1:17" x14ac:dyDescent="0.2">
      <c r="A635" s="17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</row>
    <row r="636" spans="1:17" x14ac:dyDescent="0.2">
      <c r="A636" s="17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</row>
    <row r="637" spans="1:17" x14ac:dyDescent="0.2">
      <c r="A637" s="17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</row>
    <row r="638" spans="1:17" x14ac:dyDescent="0.2">
      <c r="A638" s="17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</row>
    <row r="639" spans="1:17" x14ac:dyDescent="0.2">
      <c r="A639" s="17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</row>
    <row r="640" spans="1:17" x14ac:dyDescent="0.2">
      <c r="A640" s="17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</row>
    <row r="641" spans="1:17" x14ac:dyDescent="0.2">
      <c r="A641" s="17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</row>
    <row r="642" spans="1:17" x14ac:dyDescent="0.2">
      <c r="A642" s="17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</row>
    <row r="643" spans="1:17" x14ac:dyDescent="0.2">
      <c r="A643" s="17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</row>
    <row r="644" spans="1:17" x14ac:dyDescent="0.2">
      <c r="A644" s="17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</row>
    <row r="645" spans="1:17" x14ac:dyDescent="0.2">
      <c r="A645" s="17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</row>
    <row r="646" spans="1:17" x14ac:dyDescent="0.2">
      <c r="A646" s="17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</row>
    <row r="647" spans="1:17" x14ac:dyDescent="0.2">
      <c r="A647" s="17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</row>
    <row r="648" spans="1:17" x14ac:dyDescent="0.2">
      <c r="A648" s="17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</row>
    <row r="649" spans="1:17" x14ac:dyDescent="0.2">
      <c r="A649" s="17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</row>
    <row r="650" spans="1:17" x14ac:dyDescent="0.2">
      <c r="A650" s="17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</row>
    <row r="651" spans="1:17" x14ac:dyDescent="0.2">
      <c r="A651" s="17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</row>
    <row r="652" spans="1:17" x14ac:dyDescent="0.2">
      <c r="A652" s="17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</row>
    <row r="653" spans="1:17" x14ac:dyDescent="0.2">
      <c r="A653" s="17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</row>
    <row r="654" spans="1:17" x14ac:dyDescent="0.2">
      <c r="A654" s="17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</row>
    <row r="655" spans="1:17" x14ac:dyDescent="0.2">
      <c r="A655" s="17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</row>
    <row r="656" spans="1:17" x14ac:dyDescent="0.2">
      <c r="A656" s="17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</row>
    <row r="657" spans="1:17" x14ac:dyDescent="0.2">
      <c r="A657" s="17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</row>
    <row r="658" spans="1:17" x14ac:dyDescent="0.2">
      <c r="A658" s="17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</row>
    <row r="659" spans="1:17" x14ac:dyDescent="0.2">
      <c r="A659" s="17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</row>
    <row r="660" spans="1:17" x14ac:dyDescent="0.2">
      <c r="A660" s="17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</row>
    <row r="661" spans="1:17" x14ac:dyDescent="0.2">
      <c r="A661" s="17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</row>
    <row r="662" spans="1:17" x14ac:dyDescent="0.2">
      <c r="A662" s="17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</row>
    <row r="663" spans="1:17" x14ac:dyDescent="0.2">
      <c r="A663" s="17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</row>
    <row r="664" spans="1:17" x14ac:dyDescent="0.2">
      <c r="A664" s="17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</row>
    <row r="665" spans="1:17" x14ac:dyDescent="0.2">
      <c r="A665" s="17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</row>
    <row r="666" spans="1:17" x14ac:dyDescent="0.2">
      <c r="A666" s="17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</row>
    <row r="667" spans="1:17" x14ac:dyDescent="0.2">
      <c r="A667" s="17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</row>
    <row r="668" spans="1:17" x14ac:dyDescent="0.2">
      <c r="A668" s="17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</row>
    <row r="669" spans="1:17" x14ac:dyDescent="0.2">
      <c r="A669" s="17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</row>
    <row r="670" spans="1:17" x14ac:dyDescent="0.2">
      <c r="A670" s="17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</row>
    <row r="671" spans="1:17" x14ac:dyDescent="0.2">
      <c r="A671" s="17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</row>
    <row r="672" spans="1:17" x14ac:dyDescent="0.2">
      <c r="A672" s="17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</row>
    <row r="673" spans="1:17" x14ac:dyDescent="0.2">
      <c r="A673" s="17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</row>
    <row r="674" spans="1:17" x14ac:dyDescent="0.2">
      <c r="A674" s="17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</row>
    <row r="675" spans="1:17" x14ac:dyDescent="0.2">
      <c r="A675" s="17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</row>
    <row r="676" spans="1:17" x14ac:dyDescent="0.2">
      <c r="A676" s="17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</row>
    <row r="677" spans="1:17" x14ac:dyDescent="0.2">
      <c r="A677" s="17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</row>
    <row r="678" spans="1:17" x14ac:dyDescent="0.2">
      <c r="A678" s="17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</row>
    <row r="679" spans="1:17" x14ac:dyDescent="0.2">
      <c r="A679" s="17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</row>
    <row r="680" spans="1:17" x14ac:dyDescent="0.2">
      <c r="A680" s="17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</row>
    <row r="681" spans="1:17" x14ac:dyDescent="0.2">
      <c r="A681" s="17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</row>
    <row r="682" spans="1:17" x14ac:dyDescent="0.2">
      <c r="A682" s="17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</row>
    <row r="683" spans="1:17" x14ac:dyDescent="0.2">
      <c r="A683" s="17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</row>
    <row r="684" spans="1:17" x14ac:dyDescent="0.2">
      <c r="A684" s="17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</row>
    <row r="685" spans="1:17" x14ac:dyDescent="0.2">
      <c r="A685" s="17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</row>
    <row r="686" spans="1:17" x14ac:dyDescent="0.2">
      <c r="A686" s="17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</row>
    <row r="687" spans="1:17" x14ac:dyDescent="0.2">
      <c r="A687" s="17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</row>
    <row r="688" spans="1:17" x14ac:dyDescent="0.2">
      <c r="A688" s="17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</row>
    <row r="689" spans="1:17" x14ac:dyDescent="0.2">
      <c r="A689" s="17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</row>
    <row r="690" spans="1:17" x14ac:dyDescent="0.2">
      <c r="A690" s="17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</row>
    <row r="691" spans="1:17" x14ac:dyDescent="0.2">
      <c r="A691" s="17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</row>
    <row r="692" spans="1:17" x14ac:dyDescent="0.2">
      <c r="A692" s="17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</row>
    <row r="693" spans="1:17" x14ac:dyDescent="0.2">
      <c r="A693" s="17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</row>
    <row r="694" spans="1:17" x14ac:dyDescent="0.2">
      <c r="A694" s="17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</row>
    <row r="695" spans="1:17" x14ac:dyDescent="0.2">
      <c r="A695" s="17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</row>
    <row r="696" spans="1:17" x14ac:dyDescent="0.2">
      <c r="A696" s="17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</row>
    <row r="697" spans="1:17" x14ac:dyDescent="0.2">
      <c r="A697" s="17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</row>
    <row r="698" spans="1:17" x14ac:dyDescent="0.2">
      <c r="A698" s="17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</row>
    <row r="699" spans="1:17" x14ac:dyDescent="0.2">
      <c r="A699" s="17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</row>
    <row r="700" spans="1:17" x14ac:dyDescent="0.2">
      <c r="A700" s="17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</row>
    <row r="701" spans="1:17" x14ac:dyDescent="0.2">
      <c r="A701" s="17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</row>
    <row r="702" spans="1:17" x14ac:dyDescent="0.2">
      <c r="A702" s="17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</row>
    <row r="703" spans="1:17" x14ac:dyDescent="0.2">
      <c r="A703" s="17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</row>
    <row r="704" spans="1:17" x14ac:dyDescent="0.2">
      <c r="A704" s="17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</row>
    <row r="705" spans="1:17" x14ac:dyDescent="0.2">
      <c r="A705" s="17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</row>
    <row r="706" spans="1:17" x14ac:dyDescent="0.2">
      <c r="A706" s="17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</row>
    <row r="707" spans="1:17" x14ac:dyDescent="0.2">
      <c r="A707" s="17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</row>
    <row r="708" spans="1:17" x14ac:dyDescent="0.2">
      <c r="A708" s="17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</row>
    <row r="709" spans="1:17" x14ac:dyDescent="0.2">
      <c r="A709" s="17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</row>
    <row r="710" spans="1:17" x14ac:dyDescent="0.2">
      <c r="A710" s="17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</row>
    <row r="711" spans="1:17" x14ac:dyDescent="0.2">
      <c r="A711" s="17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</row>
    <row r="712" spans="1:17" x14ac:dyDescent="0.2">
      <c r="A712" s="17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</row>
    <row r="713" spans="1:17" x14ac:dyDescent="0.2">
      <c r="A713" s="17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</row>
    <row r="714" spans="1:17" x14ac:dyDescent="0.2">
      <c r="A714" s="17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</row>
    <row r="715" spans="1:17" x14ac:dyDescent="0.2">
      <c r="A715" s="17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</row>
    <row r="716" spans="1:17" x14ac:dyDescent="0.2">
      <c r="A716" s="17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</row>
    <row r="717" spans="1:17" x14ac:dyDescent="0.2">
      <c r="A717" s="17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</row>
    <row r="718" spans="1:17" x14ac:dyDescent="0.2">
      <c r="A718" s="17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</row>
    <row r="719" spans="1:17" x14ac:dyDescent="0.2">
      <c r="A719" s="17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</row>
    <row r="720" spans="1:17" x14ac:dyDescent="0.2">
      <c r="A720" s="17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</row>
    <row r="721" spans="1:17" x14ac:dyDescent="0.2">
      <c r="A721" s="17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</row>
    <row r="722" spans="1:17" x14ac:dyDescent="0.2">
      <c r="A722" s="17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</row>
    <row r="723" spans="1:17" x14ac:dyDescent="0.2">
      <c r="A723" s="17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</row>
    <row r="724" spans="1:17" x14ac:dyDescent="0.2">
      <c r="A724" s="17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</row>
    <row r="725" spans="1:17" x14ac:dyDescent="0.2">
      <c r="A725" s="17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</row>
    <row r="726" spans="1:17" x14ac:dyDescent="0.2">
      <c r="A726" s="17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</row>
    <row r="727" spans="1:17" x14ac:dyDescent="0.2">
      <c r="A727" s="17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</row>
    <row r="728" spans="1:17" x14ac:dyDescent="0.2">
      <c r="A728" s="17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</row>
    <row r="729" spans="1:17" x14ac:dyDescent="0.2">
      <c r="A729" s="17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</row>
    <row r="730" spans="1:17" x14ac:dyDescent="0.2">
      <c r="A730" s="17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</row>
    <row r="731" spans="1:17" x14ac:dyDescent="0.2">
      <c r="A731" s="17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</row>
    <row r="732" spans="1:17" x14ac:dyDescent="0.2">
      <c r="A732" s="17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</row>
    <row r="733" spans="1:17" x14ac:dyDescent="0.2">
      <c r="A733" s="17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</row>
    <row r="734" spans="1:17" x14ac:dyDescent="0.2">
      <c r="A734" s="17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</row>
    <row r="735" spans="1:17" x14ac:dyDescent="0.2">
      <c r="A735" s="17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</row>
    <row r="736" spans="1:17" x14ac:dyDescent="0.2">
      <c r="A736" s="17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</row>
    <row r="737" spans="1:17" x14ac:dyDescent="0.2">
      <c r="A737" s="17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</row>
    <row r="738" spans="1:17" x14ac:dyDescent="0.2">
      <c r="A738" s="17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</row>
    <row r="739" spans="1:17" x14ac:dyDescent="0.2">
      <c r="A739" s="17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</row>
    <row r="740" spans="1:17" x14ac:dyDescent="0.2">
      <c r="A740" s="17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</row>
    <row r="741" spans="1:17" x14ac:dyDescent="0.2">
      <c r="A741" s="17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</row>
    <row r="742" spans="1:17" x14ac:dyDescent="0.2">
      <c r="A742" s="17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</row>
    <row r="743" spans="1:17" x14ac:dyDescent="0.2">
      <c r="A743" s="17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</row>
    <row r="744" spans="1:17" x14ac:dyDescent="0.2">
      <c r="A744" s="17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</row>
    <row r="745" spans="1:17" x14ac:dyDescent="0.2">
      <c r="A745" s="17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</row>
    <row r="746" spans="1:17" x14ac:dyDescent="0.2">
      <c r="A746" s="17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</row>
    <row r="747" spans="1:17" x14ac:dyDescent="0.2">
      <c r="A747" s="17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</row>
    <row r="748" spans="1:17" x14ac:dyDescent="0.2">
      <c r="A748" s="17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</row>
    <row r="749" spans="1:17" x14ac:dyDescent="0.2">
      <c r="A749" s="17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</row>
    <row r="750" spans="1:17" x14ac:dyDescent="0.2">
      <c r="A750" s="17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</row>
    <row r="751" spans="1:17" x14ac:dyDescent="0.2">
      <c r="A751" s="17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</row>
    <row r="752" spans="1:17" x14ac:dyDescent="0.2">
      <c r="A752" s="17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</row>
    <row r="753" spans="1:17" x14ac:dyDescent="0.2">
      <c r="A753" s="17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</row>
    <row r="754" spans="1:17" x14ac:dyDescent="0.2">
      <c r="A754" s="17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</row>
    <row r="755" spans="1:17" x14ac:dyDescent="0.2">
      <c r="A755" s="17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</row>
    <row r="756" spans="1:17" x14ac:dyDescent="0.2">
      <c r="A756" s="17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</row>
    <row r="757" spans="1:17" x14ac:dyDescent="0.2">
      <c r="A757" s="17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</row>
    <row r="758" spans="1:17" x14ac:dyDescent="0.2">
      <c r="A758" s="17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</row>
    <row r="759" spans="1:17" x14ac:dyDescent="0.2">
      <c r="A759" s="17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</row>
    <row r="760" spans="1:17" x14ac:dyDescent="0.2">
      <c r="A760" s="17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</row>
    <row r="761" spans="1:17" x14ac:dyDescent="0.2">
      <c r="A761" s="17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</row>
    <row r="762" spans="1:17" x14ac:dyDescent="0.2">
      <c r="A762" s="17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</row>
    <row r="763" spans="1:17" x14ac:dyDescent="0.2">
      <c r="A763" s="17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</row>
    <row r="764" spans="1:17" x14ac:dyDescent="0.2">
      <c r="A764" s="17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</row>
    <row r="765" spans="1:17" x14ac:dyDescent="0.2">
      <c r="A765" s="17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</row>
    <row r="766" spans="1:17" x14ac:dyDescent="0.2">
      <c r="A766" s="17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</row>
    <row r="767" spans="1:17" x14ac:dyDescent="0.2">
      <c r="A767" s="17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</row>
    <row r="768" spans="1:17" x14ac:dyDescent="0.2">
      <c r="A768" s="17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</row>
    <row r="769" spans="1:17" x14ac:dyDescent="0.2">
      <c r="A769" s="17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</row>
    <row r="770" spans="1:17" x14ac:dyDescent="0.2">
      <c r="A770" s="17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</row>
    <row r="771" spans="1:17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6"/>
    </row>
    <row r="772" spans="1:17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6"/>
    </row>
    <row r="773" spans="1:17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6"/>
    </row>
    <row r="774" spans="1:17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6"/>
    </row>
    <row r="775" spans="1:17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6"/>
    </row>
    <row r="776" spans="1:17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6"/>
    </row>
    <row r="777" spans="1:17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6"/>
    </row>
    <row r="778" spans="1:17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6"/>
    </row>
    <row r="779" spans="1:17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6"/>
    </row>
    <row r="780" spans="1:17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6"/>
    </row>
    <row r="781" spans="1:17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6"/>
    </row>
    <row r="782" spans="1:17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6"/>
    </row>
    <row r="783" spans="1:17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6"/>
    </row>
    <row r="784" spans="1:17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6"/>
    </row>
    <row r="785" spans="1:17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6"/>
    </row>
    <row r="786" spans="1:17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6"/>
    </row>
    <row r="787" spans="1:17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6"/>
    </row>
    <row r="788" spans="1:17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6"/>
    </row>
    <row r="789" spans="1:17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6"/>
    </row>
    <row r="790" spans="1:17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6"/>
    </row>
    <row r="791" spans="1:17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6"/>
    </row>
    <row r="792" spans="1:17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6"/>
    </row>
    <row r="793" spans="1:17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6"/>
    </row>
    <row r="794" spans="1:17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6"/>
    </row>
    <row r="795" spans="1:17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6"/>
    </row>
    <row r="796" spans="1:17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6"/>
    </row>
    <row r="797" spans="1:17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6"/>
    </row>
    <row r="798" spans="1:17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6"/>
    </row>
    <row r="799" spans="1:17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6"/>
    </row>
    <row r="800" spans="1:17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6"/>
    </row>
    <row r="801" spans="1:17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6"/>
    </row>
    <row r="802" spans="1:17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6"/>
    </row>
    <row r="803" spans="1:17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6"/>
    </row>
    <row r="804" spans="1:17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6"/>
    </row>
    <row r="805" spans="1:17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6"/>
    </row>
    <row r="806" spans="1:17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6"/>
    </row>
    <row r="807" spans="1:17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6"/>
    </row>
    <row r="808" spans="1:17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6"/>
    </row>
    <row r="809" spans="1:17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6"/>
    </row>
    <row r="810" spans="1:17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6"/>
    </row>
    <row r="811" spans="1:17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6"/>
    </row>
    <row r="812" spans="1:17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6"/>
    </row>
    <row r="813" spans="1:17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6"/>
    </row>
    <row r="814" spans="1:17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6"/>
    </row>
    <row r="815" spans="1:17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6"/>
    </row>
    <row r="816" spans="1:17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6"/>
    </row>
    <row r="817" spans="1:17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6"/>
    </row>
    <row r="818" spans="1:17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6"/>
    </row>
    <row r="819" spans="1:17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6"/>
    </row>
    <row r="820" spans="1:17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6"/>
    </row>
    <row r="821" spans="1:17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6"/>
    </row>
    <row r="822" spans="1:17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6"/>
    </row>
    <row r="823" spans="1:17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6"/>
    </row>
    <row r="824" spans="1:17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6"/>
    </row>
    <row r="825" spans="1:17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6"/>
    </row>
    <row r="826" spans="1:17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6"/>
    </row>
    <row r="827" spans="1:17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6"/>
    </row>
    <row r="828" spans="1:17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6"/>
    </row>
    <row r="829" spans="1:17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6"/>
    </row>
    <row r="830" spans="1:17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6"/>
    </row>
    <row r="831" spans="1:17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6"/>
    </row>
    <row r="832" spans="1:17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6"/>
    </row>
    <row r="833" spans="1:17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6"/>
    </row>
    <row r="834" spans="1:17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6"/>
    </row>
    <row r="835" spans="1:17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6"/>
    </row>
    <row r="836" spans="1:17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6"/>
    </row>
    <row r="837" spans="1:17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6"/>
    </row>
    <row r="838" spans="1:17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6"/>
    </row>
    <row r="839" spans="1:17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6"/>
    </row>
    <row r="840" spans="1:17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6"/>
    </row>
    <row r="841" spans="1:17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6"/>
    </row>
    <row r="842" spans="1:17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6"/>
    </row>
    <row r="843" spans="1:17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6"/>
    </row>
    <row r="844" spans="1:17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6"/>
    </row>
    <row r="845" spans="1:17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6"/>
    </row>
    <row r="846" spans="1:17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6"/>
    </row>
    <row r="847" spans="1:17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6"/>
    </row>
    <row r="848" spans="1:17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6"/>
    </row>
    <row r="849" spans="1:17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6"/>
    </row>
    <row r="850" spans="1:17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6"/>
    </row>
    <row r="851" spans="1:17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6"/>
    </row>
    <row r="852" spans="1:17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6"/>
    </row>
    <row r="853" spans="1:17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6"/>
    </row>
    <row r="854" spans="1:17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6"/>
    </row>
    <row r="855" spans="1:17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6"/>
    </row>
    <row r="856" spans="1:17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6"/>
    </row>
    <row r="857" spans="1:17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6"/>
    </row>
    <row r="858" spans="1:17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6"/>
    </row>
    <row r="859" spans="1:17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6"/>
    </row>
    <row r="860" spans="1:17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6"/>
    </row>
    <row r="861" spans="1:17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6"/>
    </row>
    <row r="862" spans="1:17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6"/>
    </row>
    <row r="863" spans="1:17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6"/>
    </row>
    <row r="864" spans="1:17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6"/>
    </row>
    <row r="865" spans="1:17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6"/>
    </row>
    <row r="866" spans="1:17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6"/>
    </row>
    <row r="867" spans="1:17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6"/>
    </row>
    <row r="868" spans="1:17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6"/>
    </row>
    <row r="869" spans="1:17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6"/>
    </row>
    <row r="870" spans="1:17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6"/>
    </row>
    <row r="871" spans="1:17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6"/>
    </row>
    <row r="872" spans="1:17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6"/>
    </row>
    <row r="873" spans="1:17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6"/>
    </row>
    <row r="874" spans="1:17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6"/>
    </row>
    <row r="875" spans="1:17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6"/>
    </row>
    <row r="876" spans="1:17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6"/>
    </row>
    <row r="877" spans="1:17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6"/>
    </row>
    <row r="878" spans="1:17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6"/>
    </row>
    <row r="879" spans="1:17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6"/>
    </row>
    <row r="880" spans="1:17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6"/>
    </row>
    <row r="881" spans="1:17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6"/>
    </row>
    <row r="882" spans="1:17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6"/>
    </row>
    <row r="883" spans="1:17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6"/>
    </row>
    <row r="884" spans="1:17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6"/>
    </row>
    <row r="885" spans="1:17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6"/>
    </row>
    <row r="886" spans="1:17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6"/>
    </row>
    <row r="887" spans="1:17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6"/>
    </row>
    <row r="888" spans="1:17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6"/>
    </row>
    <row r="889" spans="1:17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6"/>
    </row>
    <row r="890" spans="1:17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6"/>
    </row>
    <row r="891" spans="1:17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6"/>
    </row>
    <row r="892" spans="1:17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6"/>
    </row>
    <row r="893" spans="1:17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6"/>
    </row>
    <row r="894" spans="1:17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6"/>
    </row>
    <row r="895" spans="1:17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6"/>
    </row>
    <row r="896" spans="1:17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6"/>
    </row>
    <row r="897" spans="1:17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6"/>
    </row>
    <row r="898" spans="1:17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6"/>
    </row>
    <row r="899" spans="1:17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6"/>
    </row>
    <row r="900" spans="1:17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6"/>
    </row>
    <row r="901" spans="1:17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6"/>
    </row>
    <row r="902" spans="1:17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6"/>
    </row>
    <row r="903" spans="1:17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6"/>
    </row>
    <row r="904" spans="1:17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6"/>
    </row>
    <row r="905" spans="1:17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6"/>
    </row>
    <row r="906" spans="1:17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6"/>
    </row>
    <row r="907" spans="1:17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6"/>
    </row>
    <row r="908" spans="1:17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6"/>
    </row>
    <row r="909" spans="1:17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6"/>
    </row>
    <row r="910" spans="1:17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6"/>
    </row>
    <row r="911" spans="1:17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6"/>
    </row>
    <row r="912" spans="1:17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6"/>
    </row>
    <row r="913" spans="1:17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6"/>
    </row>
    <row r="914" spans="1:17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6"/>
    </row>
    <row r="915" spans="1:17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6"/>
    </row>
    <row r="916" spans="1:17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6"/>
    </row>
    <row r="917" spans="1:17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6"/>
    </row>
    <row r="918" spans="1:17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6"/>
    </row>
    <row r="919" spans="1:17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6"/>
    </row>
    <row r="920" spans="1:17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6"/>
    </row>
    <row r="921" spans="1:17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6"/>
    </row>
    <row r="922" spans="1:17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6"/>
    </row>
    <row r="923" spans="1:17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6"/>
    </row>
    <row r="924" spans="1:17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6"/>
    </row>
    <row r="925" spans="1:17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6"/>
    </row>
    <row r="926" spans="1:17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6"/>
    </row>
    <row r="927" spans="1:17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6"/>
    </row>
    <row r="928" spans="1:17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6"/>
    </row>
    <row r="929" spans="1:17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6"/>
    </row>
    <row r="930" spans="1:17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6"/>
    </row>
    <row r="931" spans="1:17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6"/>
    </row>
    <row r="932" spans="1:17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6"/>
    </row>
    <row r="933" spans="1:17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6"/>
    </row>
    <row r="934" spans="1:17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6"/>
    </row>
    <row r="935" spans="1:17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6"/>
    </row>
    <row r="936" spans="1:17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6"/>
    </row>
    <row r="937" spans="1:17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6"/>
    </row>
    <row r="938" spans="1:17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6"/>
    </row>
    <row r="939" spans="1:17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6"/>
    </row>
    <row r="940" spans="1:17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6"/>
    </row>
    <row r="941" spans="1:17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6"/>
    </row>
    <row r="942" spans="1:17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6"/>
    </row>
    <row r="943" spans="1:17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6"/>
    </row>
    <row r="944" spans="1:17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6"/>
    </row>
    <row r="945" spans="1:17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6"/>
    </row>
    <row r="946" spans="1:17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6"/>
    </row>
    <row r="947" spans="1:17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6"/>
    </row>
    <row r="948" spans="1:17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6"/>
    </row>
    <row r="949" spans="1:17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6"/>
    </row>
    <row r="950" spans="1:17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6"/>
    </row>
    <row r="951" spans="1:17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6"/>
    </row>
    <row r="952" spans="1:17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6"/>
    </row>
    <row r="953" spans="1:17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6"/>
    </row>
    <row r="954" spans="1:17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6"/>
    </row>
    <row r="955" spans="1:17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6"/>
    </row>
    <row r="956" spans="1:17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6"/>
    </row>
    <row r="957" spans="1:17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6"/>
    </row>
    <row r="958" spans="1:17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6"/>
    </row>
    <row r="959" spans="1:17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6"/>
    </row>
    <row r="960" spans="1:17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6"/>
    </row>
    <row r="961" spans="1:17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6"/>
    </row>
    <row r="962" spans="1:17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6"/>
    </row>
    <row r="963" spans="1:17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6"/>
    </row>
    <row r="964" spans="1:17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6"/>
    </row>
    <row r="965" spans="1:17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6"/>
    </row>
    <row r="966" spans="1:17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6"/>
    </row>
    <row r="967" spans="1:17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6"/>
    </row>
    <row r="968" spans="1:17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6"/>
    </row>
    <row r="969" spans="1:17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6"/>
    </row>
    <row r="970" spans="1:17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6"/>
    </row>
    <row r="971" spans="1:17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6"/>
    </row>
    <row r="972" spans="1:17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6"/>
    </row>
    <row r="973" spans="1:17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6"/>
    </row>
    <row r="974" spans="1:17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6"/>
    </row>
    <row r="975" spans="1:17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6"/>
    </row>
    <row r="976" spans="1:17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6"/>
    </row>
    <row r="977" spans="1:17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6"/>
    </row>
    <row r="978" spans="1:17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6"/>
    </row>
    <row r="979" spans="1:17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6"/>
    </row>
    <row r="980" spans="1:17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6"/>
    </row>
    <row r="981" spans="1:17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6"/>
    </row>
    <row r="982" spans="1:17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6"/>
    </row>
    <row r="983" spans="1:17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6"/>
    </row>
    <row r="984" spans="1:17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6"/>
    </row>
    <row r="985" spans="1:17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6"/>
    </row>
    <row r="986" spans="1:17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6"/>
    </row>
    <row r="987" spans="1:17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6"/>
    </row>
    <row r="988" spans="1:17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6"/>
    </row>
    <row r="989" spans="1:17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6"/>
    </row>
    <row r="990" spans="1:17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6"/>
    </row>
    <row r="991" spans="1:17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6"/>
    </row>
    <row r="992" spans="1:17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6"/>
    </row>
    <row r="993" spans="1:17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6"/>
    </row>
    <row r="994" spans="1:17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6"/>
    </row>
    <row r="995" spans="1:17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6"/>
    </row>
    <row r="996" spans="1:17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6"/>
    </row>
    <row r="997" spans="1:17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6"/>
    </row>
    <row r="998" spans="1:17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6"/>
    </row>
    <row r="999" spans="1:17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6"/>
    </row>
    <row r="1000" spans="1:17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6"/>
    </row>
    <row r="1001" spans="1:17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6"/>
    </row>
    <row r="1002" spans="1:17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6"/>
    </row>
    <row r="1003" spans="1:17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6"/>
    </row>
    <row r="1004" spans="1:17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6"/>
    </row>
    <row r="1005" spans="1:17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6"/>
    </row>
    <row r="1006" spans="1:17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6"/>
    </row>
    <row r="1007" spans="1:17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6"/>
    </row>
    <row r="1008" spans="1:17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6"/>
    </row>
    <row r="1009" spans="1:17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6"/>
    </row>
    <row r="1010" spans="1:17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6"/>
    </row>
    <row r="1011" spans="1:17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6"/>
    </row>
    <row r="1012" spans="1:17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6"/>
    </row>
    <row r="1013" spans="1:17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6"/>
    </row>
    <row r="1014" spans="1:17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6"/>
    </row>
    <row r="1015" spans="1:17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6"/>
    </row>
    <row r="1016" spans="1:17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6"/>
    </row>
    <row r="1017" spans="1:17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6"/>
    </row>
    <row r="1018" spans="1:17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6"/>
    </row>
    <row r="1019" spans="1:17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6"/>
    </row>
    <row r="1020" spans="1:17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6"/>
    </row>
    <row r="1021" spans="1:17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6"/>
    </row>
    <row r="1022" spans="1:17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6"/>
    </row>
    <row r="1023" spans="1:17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6"/>
    </row>
    <row r="1024" spans="1:17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6"/>
    </row>
    <row r="1025" spans="1:17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6"/>
    </row>
    <row r="1026" spans="1:17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6"/>
    </row>
    <row r="1027" spans="1:17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6"/>
    </row>
    <row r="1028" spans="1:17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6"/>
    </row>
    <row r="1029" spans="1:17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6"/>
    </row>
    <row r="1030" spans="1:17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6"/>
    </row>
    <row r="1031" spans="1:17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6"/>
    </row>
    <row r="1032" spans="1:17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6"/>
    </row>
    <row r="1033" spans="1:17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6"/>
    </row>
    <row r="1034" spans="1:17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6"/>
    </row>
    <row r="1035" spans="1:17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6"/>
    </row>
    <row r="1036" spans="1:17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6"/>
    </row>
    <row r="1037" spans="1:17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6"/>
    </row>
    <row r="1038" spans="1:17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6"/>
    </row>
    <row r="1039" spans="1:17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6"/>
    </row>
    <row r="1040" spans="1:17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6"/>
    </row>
    <row r="1041" spans="1:17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6"/>
    </row>
    <row r="1042" spans="1:17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6"/>
    </row>
    <row r="1043" spans="1:17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6"/>
    </row>
    <row r="1044" spans="1:17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6"/>
    </row>
    <row r="1045" spans="1:17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6"/>
    </row>
    <row r="1046" spans="1:17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6"/>
    </row>
    <row r="1047" spans="1:17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6"/>
    </row>
    <row r="1048" spans="1:17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6"/>
    </row>
    <row r="1049" spans="1:17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6"/>
    </row>
    <row r="1050" spans="1:17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6"/>
    </row>
    <row r="1051" spans="1:17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6"/>
    </row>
    <row r="1052" spans="1:17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6"/>
    </row>
    <row r="1053" spans="1:17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6"/>
    </row>
    <row r="1054" spans="1:17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6"/>
    </row>
    <row r="1055" spans="1:17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6"/>
    </row>
    <row r="1056" spans="1:17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6"/>
    </row>
    <row r="1057" spans="1:17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6"/>
    </row>
    <row r="1058" spans="1:17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6"/>
    </row>
    <row r="1059" spans="1:17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6"/>
    </row>
    <row r="1060" spans="1:17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6"/>
    </row>
    <row r="1061" spans="1:17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6"/>
    </row>
    <row r="1062" spans="1:17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6"/>
    </row>
    <row r="1063" spans="1:17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6"/>
    </row>
    <row r="1064" spans="1:17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6"/>
    </row>
    <row r="1065" spans="1:17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6"/>
    </row>
    <row r="1066" spans="1:17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6"/>
    </row>
    <row r="1067" spans="1:17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6"/>
    </row>
    <row r="1068" spans="1:17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6"/>
    </row>
    <row r="1069" spans="1:17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6"/>
    </row>
    <row r="1070" spans="1:17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6"/>
    </row>
    <row r="1071" spans="1:17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6"/>
    </row>
    <row r="1072" spans="1:17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6"/>
    </row>
    <row r="1073" spans="1:17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6"/>
    </row>
    <row r="1074" spans="1:17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6"/>
    </row>
    <row r="1075" spans="1:17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6"/>
    </row>
    <row r="1076" spans="1:17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6"/>
    </row>
    <row r="1077" spans="1:17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6"/>
    </row>
    <row r="1078" spans="1:17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6"/>
    </row>
    <row r="1079" spans="1:17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6"/>
    </row>
    <row r="1080" spans="1:17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6"/>
    </row>
    <row r="1081" spans="1:17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6"/>
    </row>
    <row r="1082" spans="1:17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6"/>
    </row>
    <row r="1083" spans="1:17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6"/>
    </row>
    <row r="1084" spans="1:17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6"/>
    </row>
    <row r="1085" spans="1:17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6"/>
    </row>
    <row r="1086" spans="1:17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6"/>
    </row>
    <row r="1087" spans="1:17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6"/>
    </row>
    <row r="1088" spans="1:17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6"/>
    </row>
    <row r="1089" spans="1:17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6"/>
    </row>
    <row r="1090" spans="1:17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6"/>
    </row>
    <row r="1091" spans="1:17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6"/>
    </row>
    <row r="1092" spans="1:17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6"/>
    </row>
    <row r="1093" spans="1:17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6"/>
    </row>
    <row r="1094" spans="1:17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6"/>
    </row>
    <row r="1095" spans="1:17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6"/>
    </row>
    <row r="1096" spans="1:17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6"/>
    </row>
    <row r="1097" spans="1:17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6"/>
    </row>
    <row r="1098" spans="1:17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6"/>
    </row>
    <row r="1099" spans="1:17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6"/>
    </row>
    <row r="1100" spans="1:17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6"/>
    </row>
    <row r="1101" spans="1:17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6"/>
    </row>
    <row r="1102" spans="1:17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6"/>
    </row>
    <row r="1103" spans="1:17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6"/>
    </row>
    <row r="1104" spans="1:17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6"/>
    </row>
    <row r="1105" spans="1:17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6"/>
    </row>
    <row r="1106" spans="1:17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6"/>
    </row>
    <row r="1107" spans="1:17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6"/>
    </row>
    <row r="1108" spans="1:17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6"/>
    </row>
    <row r="1109" spans="1:17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6"/>
    </row>
    <row r="1110" spans="1:17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6"/>
    </row>
    <row r="1111" spans="1:17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6"/>
    </row>
    <row r="1112" spans="1:17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6"/>
    </row>
    <row r="1113" spans="1:17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6"/>
    </row>
    <row r="1114" spans="1:17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6"/>
    </row>
    <row r="1115" spans="1:17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6"/>
    </row>
    <row r="1116" spans="1:17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6"/>
    </row>
    <row r="1117" spans="1:17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6"/>
    </row>
    <row r="1118" spans="1:17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6"/>
    </row>
    <row r="1119" spans="1:17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6"/>
    </row>
    <row r="1120" spans="1:17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6"/>
    </row>
    <row r="1121" spans="1:17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6"/>
    </row>
    <row r="1122" spans="1:17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6"/>
    </row>
    <row r="1123" spans="1:17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6"/>
    </row>
    <row r="1124" spans="1:17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6"/>
    </row>
    <row r="1125" spans="1:17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6"/>
    </row>
    <row r="1126" spans="1:17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6"/>
    </row>
    <row r="1127" spans="1:17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6"/>
    </row>
    <row r="1128" spans="1:17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6"/>
    </row>
    <row r="1129" spans="1:17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6"/>
    </row>
    <row r="1130" spans="1:17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6"/>
    </row>
    <row r="1131" spans="1:17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6"/>
    </row>
    <row r="1132" spans="1:17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6"/>
    </row>
    <row r="1133" spans="1:17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6"/>
    </row>
    <row r="1134" spans="1:17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6"/>
    </row>
    <row r="1135" spans="1:17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6"/>
    </row>
    <row r="1136" spans="1:17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6"/>
    </row>
    <row r="1137" spans="1:17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6"/>
    </row>
    <row r="1138" spans="1:17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6"/>
    </row>
    <row r="1139" spans="1:17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6"/>
    </row>
    <row r="1140" spans="1:17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6"/>
    </row>
    <row r="1141" spans="1:17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6"/>
    </row>
    <row r="1142" spans="1:17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6"/>
    </row>
    <row r="1143" spans="1:17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6"/>
    </row>
    <row r="1144" spans="1:17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6"/>
    </row>
    <row r="1145" spans="1:17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6"/>
    </row>
    <row r="1146" spans="1:17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6"/>
    </row>
    <row r="1147" spans="1:17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6"/>
    </row>
    <row r="1148" spans="1:17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6"/>
    </row>
    <row r="1149" spans="1:17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6"/>
    </row>
    <row r="1150" spans="1:17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6"/>
    </row>
    <row r="1151" spans="1:17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6"/>
    </row>
    <row r="1152" spans="1:17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6"/>
    </row>
    <row r="1153" spans="1:17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6"/>
    </row>
    <row r="1154" spans="1:17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6"/>
    </row>
    <row r="1155" spans="1:17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6"/>
    </row>
    <row r="1156" spans="1:17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6"/>
    </row>
    <row r="1157" spans="1:17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6"/>
    </row>
    <row r="1158" spans="1:17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6"/>
    </row>
    <row r="1159" spans="1:17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6"/>
    </row>
    <row r="1160" spans="1:17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6"/>
    </row>
    <row r="1161" spans="1:17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6"/>
    </row>
    <row r="1162" spans="1:17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6"/>
    </row>
    <row r="1163" spans="1:17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6"/>
    </row>
    <row r="1164" spans="1:17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6"/>
    </row>
    <row r="1165" spans="1:17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6"/>
    </row>
    <row r="1166" spans="1:17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6"/>
    </row>
    <row r="1167" spans="1:17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6"/>
    </row>
    <row r="1168" spans="1:17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6"/>
    </row>
    <row r="1169" spans="1:17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6"/>
    </row>
    <row r="1170" spans="1:17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6"/>
    </row>
    <row r="1171" spans="1:17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6"/>
    </row>
    <row r="1172" spans="1:17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6"/>
    </row>
    <row r="1173" spans="1:17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6"/>
    </row>
    <row r="1174" spans="1:17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6"/>
    </row>
    <row r="1175" spans="1:17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6"/>
    </row>
    <row r="1176" spans="1:17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6"/>
    </row>
    <row r="1177" spans="1:17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6"/>
    </row>
    <row r="1178" spans="1:17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6"/>
    </row>
    <row r="1179" spans="1:17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6"/>
    </row>
    <row r="1180" spans="1:17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6"/>
    </row>
    <row r="1181" spans="1:17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6"/>
    </row>
    <row r="1182" spans="1:17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6"/>
    </row>
    <row r="1183" spans="1:17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6"/>
    </row>
    <row r="1184" spans="1:17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6"/>
    </row>
    <row r="1185" spans="1:17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6"/>
    </row>
    <row r="1186" spans="1:17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6"/>
    </row>
    <row r="1187" spans="1:17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6"/>
    </row>
    <row r="1188" spans="1:17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6"/>
    </row>
    <row r="1189" spans="1:17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6"/>
    </row>
    <row r="1190" spans="1:17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6"/>
    </row>
    <row r="1191" spans="1:17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6"/>
    </row>
    <row r="1192" spans="1:17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6"/>
    </row>
    <row r="1193" spans="1:17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6"/>
    </row>
    <row r="1194" spans="1:17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6"/>
    </row>
    <row r="1195" spans="1:17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6"/>
    </row>
    <row r="1196" spans="1:17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6"/>
    </row>
    <row r="1197" spans="1:17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6"/>
    </row>
    <row r="1198" spans="1:17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6"/>
    </row>
    <row r="1199" spans="1:17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6"/>
    </row>
    <row r="1200" spans="1:17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6"/>
    </row>
    <row r="1201" spans="1:17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6"/>
    </row>
    <row r="1202" spans="1:17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6"/>
    </row>
    <row r="1203" spans="1:17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6"/>
    </row>
    <row r="1204" spans="1:17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6"/>
    </row>
    <row r="1205" spans="1:17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6"/>
    </row>
    <row r="1206" spans="1:17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6"/>
    </row>
    <row r="1207" spans="1:17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6"/>
    </row>
    <row r="1208" spans="1:17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6"/>
    </row>
    <row r="1209" spans="1:17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6"/>
    </row>
    <row r="1210" spans="1:17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6"/>
    </row>
    <row r="1211" spans="1:17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6"/>
    </row>
    <row r="1212" spans="1:17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6"/>
    </row>
    <row r="1213" spans="1:17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6"/>
    </row>
    <row r="1214" spans="1:17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6"/>
    </row>
    <row r="1215" spans="1:17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6"/>
    </row>
    <row r="1216" spans="1:17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6"/>
    </row>
    <row r="1217" spans="1:17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6"/>
    </row>
    <row r="1218" spans="1:17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6"/>
    </row>
    <row r="1219" spans="1:17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6"/>
    </row>
    <row r="1220" spans="1:17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6"/>
    </row>
    <row r="1221" spans="1:17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6"/>
    </row>
    <row r="1222" spans="1:17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6"/>
    </row>
    <row r="1223" spans="1:17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6"/>
    </row>
    <row r="1224" spans="1:17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6"/>
    </row>
    <row r="1225" spans="1:17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6"/>
    </row>
    <row r="1226" spans="1:17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6"/>
    </row>
    <row r="1227" spans="1:17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6"/>
    </row>
    <row r="1228" spans="1:17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6"/>
    </row>
    <row r="1229" spans="1:17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6"/>
    </row>
    <row r="1230" spans="1:17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6"/>
    </row>
    <row r="1231" spans="1:17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6"/>
    </row>
    <row r="1232" spans="1:17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6"/>
    </row>
    <row r="1233" spans="1:17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6"/>
    </row>
    <row r="1234" spans="1:17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6"/>
    </row>
    <row r="1235" spans="1:17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6"/>
    </row>
    <row r="1236" spans="1:17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6"/>
    </row>
    <row r="1237" spans="1:17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6"/>
    </row>
    <row r="1238" spans="1:17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6"/>
    </row>
    <row r="1239" spans="1:17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6"/>
    </row>
    <row r="1240" spans="1:17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6"/>
    </row>
    <row r="1241" spans="1:17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6"/>
    </row>
    <row r="1242" spans="1:17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6"/>
    </row>
    <row r="1243" spans="1:17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6"/>
    </row>
    <row r="1244" spans="1:17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6"/>
    </row>
    <row r="1245" spans="1:17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6"/>
    </row>
    <row r="1246" spans="1:17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6"/>
    </row>
    <row r="1247" spans="1:17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6"/>
    </row>
    <row r="1248" spans="1:17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6"/>
    </row>
    <row r="1249" spans="1:17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6"/>
    </row>
    <row r="1250" spans="1:17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6"/>
    </row>
    <row r="1251" spans="1:17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6"/>
    </row>
    <row r="1252" spans="1:17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6"/>
    </row>
    <row r="1253" spans="1:17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6"/>
    </row>
    <row r="1254" spans="1:17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6"/>
    </row>
    <row r="1255" spans="1:17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6"/>
    </row>
    <row r="1256" spans="1:17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6"/>
    </row>
    <row r="1257" spans="1:17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6"/>
    </row>
    <row r="1258" spans="1:17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6"/>
    </row>
    <row r="1259" spans="1:17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6"/>
    </row>
    <row r="1260" spans="1:17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6"/>
    </row>
    <row r="1261" spans="1:17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6"/>
    </row>
    <row r="1262" spans="1:17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6"/>
    </row>
    <row r="1263" spans="1:17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6"/>
    </row>
    <row r="1264" spans="1:17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6"/>
    </row>
    <row r="1265" spans="1:17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6"/>
    </row>
    <row r="1266" spans="1:17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6"/>
    </row>
    <row r="1267" spans="1:17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6"/>
    </row>
    <row r="1268" spans="1:17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6"/>
    </row>
    <row r="1269" spans="1:17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6"/>
    </row>
    <row r="1270" spans="1:17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6"/>
    </row>
    <row r="1271" spans="1:17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6"/>
    </row>
    <row r="1272" spans="1:17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6"/>
    </row>
    <row r="1273" spans="1:17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6"/>
    </row>
    <row r="1274" spans="1:17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6"/>
    </row>
    <row r="1275" spans="1:17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6"/>
    </row>
    <row r="1276" spans="1:17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6"/>
    </row>
    <row r="1277" spans="1:17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6"/>
    </row>
    <row r="1278" spans="1:17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6"/>
    </row>
    <row r="1279" spans="1:17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6"/>
    </row>
    <row r="1280" spans="1:17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6"/>
    </row>
    <row r="1281" spans="1:17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6"/>
    </row>
    <row r="1282" spans="1:17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6"/>
    </row>
    <row r="1283" spans="1:17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6"/>
    </row>
    <row r="1284" spans="1:17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6"/>
    </row>
    <row r="1285" spans="1:17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6"/>
    </row>
    <row r="1286" spans="1:17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6"/>
    </row>
    <row r="1287" spans="1:17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6"/>
    </row>
    <row r="1288" spans="1:17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6"/>
    </row>
    <row r="1289" spans="1:17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6"/>
    </row>
    <row r="1290" spans="1:17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6"/>
    </row>
    <row r="1291" spans="1:17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6"/>
    </row>
    <row r="1292" spans="1:17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6"/>
    </row>
    <row r="1293" spans="1:17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6"/>
    </row>
    <row r="1294" spans="1:17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6"/>
    </row>
    <row r="1295" spans="1:17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6"/>
    </row>
    <row r="1296" spans="1:17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6"/>
    </row>
    <row r="1297" spans="1:17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6"/>
    </row>
    <row r="1298" spans="1:17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6"/>
    </row>
    <row r="1299" spans="1:17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6"/>
    </row>
    <row r="1300" spans="1:17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6"/>
    </row>
    <row r="1301" spans="1:17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6"/>
    </row>
    <row r="1302" spans="1:17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6"/>
    </row>
    <row r="1303" spans="1:17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6"/>
    </row>
    <row r="1304" spans="1:17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6"/>
    </row>
    <row r="1305" spans="1:17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6"/>
    </row>
    <row r="1306" spans="1:17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6"/>
    </row>
    <row r="1307" spans="1:17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6"/>
    </row>
    <row r="1308" spans="1:17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6"/>
    </row>
    <row r="1309" spans="1:17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6"/>
    </row>
    <row r="1310" spans="1:17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6"/>
    </row>
    <row r="1311" spans="1:17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6"/>
    </row>
    <row r="1312" spans="1:17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6"/>
    </row>
    <row r="1313" spans="1:17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6"/>
    </row>
    <row r="1314" spans="1:17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6"/>
    </row>
    <row r="1315" spans="1:17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6"/>
    </row>
    <row r="1316" spans="1:17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6"/>
    </row>
    <row r="1317" spans="1:17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6"/>
    </row>
    <row r="1318" spans="1:17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6"/>
    </row>
    <row r="1319" spans="1:17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6"/>
    </row>
    <row r="1320" spans="1:17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6"/>
    </row>
    <row r="1321" spans="1:17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6"/>
    </row>
    <row r="1322" spans="1:17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6"/>
    </row>
    <row r="1323" spans="1:17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6"/>
    </row>
    <row r="1324" spans="1:17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6"/>
    </row>
    <row r="1325" spans="1:17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6"/>
    </row>
    <row r="1326" spans="1:17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6"/>
    </row>
    <row r="1327" spans="1:17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6"/>
    </row>
    <row r="1328" spans="1:17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6"/>
    </row>
    <row r="1329" spans="1:17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6"/>
    </row>
    <row r="1330" spans="1:17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6"/>
    </row>
    <row r="1331" spans="1:17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6"/>
    </row>
    <row r="1332" spans="1:17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6"/>
    </row>
    <row r="1333" spans="1:17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6"/>
    </row>
    <row r="1334" spans="1:17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6"/>
    </row>
    <row r="1335" spans="1:17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6"/>
    </row>
    <row r="1336" spans="1:17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6"/>
    </row>
    <row r="1337" spans="1:17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6"/>
    </row>
    <row r="1338" spans="1:17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6"/>
    </row>
    <row r="1339" spans="1:17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6"/>
    </row>
    <row r="1340" spans="1:17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6"/>
    </row>
    <row r="1341" spans="1:17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6"/>
    </row>
    <row r="1342" spans="1:17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6"/>
    </row>
    <row r="1343" spans="1:17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6"/>
    </row>
    <row r="1344" spans="1:17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6"/>
    </row>
    <row r="1345" spans="1:17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6"/>
    </row>
    <row r="1346" spans="1:17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6"/>
    </row>
    <row r="1347" spans="1:17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6"/>
    </row>
    <row r="1348" spans="1:17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6"/>
    </row>
    <row r="1349" spans="1:17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6"/>
    </row>
    <row r="1350" spans="1:17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6"/>
    </row>
    <row r="1351" spans="1:17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6"/>
    </row>
    <row r="1352" spans="1:17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6"/>
    </row>
    <row r="1353" spans="1:17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6"/>
    </row>
    <row r="1354" spans="1:17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6"/>
    </row>
    <row r="1355" spans="1:17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6"/>
    </row>
    <row r="1356" spans="1:17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6"/>
    </row>
    <row r="1357" spans="1:17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6"/>
    </row>
    <row r="1358" spans="1:17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6"/>
    </row>
    <row r="1359" spans="1:17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6"/>
    </row>
    <row r="1360" spans="1:17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6"/>
    </row>
    <row r="1361" spans="1:17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6"/>
    </row>
    <row r="1362" spans="1:17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6"/>
    </row>
    <row r="1363" spans="1:17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6"/>
    </row>
    <row r="1364" spans="1:17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6"/>
    </row>
    <row r="1365" spans="1:17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6"/>
    </row>
    <row r="1366" spans="1:17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6"/>
    </row>
    <row r="1367" spans="1:17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6"/>
    </row>
    <row r="1368" spans="1:17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6"/>
    </row>
    <row r="1369" spans="1:17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6"/>
    </row>
    <row r="1370" spans="1:17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6"/>
    </row>
    <row r="1371" spans="1:17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6"/>
    </row>
    <row r="1372" spans="1:17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6"/>
    </row>
    <row r="1373" spans="1:17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6"/>
    </row>
    <row r="1374" spans="1:17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6"/>
    </row>
    <row r="1375" spans="1:17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6"/>
    </row>
    <row r="1376" spans="1:17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6"/>
    </row>
    <row r="1377" spans="1:17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6"/>
    </row>
    <row r="1378" spans="1:17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6"/>
    </row>
    <row r="1379" spans="1:17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6"/>
    </row>
    <row r="1380" spans="1:17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6"/>
    </row>
    <row r="1381" spans="1:17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6"/>
    </row>
    <row r="1382" spans="1:17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6"/>
    </row>
    <row r="1383" spans="1:17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6"/>
    </row>
    <row r="1384" spans="1:17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6"/>
    </row>
    <row r="1385" spans="1:17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6"/>
    </row>
    <row r="1386" spans="1:17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6"/>
    </row>
    <row r="1387" spans="1:17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6"/>
    </row>
    <row r="1388" spans="1:17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6"/>
    </row>
    <row r="1389" spans="1:17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6"/>
    </row>
    <row r="1390" spans="1:17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6"/>
    </row>
    <row r="1391" spans="1:17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6"/>
    </row>
    <row r="1392" spans="1:17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6"/>
    </row>
    <row r="1393" spans="1:17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6"/>
    </row>
    <row r="1394" spans="1:17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6"/>
    </row>
    <row r="1395" spans="1:17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6"/>
    </row>
    <row r="1396" spans="1:17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6"/>
    </row>
    <row r="1397" spans="1:17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6"/>
    </row>
    <row r="1398" spans="1:17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6"/>
    </row>
    <row r="1399" spans="1:17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6"/>
    </row>
    <row r="1400" spans="1:17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6"/>
    </row>
    <row r="1401" spans="1:17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6"/>
    </row>
    <row r="1402" spans="1:17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6"/>
    </row>
    <row r="1403" spans="1:17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6"/>
    </row>
    <row r="1404" spans="1:17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6"/>
    </row>
    <row r="1405" spans="1:17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6"/>
    </row>
    <row r="1406" spans="1:17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6"/>
    </row>
    <row r="1407" spans="1:17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6"/>
    </row>
    <row r="1408" spans="1:17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6"/>
    </row>
    <row r="1409" spans="1:17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6"/>
    </row>
    <row r="1410" spans="1:17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6"/>
    </row>
    <row r="1411" spans="1:17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6"/>
    </row>
    <row r="1412" spans="1:17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6"/>
    </row>
    <row r="1413" spans="1:17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6"/>
    </row>
    <row r="1414" spans="1:17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6"/>
    </row>
    <row r="1415" spans="1:17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6"/>
    </row>
    <row r="1416" spans="1:17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6"/>
    </row>
    <row r="1417" spans="1:17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6"/>
    </row>
    <row r="1418" spans="1:17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6"/>
    </row>
    <row r="1419" spans="1:17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6"/>
    </row>
    <row r="1420" spans="1:17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6"/>
    </row>
    <row r="1421" spans="1:17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6"/>
    </row>
    <row r="1422" spans="1:17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6"/>
    </row>
    <row r="1423" spans="1:17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6"/>
    </row>
    <row r="1424" spans="1:17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6"/>
    </row>
    <row r="1425" spans="1:17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6"/>
    </row>
    <row r="1426" spans="1:17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6"/>
    </row>
    <row r="1427" spans="1:17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6"/>
    </row>
    <row r="1428" spans="1:17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6"/>
    </row>
    <row r="1429" spans="1:17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6"/>
    </row>
    <row r="1430" spans="1:17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6"/>
    </row>
    <row r="1431" spans="1:17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6"/>
    </row>
    <row r="1432" spans="1:17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6"/>
    </row>
    <row r="1433" spans="1:17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6"/>
    </row>
    <row r="1434" spans="1:17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6"/>
    </row>
    <row r="1435" spans="1:17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6"/>
    </row>
    <row r="1436" spans="1:17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6"/>
    </row>
    <row r="1437" spans="1:17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6"/>
    </row>
    <row r="1438" spans="1:17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6"/>
    </row>
    <row r="1439" spans="1:17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6"/>
    </row>
    <row r="1440" spans="1:17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6"/>
    </row>
    <row r="1441" spans="1:17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6"/>
    </row>
    <row r="1442" spans="1:17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6"/>
    </row>
    <row r="1443" spans="1:17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6"/>
    </row>
    <row r="1444" spans="1:17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6"/>
    </row>
    <row r="1445" spans="1:17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6"/>
    </row>
    <row r="1446" spans="1:17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6"/>
    </row>
    <row r="1447" spans="1:17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6"/>
    </row>
    <row r="1448" spans="1:17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6"/>
    </row>
    <row r="1449" spans="1:17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6"/>
    </row>
    <row r="1450" spans="1:17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6"/>
    </row>
    <row r="1451" spans="1:17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6"/>
    </row>
    <row r="1452" spans="1:17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6"/>
    </row>
    <row r="1453" spans="1:17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6"/>
    </row>
    <row r="1454" spans="1:17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6"/>
    </row>
    <row r="1455" spans="1:17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6"/>
    </row>
    <row r="1456" spans="1:17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6"/>
    </row>
    <row r="1457" spans="1:17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6"/>
    </row>
    <row r="1458" spans="1:17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6"/>
    </row>
    <row r="1459" spans="1:17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6"/>
    </row>
    <row r="1460" spans="1:17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6"/>
    </row>
    <row r="1461" spans="1:17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6"/>
    </row>
    <row r="1462" spans="1:17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6"/>
    </row>
    <row r="1463" spans="1:17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6"/>
    </row>
    <row r="1464" spans="1:17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6"/>
    </row>
    <row r="1465" spans="1:17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6"/>
    </row>
    <row r="1466" spans="1:17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6"/>
    </row>
    <row r="1467" spans="1:17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6"/>
    </row>
    <row r="1468" spans="1:17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6"/>
    </row>
    <row r="1469" spans="1:17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6"/>
    </row>
    <row r="1470" spans="1:17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6"/>
    </row>
    <row r="1471" spans="1:17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6"/>
    </row>
    <row r="1472" spans="1:17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6"/>
    </row>
    <row r="1473" spans="1:17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6"/>
    </row>
    <row r="1474" spans="1:17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6"/>
    </row>
    <row r="1475" spans="1:17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6"/>
    </row>
    <row r="1476" spans="1:17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6"/>
    </row>
    <row r="1477" spans="1:17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6"/>
    </row>
    <row r="1478" spans="1:17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6"/>
    </row>
    <row r="1479" spans="1:17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6"/>
    </row>
    <row r="1480" spans="1:17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6"/>
    </row>
    <row r="1481" spans="1:17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6"/>
    </row>
    <row r="1482" spans="1:17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6"/>
    </row>
    <row r="1483" spans="1:17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6"/>
    </row>
    <row r="1484" spans="1:17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6"/>
    </row>
    <row r="1485" spans="1:17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6"/>
    </row>
    <row r="1486" spans="1:17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6"/>
    </row>
    <row r="1487" spans="1:17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6"/>
    </row>
    <row r="1488" spans="1:17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6"/>
    </row>
    <row r="1489" spans="1:17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6"/>
    </row>
    <row r="1490" spans="1:17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6"/>
    </row>
    <row r="1491" spans="1:17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6"/>
    </row>
    <row r="1492" spans="1:17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6"/>
    </row>
    <row r="1493" spans="1:17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6"/>
    </row>
    <row r="1494" spans="1:17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6"/>
    </row>
    <row r="1495" spans="1:17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6"/>
    </row>
    <row r="1496" spans="1:17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6"/>
    </row>
    <row r="1497" spans="1:17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6"/>
    </row>
    <row r="1498" spans="1:17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6"/>
    </row>
    <row r="1499" spans="1:17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6"/>
    </row>
    <row r="1500" spans="1:17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6"/>
    </row>
    <row r="1501" spans="1:17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6"/>
    </row>
    <row r="1502" spans="1:17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6"/>
    </row>
    <row r="1503" spans="1:17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6"/>
    </row>
    <row r="1504" spans="1:17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6"/>
    </row>
    <row r="1505" spans="1:17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6"/>
    </row>
    <row r="1506" spans="1:17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6"/>
    </row>
    <row r="1507" spans="1:17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6"/>
    </row>
    <row r="1508" spans="1:17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6"/>
    </row>
    <row r="1509" spans="1:17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6"/>
    </row>
    <row r="1510" spans="1:17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6"/>
    </row>
    <row r="1511" spans="1:17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6"/>
    </row>
    <row r="1512" spans="1:17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6"/>
    </row>
    <row r="1513" spans="1:17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6"/>
    </row>
    <row r="1514" spans="1:17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6"/>
    </row>
    <row r="1515" spans="1:17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6"/>
    </row>
    <row r="1516" spans="1:17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6"/>
    </row>
    <row r="1517" spans="1:17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6"/>
    </row>
    <row r="1518" spans="1:17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6"/>
    </row>
    <row r="1519" spans="1:17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6"/>
    </row>
    <row r="1520" spans="1:17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6"/>
    </row>
    <row r="1521" spans="1:17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6"/>
    </row>
    <row r="1522" spans="1:17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6"/>
    </row>
    <row r="1523" spans="1:17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6"/>
    </row>
    <row r="1524" spans="1:17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6"/>
    </row>
    <row r="1525" spans="1:17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6"/>
    </row>
    <row r="1526" spans="1:17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6"/>
    </row>
    <row r="1527" spans="1:17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6"/>
    </row>
    <row r="1528" spans="1:17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6"/>
    </row>
    <row r="1529" spans="1:17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6"/>
    </row>
    <row r="1530" spans="1:17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6"/>
    </row>
    <row r="1531" spans="1:17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6"/>
    </row>
    <row r="1532" spans="1:17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6"/>
    </row>
    <row r="1533" spans="1:17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6"/>
    </row>
    <row r="1534" spans="1:17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6"/>
    </row>
    <row r="1535" spans="1:17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6"/>
    </row>
    <row r="1536" spans="1:17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6"/>
    </row>
    <row r="1537" spans="1:17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6"/>
    </row>
    <row r="1538" spans="1:17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6"/>
    </row>
    <row r="1539" spans="1:17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6"/>
    </row>
    <row r="1540" spans="1:17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6"/>
    </row>
    <row r="1541" spans="1:17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6"/>
    </row>
    <row r="1542" spans="1:17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6"/>
    </row>
    <row r="1543" spans="1:17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6"/>
    </row>
    <row r="1544" spans="1:17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6"/>
    </row>
    <row r="1545" spans="1:17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6"/>
    </row>
    <row r="1546" spans="1:17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6"/>
    </row>
    <row r="1547" spans="1:17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6"/>
    </row>
    <row r="1548" spans="1:17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6"/>
    </row>
    <row r="1549" spans="1:17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6"/>
    </row>
    <row r="1550" spans="1:17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6"/>
    </row>
    <row r="1551" spans="1:17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6"/>
    </row>
    <row r="1552" spans="1:17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6"/>
    </row>
    <row r="1553" spans="1:17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6"/>
    </row>
    <row r="1554" spans="1:17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6"/>
    </row>
    <row r="1555" spans="1:17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6"/>
    </row>
    <row r="1556" spans="1:17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6"/>
    </row>
    <row r="1557" spans="1:17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6"/>
    </row>
    <row r="1558" spans="1:17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6"/>
    </row>
    <row r="1559" spans="1:17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6"/>
    </row>
    <row r="1560" spans="1:17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6"/>
    </row>
    <row r="1561" spans="1:17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6"/>
    </row>
    <row r="1562" spans="1:17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6"/>
    </row>
    <row r="1563" spans="1:17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6"/>
    </row>
    <row r="1564" spans="1:17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6"/>
    </row>
    <row r="1565" spans="1:17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6"/>
    </row>
    <row r="1566" spans="1:17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6"/>
    </row>
    <row r="1567" spans="1:17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6"/>
    </row>
    <row r="1568" spans="1:17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6"/>
    </row>
    <row r="1569" spans="1:17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6"/>
    </row>
    <row r="1570" spans="1:17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6"/>
    </row>
    <row r="1571" spans="1:17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6"/>
    </row>
    <row r="1572" spans="1:17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6"/>
    </row>
    <row r="1573" spans="1:17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6"/>
    </row>
    <row r="1574" spans="1:17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6"/>
    </row>
    <row r="1575" spans="1:17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6"/>
    </row>
    <row r="1576" spans="1:17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6"/>
    </row>
    <row r="1577" spans="1:17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6"/>
    </row>
    <row r="1578" spans="1:17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6"/>
    </row>
    <row r="1579" spans="1:17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6"/>
    </row>
    <row r="1580" spans="1:17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6"/>
    </row>
    <row r="1581" spans="1:17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6"/>
    </row>
    <row r="1582" spans="1:17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6"/>
    </row>
    <row r="1583" spans="1:17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6"/>
    </row>
    <row r="1584" spans="1:17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6"/>
    </row>
    <row r="1585" spans="1:17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6"/>
    </row>
    <row r="1586" spans="1:17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6"/>
    </row>
    <row r="1587" spans="1:17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6"/>
    </row>
    <row r="1588" spans="1:17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6"/>
    </row>
    <row r="1589" spans="1:17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6"/>
    </row>
    <row r="1590" spans="1:17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6"/>
    </row>
    <row r="1591" spans="1:17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6"/>
    </row>
    <row r="1592" spans="1:17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6"/>
    </row>
    <row r="1593" spans="1:17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6"/>
    </row>
    <row r="1594" spans="1:17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6"/>
    </row>
    <row r="1595" spans="1:17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6"/>
    </row>
    <row r="1596" spans="1:17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6"/>
    </row>
    <row r="1597" spans="1:17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6"/>
    </row>
    <row r="1598" spans="1:17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6"/>
    </row>
    <row r="1599" spans="1:17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6"/>
    </row>
    <row r="1600" spans="1:17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6"/>
    </row>
    <row r="1601" spans="1:17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6"/>
    </row>
    <row r="1602" spans="1:17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6"/>
    </row>
    <row r="1603" spans="1:17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6"/>
    </row>
    <row r="1604" spans="1:17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6"/>
    </row>
    <row r="1605" spans="1:17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6"/>
    </row>
    <row r="1606" spans="1:17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6"/>
    </row>
    <row r="1607" spans="1:17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6"/>
    </row>
    <row r="1608" spans="1:17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6"/>
    </row>
    <row r="1609" spans="1:17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6"/>
    </row>
    <row r="1610" spans="1:17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6"/>
    </row>
    <row r="1611" spans="1:17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6"/>
    </row>
    <row r="1612" spans="1:17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6"/>
    </row>
    <row r="1613" spans="1:17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6"/>
    </row>
    <row r="1614" spans="1:17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6"/>
    </row>
    <row r="1615" spans="1:17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6"/>
    </row>
    <row r="1616" spans="1:17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6"/>
    </row>
    <row r="1617" spans="1:17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6"/>
    </row>
    <row r="1618" spans="1:17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6"/>
    </row>
    <row r="1619" spans="1:17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6"/>
    </row>
    <row r="1620" spans="1:17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6"/>
    </row>
    <row r="1621" spans="1:17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6"/>
    </row>
    <row r="1622" spans="1:17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6"/>
    </row>
    <row r="1623" spans="1:17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6"/>
    </row>
    <row r="1624" spans="1:17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6"/>
    </row>
    <row r="1625" spans="1:17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6"/>
    </row>
    <row r="1626" spans="1:17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6"/>
    </row>
    <row r="1627" spans="1:17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6"/>
    </row>
    <row r="1628" spans="1:17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6"/>
    </row>
    <row r="1629" spans="1:17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6"/>
    </row>
    <row r="1630" spans="1:17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6"/>
    </row>
    <row r="1631" spans="1:17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6"/>
    </row>
    <row r="1632" spans="1:17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6"/>
    </row>
    <row r="1633" spans="1:17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6"/>
    </row>
    <row r="1634" spans="1:17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6"/>
    </row>
    <row r="1635" spans="1:17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6"/>
    </row>
    <row r="1636" spans="1:17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6"/>
    </row>
    <row r="1637" spans="1:17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6"/>
    </row>
    <row r="1638" spans="1:17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6"/>
    </row>
    <row r="1639" spans="1:17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6"/>
    </row>
    <row r="1640" spans="1:17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6"/>
    </row>
    <row r="1641" spans="1:17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6"/>
    </row>
    <row r="1642" spans="1:17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6"/>
    </row>
    <row r="1643" spans="1:17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6"/>
    </row>
    <row r="1644" spans="1:17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6"/>
    </row>
    <row r="1645" spans="1:17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6"/>
    </row>
    <row r="1646" spans="1:17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6"/>
    </row>
    <row r="1647" spans="1:17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6"/>
    </row>
    <row r="1648" spans="1:17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6"/>
    </row>
    <row r="1649" spans="1:17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6"/>
    </row>
    <row r="1650" spans="1:17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6"/>
    </row>
    <row r="1651" spans="1:17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6"/>
    </row>
    <row r="1652" spans="1:17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6"/>
    </row>
    <row r="1653" spans="1:17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6"/>
    </row>
    <row r="1654" spans="1:17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6"/>
    </row>
    <row r="1655" spans="1:17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6"/>
    </row>
    <row r="1656" spans="1:17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6"/>
    </row>
    <row r="1657" spans="1:17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6"/>
    </row>
    <row r="1658" spans="1:17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6"/>
    </row>
    <row r="1659" spans="1:17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6"/>
    </row>
    <row r="1660" spans="1:17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6"/>
    </row>
    <row r="1661" spans="1:17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6"/>
    </row>
    <row r="1662" spans="1:17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6"/>
    </row>
    <row r="1663" spans="1:17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6"/>
    </row>
    <row r="1664" spans="1:17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6"/>
    </row>
    <row r="1665" spans="1:17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6"/>
    </row>
    <row r="1666" spans="1:17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6"/>
    </row>
    <row r="1667" spans="1:17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6"/>
    </row>
    <row r="1668" spans="1:17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6"/>
    </row>
    <row r="1669" spans="1:17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6"/>
    </row>
    <row r="1670" spans="1:17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6"/>
    </row>
    <row r="1671" spans="1:17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6"/>
    </row>
    <row r="1672" spans="1:17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6"/>
    </row>
    <row r="1673" spans="1:17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6"/>
    </row>
    <row r="1674" spans="1:17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6"/>
    </row>
    <row r="1675" spans="1:17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6"/>
    </row>
    <row r="1676" spans="1:17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6"/>
    </row>
    <row r="1677" spans="1:17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6"/>
    </row>
    <row r="1678" spans="1:17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6"/>
    </row>
    <row r="1679" spans="1:17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6"/>
    </row>
    <row r="1680" spans="1:17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6"/>
    </row>
    <row r="1681" spans="1:17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6"/>
    </row>
    <row r="1682" spans="1:17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6"/>
    </row>
    <row r="1683" spans="1:17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6"/>
    </row>
    <row r="1684" spans="1:17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6"/>
    </row>
    <row r="1685" spans="1:17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6"/>
    </row>
    <row r="1686" spans="1:17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6"/>
    </row>
    <row r="1687" spans="1:17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6"/>
    </row>
    <row r="1688" spans="1:17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6"/>
    </row>
    <row r="1689" spans="1:17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6"/>
    </row>
    <row r="1690" spans="1:17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6"/>
    </row>
    <row r="1691" spans="1:17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6"/>
    </row>
    <row r="1692" spans="1:17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6"/>
    </row>
    <row r="1693" spans="1:17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6"/>
    </row>
    <row r="1694" spans="1:17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6"/>
    </row>
    <row r="1695" spans="1:17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6"/>
    </row>
    <row r="1696" spans="1:17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6"/>
    </row>
    <row r="1697" spans="1:17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6"/>
    </row>
    <row r="1698" spans="1:17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6"/>
    </row>
    <row r="1699" spans="1:17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6"/>
    </row>
    <row r="1700" spans="1:17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6"/>
    </row>
    <row r="1701" spans="1:17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6"/>
    </row>
    <row r="1702" spans="1:17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6"/>
    </row>
    <row r="1703" spans="1:17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6"/>
    </row>
    <row r="1704" spans="1:17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6"/>
    </row>
    <row r="1705" spans="1:17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6"/>
    </row>
    <row r="1706" spans="1:17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6"/>
    </row>
    <row r="1707" spans="1:17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6"/>
    </row>
    <row r="1708" spans="1:17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6"/>
    </row>
    <row r="1709" spans="1:17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6"/>
    </row>
    <row r="1710" spans="1:17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6"/>
    </row>
    <row r="1711" spans="1:17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6"/>
    </row>
    <row r="1712" spans="1:17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6"/>
    </row>
    <row r="1713" spans="1:17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6"/>
    </row>
    <row r="1714" spans="1:17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6"/>
    </row>
    <row r="1715" spans="1:17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6"/>
    </row>
    <row r="1716" spans="1:17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6"/>
    </row>
    <row r="1717" spans="1:17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6"/>
    </row>
    <row r="1718" spans="1:17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6"/>
    </row>
    <row r="1719" spans="1:17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6"/>
    </row>
    <row r="1720" spans="1:17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6"/>
    </row>
    <row r="1721" spans="1:17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6"/>
    </row>
    <row r="1722" spans="1:17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6"/>
    </row>
    <row r="1723" spans="1:17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6"/>
    </row>
    <row r="1724" spans="1:17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6"/>
    </row>
    <row r="1725" spans="1:17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6"/>
    </row>
    <row r="1726" spans="1:17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6"/>
    </row>
    <row r="1727" spans="1:17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6"/>
    </row>
    <row r="1728" spans="1:17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6"/>
    </row>
    <row r="1729" spans="1:17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6"/>
    </row>
    <row r="1730" spans="1:17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6"/>
    </row>
    <row r="1731" spans="1:17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6"/>
    </row>
    <row r="1732" spans="1:17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6"/>
    </row>
    <row r="1733" spans="1:17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6"/>
    </row>
    <row r="1734" spans="1:17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6"/>
    </row>
    <row r="1735" spans="1:17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6"/>
    </row>
    <row r="1736" spans="1:17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6"/>
    </row>
    <row r="1737" spans="1:17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6"/>
    </row>
    <row r="1738" spans="1:17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6"/>
    </row>
    <row r="1739" spans="1:17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6"/>
    </row>
    <row r="1740" spans="1:17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6"/>
    </row>
    <row r="1741" spans="1:17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6"/>
    </row>
    <row r="1742" spans="1:17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6"/>
    </row>
    <row r="1743" spans="1:17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6"/>
    </row>
    <row r="1744" spans="1:17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6"/>
    </row>
    <row r="1745" spans="1:17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6"/>
    </row>
    <row r="1746" spans="1:17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6"/>
    </row>
    <row r="1747" spans="1:17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6"/>
    </row>
    <row r="1748" spans="1:17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6"/>
    </row>
    <row r="1749" spans="1:17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6"/>
    </row>
    <row r="1750" spans="1:17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6"/>
    </row>
    <row r="1751" spans="1:17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6"/>
    </row>
    <row r="1752" spans="1:17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6"/>
    </row>
    <row r="1753" spans="1:17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6"/>
    </row>
    <row r="1754" spans="1:17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6"/>
    </row>
    <row r="1755" spans="1:17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6"/>
    </row>
    <row r="1756" spans="1:17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6"/>
    </row>
    <row r="1757" spans="1:17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6"/>
    </row>
    <row r="1758" spans="1:17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6"/>
    </row>
    <row r="1759" spans="1:17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6"/>
    </row>
    <row r="1760" spans="1:17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6"/>
    </row>
    <row r="1761" spans="1:17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6"/>
    </row>
    <row r="1762" spans="1:17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6"/>
    </row>
    <row r="1763" spans="1:17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6"/>
    </row>
    <row r="1764" spans="1:17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6"/>
    </row>
    <row r="1765" spans="1:17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6"/>
    </row>
    <row r="1766" spans="1:17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6"/>
    </row>
    <row r="1767" spans="1:17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6"/>
    </row>
    <row r="1768" spans="1:17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6"/>
    </row>
    <row r="1769" spans="1:17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6"/>
    </row>
    <row r="1770" spans="1:17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6"/>
    </row>
    <row r="1771" spans="1:17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6"/>
    </row>
    <row r="1772" spans="1:17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6"/>
    </row>
    <row r="1773" spans="1:17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6"/>
    </row>
    <row r="1774" spans="1:17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6"/>
    </row>
    <row r="1775" spans="1:17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6"/>
    </row>
    <row r="1776" spans="1:17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6"/>
    </row>
    <row r="1777" spans="1:17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6"/>
    </row>
    <row r="1778" spans="1:17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6"/>
    </row>
    <row r="1779" spans="1:17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6"/>
    </row>
    <row r="1780" spans="1:17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6"/>
    </row>
    <row r="1781" spans="1:17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6"/>
    </row>
    <row r="1782" spans="1:17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6"/>
    </row>
    <row r="1783" spans="1:17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6"/>
    </row>
    <row r="1784" spans="1:17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6"/>
    </row>
    <row r="1785" spans="1:17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6"/>
    </row>
    <row r="1786" spans="1:17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6"/>
    </row>
    <row r="1787" spans="1:17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6"/>
    </row>
    <row r="1788" spans="1:17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6"/>
    </row>
    <row r="1789" spans="1:17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6"/>
    </row>
    <row r="1790" spans="1:17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6"/>
    </row>
    <row r="1791" spans="1:17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6"/>
    </row>
    <row r="1792" spans="1:17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6"/>
    </row>
    <row r="1793" spans="1:17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6"/>
    </row>
    <row r="1794" spans="1:17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6"/>
    </row>
    <row r="1795" spans="1:17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6"/>
    </row>
    <row r="1796" spans="1:17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6"/>
    </row>
    <row r="1797" spans="1:17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6"/>
    </row>
    <row r="1798" spans="1:17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6"/>
    </row>
    <row r="1799" spans="1:17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6"/>
    </row>
    <row r="1800" spans="1:17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6"/>
    </row>
    <row r="1801" spans="1:17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6"/>
    </row>
    <row r="1802" spans="1:17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6"/>
    </row>
    <row r="1803" spans="1:17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6"/>
    </row>
    <row r="1804" spans="1:17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6"/>
    </row>
    <row r="1805" spans="1:17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6"/>
    </row>
    <row r="1806" spans="1:17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6"/>
    </row>
    <row r="1807" spans="1:17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6"/>
    </row>
    <row r="1808" spans="1:17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6"/>
    </row>
    <row r="1809" spans="1:17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6"/>
    </row>
    <row r="1810" spans="1:17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6"/>
    </row>
    <row r="1811" spans="1:17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6"/>
    </row>
    <row r="1812" spans="1:17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6"/>
    </row>
    <row r="1813" spans="1:17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6"/>
    </row>
    <row r="1814" spans="1:17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6"/>
    </row>
    <row r="1815" spans="1:17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6"/>
    </row>
    <row r="1816" spans="1:17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6"/>
    </row>
    <row r="1817" spans="1:17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6"/>
    </row>
    <row r="1818" spans="1:17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6"/>
    </row>
    <row r="1819" spans="1:17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6"/>
    </row>
    <row r="1820" spans="1:17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6"/>
    </row>
    <row r="1821" spans="1:17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6"/>
    </row>
    <row r="1822" spans="1:17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6"/>
    </row>
    <row r="1823" spans="1:17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6"/>
    </row>
    <row r="1824" spans="1:17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6"/>
    </row>
    <row r="1825" spans="1:17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6"/>
    </row>
    <row r="1826" spans="1:17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6"/>
    </row>
    <row r="1827" spans="1:17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6"/>
    </row>
    <row r="1828" spans="1:17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6"/>
    </row>
    <row r="1829" spans="1:17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6"/>
    </row>
    <row r="1830" spans="1:17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6"/>
    </row>
    <row r="1831" spans="1:17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6"/>
    </row>
    <row r="1832" spans="1:17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6"/>
    </row>
    <row r="1833" spans="1:17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6"/>
    </row>
    <row r="1834" spans="1:17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6"/>
    </row>
    <row r="1835" spans="1:17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6"/>
    </row>
    <row r="1836" spans="1:17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6"/>
    </row>
    <row r="1837" spans="1:17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6"/>
    </row>
    <row r="1838" spans="1:17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6"/>
    </row>
    <row r="1839" spans="1:17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6"/>
    </row>
    <row r="1840" spans="1:17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6"/>
    </row>
    <row r="1841" spans="1:17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6"/>
    </row>
    <row r="1842" spans="1:17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6"/>
    </row>
    <row r="1843" spans="1:17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6"/>
    </row>
    <row r="1844" spans="1:17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6"/>
    </row>
    <row r="1845" spans="1:17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6"/>
    </row>
    <row r="1846" spans="1:17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6"/>
    </row>
    <row r="1847" spans="1:17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6"/>
    </row>
    <row r="1848" spans="1:17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6"/>
    </row>
    <row r="1849" spans="1:17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6"/>
    </row>
    <row r="1850" spans="1:17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6"/>
    </row>
    <row r="1851" spans="1:17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6"/>
    </row>
    <row r="1852" spans="1:17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6"/>
    </row>
    <row r="1853" spans="1:17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6"/>
    </row>
    <row r="1854" spans="1:17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6"/>
    </row>
    <row r="1855" spans="1:17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6"/>
    </row>
    <row r="1856" spans="1:17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6"/>
    </row>
    <row r="1857" spans="1:17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6"/>
    </row>
    <row r="1858" spans="1:17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6"/>
    </row>
    <row r="1859" spans="1:17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6"/>
    </row>
    <row r="1860" spans="1:17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6"/>
    </row>
    <row r="1861" spans="1:17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6"/>
    </row>
    <row r="1862" spans="1:17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6"/>
    </row>
    <row r="1863" spans="1:17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6"/>
    </row>
    <row r="1864" spans="1:17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6"/>
    </row>
    <row r="1865" spans="1:17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6"/>
    </row>
    <row r="1866" spans="1:17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6"/>
    </row>
    <row r="1867" spans="1:17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6"/>
    </row>
    <row r="1868" spans="1:17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6"/>
    </row>
    <row r="1869" spans="1:17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6"/>
    </row>
    <row r="1870" spans="1:17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6"/>
    </row>
    <row r="1871" spans="1:17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6"/>
    </row>
    <row r="1872" spans="1:17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6"/>
    </row>
    <row r="1873" spans="1:17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6"/>
    </row>
    <row r="1874" spans="1:17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6"/>
    </row>
    <row r="1875" spans="1:17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6"/>
    </row>
    <row r="1876" spans="1:17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6"/>
    </row>
    <row r="1877" spans="1:17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6"/>
    </row>
    <row r="1878" spans="1:17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6"/>
    </row>
    <row r="1879" spans="1:17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6"/>
    </row>
    <row r="1880" spans="1:17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6"/>
    </row>
    <row r="1881" spans="1:17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6"/>
    </row>
    <row r="1882" spans="1:17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6"/>
    </row>
    <row r="1883" spans="1:17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6"/>
    </row>
    <row r="1884" spans="1:17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6"/>
    </row>
    <row r="1885" spans="1:17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6"/>
    </row>
    <row r="1886" spans="1:17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6"/>
    </row>
    <row r="1887" spans="1:17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6"/>
    </row>
    <row r="1888" spans="1:17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6"/>
    </row>
    <row r="1889" spans="1:17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6"/>
    </row>
    <row r="1890" spans="1:17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6"/>
    </row>
    <row r="1891" spans="1:17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6"/>
    </row>
    <row r="1892" spans="1:17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6"/>
    </row>
    <row r="1893" spans="1:17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6"/>
    </row>
    <row r="1894" spans="1:17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6"/>
    </row>
    <row r="1895" spans="1:17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6"/>
    </row>
    <row r="1896" spans="1:17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6"/>
    </row>
    <row r="1897" spans="1:17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6"/>
    </row>
    <row r="1898" spans="1:17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6"/>
    </row>
    <row r="1899" spans="1:17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6"/>
    </row>
    <row r="1900" spans="1:17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6"/>
    </row>
    <row r="1901" spans="1:17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6"/>
    </row>
    <row r="1902" spans="1:17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6"/>
    </row>
    <row r="1903" spans="1:17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6"/>
    </row>
    <row r="1904" spans="1:17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6"/>
    </row>
    <row r="1905" spans="1:17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6"/>
    </row>
    <row r="1906" spans="1:17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6"/>
    </row>
    <row r="1907" spans="1:17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6"/>
    </row>
    <row r="1908" spans="1:17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6"/>
    </row>
    <row r="1909" spans="1:17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6"/>
    </row>
    <row r="1910" spans="1:17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6"/>
    </row>
    <row r="1911" spans="1:17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6"/>
    </row>
    <row r="1912" spans="1:17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6"/>
    </row>
    <row r="1913" spans="1:17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6"/>
    </row>
    <row r="1914" spans="1:17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6"/>
    </row>
    <row r="1915" spans="1:17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6"/>
    </row>
    <row r="1916" spans="1:17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6"/>
    </row>
    <row r="1917" spans="1:17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6"/>
    </row>
    <row r="1918" spans="1:17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6"/>
    </row>
    <row r="1919" spans="1:17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6"/>
    </row>
    <row r="1920" spans="1:17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6"/>
    </row>
    <row r="1921" spans="1:17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6"/>
    </row>
    <row r="1922" spans="1:17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6"/>
    </row>
    <row r="1923" spans="1:17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6"/>
    </row>
    <row r="1924" spans="1:17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6"/>
    </row>
    <row r="1925" spans="1:17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6"/>
    </row>
    <row r="1926" spans="1:17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6"/>
    </row>
    <row r="1927" spans="1:17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6"/>
    </row>
    <row r="1928" spans="1:17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6"/>
    </row>
    <row r="1929" spans="1:17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6"/>
    </row>
    <row r="1930" spans="1:17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6"/>
    </row>
    <row r="1931" spans="1:17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6"/>
    </row>
    <row r="1932" spans="1:17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6"/>
    </row>
    <row r="1933" spans="1:17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6"/>
    </row>
    <row r="1934" spans="1:17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6"/>
    </row>
    <row r="1935" spans="1:17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6"/>
    </row>
    <row r="1936" spans="1:17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6"/>
    </row>
    <row r="1937" spans="1:17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6"/>
    </row>
    <row r="1938" spans="1:17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6"/>
    </row>
    <row r="1939" spans="1:17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6"/>
    </row>
    <row r="1940" spans="1:17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6"/>
    </row>
    <row r="1941" spans="1:17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6"/>
    </row>
    <row r="1942" spans="1:17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6"/>
    </row>
    <row r="1943" spans="1:17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6"/>
    </row>
    <row r="1944" spans="1:17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6"/>
    </row>
    <row r="1945" spans="1:17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6"/>
    </row>
    <row r="1946" spans="1:17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6"/>
    </row>
    <row r="1947" spans="1:17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6"/>
    </row>
    <row r="1948" spans="1:17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6"/>
    </row>
    <row r="1949" spans="1:17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6"/>
    </row>
    <row r="1950" spans="1:17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6"/>
    </row>
    <row r="1951" spans="1:17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6"/>
    </row>
    <row r="1952" spans="1:17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6"/>
    </row>
    <row r="1953" spans="1:17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6"/>
    </row>
    <row r="1954" spans="1:17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6"/>
    </row>
    <row r="1955" spans="1:17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6"/>
    </row>
    <row r="1956" spans="1:17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6"/>
    </row>
    <row r="1957" spans="1:17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6"/>
    </row>
    <row r="1958" spans="1:17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6"/>
    </row>
    <row r="1959" spans="1:17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6"/>
    </row>
    <row r="1960" spans="1:17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6"/>
    </row>
    <row r="1961" spans="1:17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6"/>
    </row>
    <row r="1962" spans="1:17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6"/>
    </row>
    <row r="1963" spans="1:17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6"/>
    </row>
    <row r="1964" spans="1:17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6"/>
    </row>
    <row r="1965" spans="1:17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6"/>
    </row>
    <row r="1966" spans="1:17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6"/>
    </row>
    <row r="1967" spans="1:17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6"/>
    </row>
    <row r="1968" spans="1:17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6"/>
    </row>
    <row r="1969" spans="1:17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6"/>
    </row>
    <row r="1970" spans="1:17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6"/>
    </row>
    <row r="1971" spans="1:17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6"/>
    </row>
    <row r="1972" spans="1:17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6"/>
    </row>
    <row r="1973" spans="1:17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6"/>
    </row>
    <row r="1974" spans="1:17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6"/>
    </row>
    <row r="1975" spans="1:17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6"/>
    </row>
    <row r="1976" spans="1:17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6"/>
    </row>
    <row r="1977" spans="1:17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6"/>
    </row>
    <row r="1978" spans="1:17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6"/>
    </row>
    <row r="1979" spans="1:17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6"/>
    </row>
    <row r="1980" spans="1:17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6"/>
    </row>
    <row r="1981" spans="1:17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6"/>
    </row>
    <row r="1982" spans="1:17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6"/>
    </row>
    <row r="1983" spans="1:17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6"/>
    </row>
    <row r="1984" spans="1:17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6"/>
    </row>
    <row r="1985" spans="1:17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6"/>
    </row>
    <row r="1986" spans="1:17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6"/>
    </row>
    <row r="1987" spans="1:17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6"/>
    </row>
    <row r="1988" spans="1:17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6"/>
    </row>
    <row r="1989" spans="1:17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6"/>
    </row>
    <row r="1990" spans="1:17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6"/>
    </row>
    <row r="1991" spans="1:17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6"/>
    </row>
    <row r="1992" spans="1:17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6"/>
    </row>
    <row r="1993" spans="1:17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6"/>
    </row>
    <row r="1994" spans="1:17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6"/>
    </row>
    <row r="1995" spans="1:17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6"/>
    </row>
    <row r="1996" spans="1:17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6"/>
    </row>
    <row r="1997" spans="1:17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6"/>
    </row>
    <row r="1998" spans="1:17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6"/>
    </row>
    <row r="1999" spans="1:17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6"/>
    </row>
    <row r="2000" spans="1:17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6"/>
    </row>
    <row r="2001" spans="1:17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6"/>
    </row>
    <row r="2002" spans="1:17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6"/>
    </row>
    <row r="2003" spans="1:17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6"/>
    </row>
    <row r="2004" spans="1:17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6"/>
    </row>
    <row r="2005" spans="1:17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6"/>
    </row>
    <row r="2006" spans="1:17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6"/>
    </row>
    <row r="2007" spans="1:17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6"/>
    </row>
    <row r="2008" spans="1:17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6"/>
    </row>
    <row r="2009" spans="1:17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6"/>
    </row>
    <row r="2010" spans="1:17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6"/>
    </row>
    <row r="2011" spans="1:17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6"/>
    </row>
    <row r="2012" spans="1:17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6"/>
    </row>
    <row r="2013" spans="1:17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6"/>
    </row>
    <row r="2014" spans="1:17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6"/>
    </row>
    <row r="2015" spans="1:17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6"/>
    </row>
    <row r="2016" spans="1:17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6"/>
    </row>
    <row r="2017" spans="1:17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6"/>
    </row>
    <row r="2018" spans="1:17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6"/>
    </row>
    <row r="2019" spans="1:17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6"/>
    </row>
    <row r="2020" spans="1:17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6"/>
    </row>
    <row r="2021" spans="1:17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6"/>
    </row>
    <row r="2022" spans="1:17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6"/>
    </row>
    <row r="2023" spans="1:17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6"/>
    </row>
    <row r="2024" spans="1:17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6"/>
    </row>
    <row r="2025" spans="1:17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6"/>
    </row>
    <row r="2026" spans="1:17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6"/>
    </row>
    <row r="2027" spans="1:17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6"/>
    </row>
    <row r="2028" spans="1:17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6"/>
    </row>
    <row r="2029" spans="1:17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6"/>
    </row>
    <row r="2030" spans="1:17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6"/>
    </row>
    <row r="2031" spans="1:17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6"/>
    </row>
    <row r="2032" spans="1:17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6"/>
    </row>
    <row r="2033" spans="1:17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6"/>
    </row>
    <row r="2034" spans="1:17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6"/>
    </row>
    <row r="2035" spans="1:17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6"/>
    </row>
    <row r="2036" spans="1:17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6"/>
    </row>
    <row r="2037" spans="1:17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6"/>
    </row>
    <row r="2038" spans="1:17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6"/>
    </row>
    <row r="2039" spans="1:17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6"/>
    </row>
    <row r="2040" spans="1:17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6"/>
    </row>
    <row r="2041" spans="1:17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6"/>
    </row>
    <row r="2042" spans="1:17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6"/>
    </row>
    <row r="2043" spans="1:17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6"/>
    </row>
    <row r="2044" spans="1:17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6"/>
    </row>
    <row r="2045" spans="1:17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6"/>
    </row>
    <row r="2046" spans="1:17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6"/>
    </row>
    <row r="2047" spans="1:17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6"/>
    </row>
    <row r="2048" spans="1:17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6"/>
    </row>
    <row r="2049" spans="1:17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6"/>
    </row>
    <row r="2050" spans="1:17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6"/>
    </row>
    <row r="2051" spans="1:17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6"/>
    </row>
    <row r="2052" spans="1:17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6"/>
    </row>
    <row r="2053" spans="1:17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6"/>
    </row>
    <row r="2054" spans="1:17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6"/>
    </row>
    <row r="2055" spans="1:17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6"/>
    </row>
    <row r="2056" spans="1:17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6"/>
    </row>
    <row r="2057" spans="1:17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6"/>
    </row>
    <row r="2058" spans="1:17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6"/>
    </row>
    <row r="2059" spans="1:17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6"/>
    </row>
    <row r="2060" spans="1:17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6"/>
    </row>
    <row r="2061" spans="1:17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6"/>
    </row>
    <row r="2062" spans="1:17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6"/>
    </row>
    <row r="2063" spans="1:17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6"/>
    </row>
    <row r="2064" spans="1:17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6"/>
    </row>
    <row r="2065" spans="1:17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6"/>
    </row>
    <row r="2066" spans="1:17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6"/>
    </row>
    <row r="2067" spans="1:17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6"/>
    </row>
    <row r="2068" spans="1:17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6"/>
    </row>
    <row r="2069" spans="1:17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6"/>
    </row>
    <row r="2070" spans="1:17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6"/>
    </row>
    <row r="2071" spans="1:17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6"/>
    </row>
    <row r="2072" spans="1:17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6"/>
    </row>
    <row r="2073" spans="1:17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6"/>
    </row>
    <row r="2074" spans="1:17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6"/>
    </row>
    <row r="2075" spans="1:17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6"/>
    </row>
    <row r="2076" spans="1:17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6"/>
    </row>
    <row r="2077" spans="1:17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6"/>
    </row>
    <row r="2078" spans="1:17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6"/>
    </row>
    <row r="2079" spans="1:17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6"/>
    </row>
    <row r="2080" spans="1:17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6"/>
    </row>
    <row r="2081" spans="1:17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6"/>
    </row>
    <row r="2082" spans="1:17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6"/>
    </row>
    <row r="2083" spans="1:17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6"/>
    </row>
    <row r="2084" spans="1:17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6"/>
    </row>
    <row r="2085" spans="1:17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6"/>
    </row>
    <row r="2086" spans="1:17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6"/>
    </row>
    <row r="2087" spans="1:17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6"/>
    </row>
    <row r="2088" spans="1:17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6"/>
    </row>
    <row r="2089" spans="1:17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6"/>
    </row>
    <row r="2090" spans="1:17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6"/>
    </row>
    <row r="2091" spans="1:17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6"/>
    </row>
    <row r="2092" spans="1:17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6"/>
    </row>
    <row r="2093" spans="1:17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6"/>
    </row>
    <row r="2094" spans="1:17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6"/>
    </row>
    <row r="2095" spans="1:17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6"/>
    </row>
    <row r="2096" spans="1:17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6"/>
    </row>
    <row r="2097" spans="1:17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6"/>
    </row>
    <row r="2098" spans="1:17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6"/>
    </row>
    <row r="2099" spans="1:17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6"/>
    </row>
    <row r="2100" spans="1:17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6"/>
    </row>
    <row r="2101" spans="1:17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6"/>
    </row>
    <row r="2102" spans="1:17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6"/>
    </row>
    <row r="2103" spans="1:17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6"/>
    </row>
    <row r="2104" spans="1:17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6"/>
    </row>
    <row r="2105" spans="1:17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6"/>
    </row>
    <row r="2106" spans="1:17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6"/>
    </row>
    <row r="2107" spans="1:17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6"/>
    </row>
    <row r="2108" spans="1:17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6"/>
    </row>
    <row r="2109" spans="1:17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6"/>
    </row>
    <row r="2110" spans="1:17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6"/>
    </row>
    <row r="2111" spans="1:17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6"/>
    </row>
    <row r="2112" spans="1:17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6"/>
    </row>
    <row r="2113" spans="1:17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6"/>
    </row>
    <row r="2114" spans="1:17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6"/>
    </row>
    <row r="2115" spans="1:17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6"/>
    </row>
    <row r="2116" spans="1:17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6"/>
    </row>
    <row r="2117" spans="1:17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6"/>
    </row>
    <row r="2118" spans="1:17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6"/>
    </row>
    <row r="2119" spans="1:17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6"/>
    </row>
    <row r="2120" spans="1:17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6"/>
    </row>
    <row r="2121" spans="1:17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6"/>
    </row>
    <row r="2122" spans="1:17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6"/>
    </row>
    <row r="2123" spans="1:17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6"/>
    </row>
    <row r="2124" spans="1:17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6"/>
    </row>
    <row r="2125" spans="1:17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6"/>
    </row>
    <row r="2126" spans="1:17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6"/>
    </row>
    <row r="2127" spans="1:17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6"/>
    </row>
    <row r="2128" spans="1:17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6"/>
    </row>
    <row r="2129" spans="1:17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6"/>
    </row>
    <row r="2130" spans="1:17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6"/>
    </row>
    <row r="2131" spans="1:17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6"/>
    </row>
    <row r="2132" spans="1:17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6"/>
    </row>
    <row r="2133" spans="1:17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6"/>
    </row>
    <row r="2134" spans="1:17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6"/>
    </row>
    <row r="2135" spans="1:17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6"/>
    </row>
    <row r="2136" spans="1:17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6"/>
    </row>
    <row r="2137" spans="1:17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6"/>
    </row>
    <row r="2138" spans="1:17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6"/>
    </row>
    <row r="2139" spans="1:17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6"/>
    </row>
    <row r="2140" spans="1:17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6"/>
    </row>
    <row r="2141" spans="1:17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6"/>
    </row>
    <row r="2142" spans="1:17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6"/>
    </row>
    <row r="2143" spans="1:17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6"/>
    </row>
    <row r="2144" spans="1:17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6"/>
    </row>
    <row r="2145" spans="1:17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6"/>
    </row>
    <row r="2146" spans="1:17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6"/>
    </row>
    <row r="2147" spans="1:17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6"/>
    </row>
    <row r="2148" spans="1:17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6"/>
    </row>
    <row r="2149" spans="1:17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6"/>
    </row>
    <row r="2150" spans="1:17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6"/>
    </row>
    <row r="2151" spans="1:17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6"/>
    </row>
    <row r="2152" spans="1:17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6"/>
    </row>
    <row r="2153" spans="1:17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6"/>
    </row>
    <row r="2154" spans="1:17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6"/>
    </row>
    <row r="2155" spans="1:17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6"/>
    </row>
    <row r="2156" spans="1:17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6"/>
    </row>
    <row r="2157" spans="1:17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6"/>
    </row>
    <row r="2158" spans="1:17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6"/>
    </row>
    <row r="2159" spans="1:17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6"/>
    </row>
    <row r="2160" spans="1:17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6"/>
    </row>
    <row r="2161" spans="1:17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6"/>
    </row>
    <row r="2162" spans="1:17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6"/>
    </row>
    <row r="2163" spans="1:17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6"/>
    </row>
    <row r="2164" spans="1:17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6"/>
    </row>
    <row r="2165" spans="1:17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6"/>
    </row>
    <row r="2166" spans="1:17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6"/>
    </row>
    <row r="2167" spans="1:17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6"/>
    </row>
    <row r="2168" spans="1:17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6"/>
    </row>
    <row r="2169" spans="1:17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6"/>
    </row>
    <row r="2170" spans="1:17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6"/>
    </row>
    <row r="2171" spans="1:17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6"/>
    </row>
    <row r="2172" spans="1:17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6"/>
    </row>
    <row r="2173" spans="1:17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6"/>
    </row>
    <row r="2174" spans="1:17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6"/>
    </row>
    <row r="2175" spans="1:17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6"/>
    </row>
    <row r="2176" spans="1:17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6"/>
    </row>
    <row r="2177" spans="1:17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6"/>
    </row>
    <row r="2178" spans="1:17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6"/>
    </row>
    <row r="2179" spans="1:17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6"/>
    </row>
    <row r="2180" spans="1:17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6"/>
    </row>
    <row r="2181" spans="1:17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6"/>
    </row>
    <row r="2182" spans="1:17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6"/>
    </row>
    <row r="2183" spans="1:17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6"/>
    </row>
    <row r="2184" spans="1:17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6"/>
    </row>
    <row r="2185" spans="1:17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6"/>
    </row>
    <row r="2186" spans="1:17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6"/>
    </row>
    <row r="2187" spans="1:17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6"/>
    </row>
    <row r="2188" spans="1:17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6"/>
    </row>
    <row r="2189" spans="1:17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6"/>
    </row>
    <row r="2190" spans="1:17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6"/>
    </row>
    <row r="2191" spans="1:17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6"/>
    </row>
    <row r="2192" spans="1:17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6"/>
    </row>
    <row r="2193" spans="1:17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6"/>
    </row>
    <row r="2194" spans="1:17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6"/>
    </row>
    <row r="2195" spans="1:17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6"/>
    </row>
    <row r="2196" spans="1:17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6"/>
    </row>
    <row r="2197" spans="1:17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6"/>
    </row>
    <row r="2198" spans="1:17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6"/>
    </row>
    <row r="2199" spans="1:17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6"/>
    </row>
    <row r="2200" spans="1:17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6"/>
    </row>
    <row r="2201" spans="1:17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6"/>
    </row>
    <row r="2202" spans="1:17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6"/>
    </row>
    <row r="2203" spans="1:17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6"/>
    </row>
    <row r="2204" spans="1:17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6"/>
    </row>
    <row r="2205" spans="1:17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6"/>
    </row>
    <row r="2206" spans="1:17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6"/>
    </row>
    <row r="2207" spans="1:17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6"/>
    </row>
    <row r="2208" spans="1:17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6"/>
    </row>
    <row r="2209" spans="1:17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6"/>
    </row>
    <row r="2210" spans="1:17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6"/>
    </row>
    <row r="2211" spans="1:17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6"/>
    </row>
    <row r="2212" spans="1:17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6"/>
    </row>
    <row r="2213" spans="1:17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6"/>
    </row>
    <row r="2214" spans="1:17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6"/>
    </row>
    <row r="2215" spans="1:17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6"/>
    </row>
    <row r="2216" spans="1:17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6"/>
    </row>
    <row r="2217" spans="1:17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6"/>
    </row>
    <row r="2218" spans="1:17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6"/>
    </row>
    <row r="2219" spans="1:17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6"/>
    </row>
    <row r="2220" spans="1:17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6"/>
    </row>
    <row r="2221" spans="1:17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6"/>
    </row>
    <row r="2222" spans="1:17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6"/>
    </row>
    <row r="2223" spans="1:17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6"/>
    </row>
    <row r="2224" spans="1:17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6"/>
    </row>
    <row r="2225" spans="1:17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6"/>
    </row>
    <row r="2226" spans="1:17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6"/>
    </row>
    <row r="2227" spans="1:17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6"/>
    </row>
    <row r="2228" spans="1:17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6"/>
    </row>
    <row r="2229" spans="1:17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6"/>
    </row>
    <row r="2230" spans="1:17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6"/>
    </row>
    <row r="2231" spans="1:17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6"/>
    </row>
    <row r="2232" spans="1:17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6"/>
    </row>
    <row r="2233" spans="1:17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6"/>
    </row>
    <row r="2234" spans="1:17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6"/>
    </row>
    <row r="2235" spans="1:17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6"/>
    </row>
    <row r="2236" spans="1:17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6"/>
    </row>
    <row r="2237" spans="1:17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6"/>
    </row>
    <row r="2238" spans="1:17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6"/>
    </row>
    <row r="2239" spans="1:17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6"/>
    </row>
    <row r="2240" spans="1:17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6"/>
    </row>
    <row r="2241" spans="1:17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6"/>
    </row>
    <row r="2242" spans="1:17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6"/>
    </row>
    <row r="2243" spans="1:17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6"/>
    </row>
    <row r="2244" spans="1:17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6"/>
    </row>
    <row r="2245" spans="1:17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6"/>
    </row>
    <row r="2246" spans="1:17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6"/>
    </row>
    <row r="2247" spans="1:17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6"/>
    </row>
    <row r="2248" spans="1:17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6"/>
    </row>
    <row r="2249" spans="1:17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6"/>
    </row>
    <row r="2250" spans="1:17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6"/>
    </row>
    <row r="2251" spans="1:17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6"/>
    </row>
    <row r="2252" spans="1:17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6"/>
    </row>
    <row r="2253" spans="1:17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6"/>
    </row>
    <row r="2254" spans="1:17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6"/>
    </row>
    <row r="2255" spans="1:17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6"/>
    </row>
    <row r="2256" spans="1:17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6"/>
    </row>
    <row r="2257" spans="1:17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6"/>
    </row>
    <row r="2258" spans="1:17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6"/>
    </row>
    <row r="2259" spans="1:17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6"/>
    </row>
    <row r="2260" spans="1:17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6"/>
    </row>
    <row r="2261" spans="1:17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6"/>
    </row>
    <row r="2262" spans="1:17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6"/>
    </row>
    <row r="2263" spans="1:17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6"/>
    </row>
    <row r="2264" spans="1:17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6"/>
    </row>
    <row r="2265" spans="1:17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6"/>
    </row>
    <row r="2266" spans="1:17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6"/>
    </row>
    <row r="2267" spans="1:17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6"/>
    </row>
    <row r="2268" spans="1:17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6"/>
    </row>
    <row r="2269" spans="1:17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6"/>
    </row>
    <row r="2270" spans="1:17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6"/>
    </row>
    <row r="2271" spans="1:17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6"/>
    </row>
    <row r="2272" spans="1:17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6"/>
    </row>
    <row r="2273" spans="1:17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6"/>
    </row>
    <row r="2274" spans="1:17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6"/>
    </row>
    <row r="2275" spans="1:17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6"/>
    </row>
    <row r="2276" spans="1:17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6"/>
    </row>
    <row r="2277" spans="1:17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6"/>
    </row>
    <row r="2278" spans="1:17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6"/>
    </row>
    <row r="2279" spans="1:17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6"/>
    </row>
    <row r="2280" spans="1:17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6"/>
    </row>
    <row r="2281" spans="1:17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6"/>
    </row>
    <row r="2282" spans="1:17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6"/>
    </row>
    <row r="2283" spans="1:17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6"/>
    </row>
    <row r="2284" spans="1:17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6"/>
    </row>
    <row r="2285" spans="1:17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6"/>
    </row>
    <row r="2286" spans="1:17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6"/>
    </row>
    <row r="2287" spans="1:17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6"/>
    </row>
    <row r="2288" spans="1:17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6"/>
    </row>
    <row r="2289" spans="1:17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6"/>
    </row>
    <row r="2290" spans="1:17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6"/>
    </row>
    <row r="2291" spans="1:17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6"/>
    </row>
    <row r="2292" spans="1:17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6"/>
    </row>
    <row r="2293" spans="1:17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6"/>
    </row>
    <row r="2294" spans="1:17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6"/>
    </row>
    <row r="2295" spans="1:17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6"/>
    </row>
    <row r="2296" spans="1:17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6"/>
    </row>
    <row r="2297" spans="1:17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6"/>
    </row>
    <row r="2298" spans="1:17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6"/>
    </row>
    <row r="2299" spans="1:17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6"/>
    </row>
    <row r="2300" spans="1:17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6"/>
    </row>
    <row r="2301" spans="1:17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6"/>
    </row>
    <row r="2302" spans="1:17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6"/>
    </row>
    <row r="2303" spans="1:17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6"/>
    </row>
    <row r="2304" spans="1:17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6"/>
    </row>
    <row r="2305" spans="1:17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6"/>
    </row>
    <row r="2306" spans="1:17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6"/>
    </row>
    <row r="2307" spans="1:17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6"/>
    </row>
    <row r="2308" spans="1:17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6"/>
    </row>
    <row r="2309" spans="1:17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6"/>
    </row>
    <row r="2310" spans="1:17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6"/>
    </row>
    <row r="2311" spans="1:17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6"/>
    </row>
    <row r="2312" spans="1:17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6"/>
    </row>
    <row r="2313" spans="1:17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6"/>
    </row>
    <row r="2314" spans="1:17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6"/>
    </row>
    <row r="2315" spans="1:17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6"/>
    </row>
    <row r="2316" spans="1:17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6"/>
    </row>
    <row r="2317" spans="1:17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6"/>
    </row>
    <row r="2318" spans="1:17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6"/>
    </row>
    <row r="2319" spans="1:17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6"/>
    </row>
    <row r="2320" spans="1:17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6"/>
    </row>
    <row r="2321" spans="1:17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6"/>
    </row>
    <row r="2322" spans="1:17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6"/>
    </row>
    <row r="2323" spans="1:17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6"/>
    </row>
    <row r="2324" spans="1:17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6"/>
    </row>
    <row r="2325" spans="1:17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6"/>
    </row>
    <row r="2326" spans="1:17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6"/>
    </row>
    <row r="2327" spans="1:17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6"/>
    </row>
    <row r="2328" spans="1:17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6"/>
    </row>
    <row r="2329" spans="1:17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6"/>
    </row>
    <row r="2330" spans="1:17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6"/>
    </row>
    <row r="2331" spans="1:17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6"/>
    </row>
    <row r="2332" spans="1:17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6"/>
    </row>
    <row r="2333" spans="1:17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6"/>
    </row>
    <row r="2334" spans="1:17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6"/>
    </row>
    <row r="2335" spans="1:17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6"/>
    </row>
    <row r="2336" spans="1:17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6"/>
    </row>
    <row r="2337" spans="1:17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6"/>
    </row>
    <row r="2338" spans="1:17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6"/>
    </row>
    <row r="2339" spans="1:17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6"/>
    </row>
    <row r="2340" spans="1:17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6"/>
    </row>
    <row r="2341" spans="1:17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6"/>
    </row>
    <row r="2342" spans="1:17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6"/>
    </row>
    <row r="2343" spans="1:17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6"/>
    </row>
    <row r="2344" spans="1:17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6"/>
    </row>
    <row r="2345" spans="1:17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6"/>
    </row>
    <row r="2346" spans="1:17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6"/>
    </row>
    <row r="2347" spans="1:17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6"/>
    </row>
    <row r="2348" spans="1:17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6"/>
    </row>
    <row r="2349" spans="1:17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6"/>
    </row>
    <row r="2350" spans="1:17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6"/>
    </row>
    <row r="2351" spans="1:17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6"/>
    </row>
    <row r="2352" spans="1:17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6"/>
    </row>
    <row r="2353" spans="1:17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6"/>
    </row>
    <row r="2354" spans="1:17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6"/>
    </row>
    <row r="2355" spans="1:17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6"/>
    </row>
    <row r="2356" spans="1:17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6"/>
    </row>
    <row r="2357" spans="1:17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6"/>
    </row>
    <row r="2358" spans="1:17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6"/>
    </row>
    <row r="2359" spans="1:17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6"/>
    </row>
    <row r="2360" spans="1:17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6"/>
    </row>
    <row r="2361" spans="1:17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6"/>
    </row>
    <row r="2362" spans="1:17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6"/>
    </row>
    <row r="2363" spans="1:17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6"/>
    </row>
    <row r="2364" spans="1:17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6"/>
    </row>
    <row r="2365" spans="1:17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6"/>
    </row>
    <row r="2366" spans="1:17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6"/>
    </row>
    <row r="2367" spans="1:17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6"/>
    </row>
    <row r="2368" spans="1:17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6"/>
    </row>
    <row r="2369" spans="1:17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6"/>
    </row>
    <row r="2370" spans="1:17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6"/>
    </row>
    <row r="2371" spans="1:17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6"/>
    </row>
    <row r="2372" spans="1:17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6"/>
    </row>
    <row r="2373" spans="1:17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6"/>
    </row>
    <row r="2374" spans="1:17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6"/>
    </row>
    <row r="2375" spans="1:17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6"/>
    </row>
    <row r="2376" spans="1:17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6"/>
    </row>
    <row r="2377" spans="1:17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6"/>
    </row>
    <row r="2378" spans="1:17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6"/>
    </row>
    <row r="2379" spans="1:17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6"/>
    </row>
    <row r="2380" spans="1:17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6"/>
    </row>
    <row r="2381" spans="1:17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6"/>
    </row>
    <row r="2382" spans="1:17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6"/>
    </row>
    <row r="2383" spans="1:17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6"/>
    </row>
    <row r="2384" spans="1:17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6"/>
    </row>
    <row r="2385" spans="1:17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6"/>
    </row>
    <row r="2386" spans="1:17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6"/>
    </row>
    <row r="2387" spans="1:17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6"/>
    </row>
    <row r="2388" spans="1:17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6"/>
    </row>
    <row r="2389" spans="1:17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6"/>
    </row>
    <row r="2390" spans="1:17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6"/>
    </row>
    <row r="2391" spans="1:17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6"/>
    </row>
    <row r="2392" spans="1:17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6"/>
    </row>
    <row r="2393" spans="1:17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6"/>
    </row>
    <row r="2394" spans="1:17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6"/>
    </row>
    <row r="2395" spans="1:17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6"/>
    </row>
    <row r="2396" spans="1:17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6"/>
    </row>
    <row r="2397" spans="1:17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6"/>
    </row>
    <row r="2398" spans="1:17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6"/>
    </row>
    <row r="2399" spans="1:17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6"/>
    </row>
    <row r="2400" spans="1:17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6"/>
    </row>
    <row r="2401" spans="1:17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6"/>
    </row>
    <row r="2402" spans="1:17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6"/>
    </row>
    <row r="2403" spans="1:17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6"/>
    </row>
    <row r="2404" spans="1:17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6"/>
    </row>
    <row r="2405" spans="1:17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6"/>
    </row>
    <row r="2406" spans="1:17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6"/>
    </row>
    <row r="2407" spans="1:17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6"/>
    </row>
    <row r="2408" spans="1:17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6"/>
    </row>
    <row r="2409" spans="1:17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6"/>
    </row>
    <row r="2410" spans="1:17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6"/>
    </row>
    <row r="2411" spans="1:17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6"/>
    </row>
    <row r="2412" spans="1:17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6"/>
    </row>
    <row r="2413" spans="1:17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6"/>
    </row>
    <row r="2414" spans="1:17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6"/>
    </row>
    <row r="2415" spans="1:17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6"/>
    </row>
    <row r="2416" spans="1:17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6"/>
    </row>
    <row r="2417" spans="1:17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6"/>
    </row>
    <row r="2418" spans="1:17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6"/>
    </row>
    <row r="2419" spans="1:17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6"/>
    </row>
    <row r="2420" spans="1:17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6"/>
    </row>
    <row r="2421" spans="1:17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6"/>
    </row>
    <row r="2422" spans="1:17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6"/>
    </row>
    <row r="2423" spans="1:17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6"/>
    </row>
    <row r="2424" spans="1:17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6"/>
    </row>
    <row r="2425" spans="1:17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6"/>
    </row>
    <row r="2426" spans="1:17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6"/>
    </row>
    <row r="2427" spans="1:17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6"/>
    </row>
    <row r="2428" spans="1:17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6"/>
    </row>
    <row r="2429" spans="1:17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6"/>
    </row>
    <row r="2430" spans="1:17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6"/>
    </row>
    <row r="2431" spans="1:17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6"/>
    </row>
    <row r="2432" spans="1:17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6"/>
    </row>
    <row r="2433" spans="1:17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6"/>
    </row>
    <row r="2434" spans="1:17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6"/>
    </row>
    <row r="2435" spans="1:17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6"/>
    </row>
    <row r="2436" spans="1:17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6"/>
    </row>
    <row r="2437" spans="1:17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6"/>
    </row>
    <row r="2438" spans="1:17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6"/>
    </row>
    <row r="2439" spans="1:17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6"/>
    </row>
    <row r="2440" spans="1:17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6"/>
    </row>
    <row r="2441" spans="1:17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6"/>
    </row>
    <row r="2442" spans="1:17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6"/>
    </row>
    <row r="2443" spans="1:17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6"/>
    </row>
    <row r="2444" spans="1:17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6"/>
    </row>
    <row r="2445" spans="1:17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6"/>
    </row>
    <row r="2446" spans="1:17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6"/>
    </row>
    <row r="2447" spans="1:17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6"/>
    </row>
    <row r="2448" spans="1:17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6"/>
    </row>
    <row r="2449" spans="1:17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6"/>
    </row>
    <row r="2450" spans="1:17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6"/>
    </row>
    <row r="2451" spans="1:17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6"/>
    </row>
    <row r="2452" spans="1:17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6"/>
    </row>
    <row r="2453" spans="1:17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6"/>
    </row>
    <row r="2454" spans="1:17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6"/>
    </row>
    <row r="2455" spans="1:17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6"/>
    </row>
    <row r="2456" spans="1:17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6"/>
    </row>
    <row r="2457" spans="1:17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6"/>
    </row>
    <row r="2458" spans="1:17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6"/>
    </row>
    <row r="2459" spans="1:17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6"/>
    </row>
    <row r="2460" spans="1:17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6"/>
    </row>
    <row r="2461" spans="1:17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6"/>
    </row>
    <row r="2462" spans="1:17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6"/>
    </row>
    <row r="2463" spans="1:17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6"/>
    </row>
    <row r="2464" spans="1:17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6"/>
    </row>
    <row r="2465" spans="1:17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6"/>
    </row>
    <row r="2466" spans="1:17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6"/>
    </row>
    <row r="2467" spans="1:17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6"/>
    </row>
    <row r="2468" spans="1:17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6"/>
    </row>
    <row r="2469" spans="1:17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6"/>
    </row>
    <row r="2470" spans="1:17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6"/>
    </row>
    <row r="2471" spans="1:17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6"/>
    </row>
    <row r="2472" spans="1:17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6"/>
    </row>
    <row r="2473" spans="1:17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6"/>
    </row>
    <row r="2474" spans="1:17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6"/>
    </row>
    <row r="2475" spans="1:17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6"/>
    </row>
    <row r="2476" spans="1:17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6"/>
    </row>
    <row r="2477" spans="1:17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6"/>
    </row>
    <row r="2478" spans="1:17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6"/>
    </row>
    <row r="2479" spans="1:17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6"/>
    </row>
    <row r="2480" spans="1:17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6"/>
    </row>
    <row r="2481" spans="1:17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6"/>
    </row>
    <row r="2482" spans="1:17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6"/>
    </row>
    <row r="2483" spans="1:17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6"/>
    </row>
    <row r="2484" spans="1:17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6"/>
    </row>
    <row r="2485" spans="1:17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6"/>
    </row>
    <row r="2486" spans="1:17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6"/>
    </row>
    <row r="2487" spans="1:17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6"/>
    </row>
    <row r="2488" spans="1:17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6"/>
    </row>
    <row r="2489" spans="1:17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6"/>
    </row>
    <row r="2490" spans="1:17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6"/>
    </row>
    <row r="2491" spans="1:17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6"/>
    </row>
    <row r="2492" spans="1:17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6"/>
    </row>
    <row r="2493" spans="1:17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6"/>
    </row>
    <row r="2494" spans="1:17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6"/>
    </row>
    <row r="2495" spans="1:17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6"/>
    </row>
    <row r="2496" spans="1:17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6"/>
    </row>
    <row r="2497" spans="1:17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6"/>
    </row>
    <row r="2498" spans="1:17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6"/>
    </row>
    <row r="2499" spans="1:17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6"/>
    </row>
    <row r="2500" spans="1:17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6"/>
    </row>
    <row r="2501" spans="1:17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6"/>
    </row>
    <row r="2502" spans="1:17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6"/>
    </row>
    <row r="2503" spans="1:17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6"/>
    </row>
    <row r="2504" spans="1:17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6"/>
    </row>
    <row r="2505" spans="1:17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6"/>
    </row>
    <row r="2506" spans="1:17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6"/>
    </row>
    <row r="2507" spans="1:17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6"/>
    </row>
    <row r="2508" spans="1:17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6"/>
    </row>
    <row r="2509" spans="1:17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6"/>
    </row>
    <row r="2510" spans="1:17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6"/>
    </row>
    <row r="2511" spans="1:17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6"/>
    </row>
    <row r="2512" spans="1:17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6"/>
    </row>
    <row r="2513" spans="1:17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6"/>
    </row>
    <row r="2514" spans="1:17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6"/>
    </row>
    <row r="2515" spans="1:17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6"/>
    </row>
    <row r="2516" spans="1:17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6"/>
    </row>
    <row r="2517" spans="1:17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6"/>
    </row>
    <row r="2518" spans="1:17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6"/>
    </row>
    <row r="2519" spans="1:17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6"/>
    </row>
    <row r="2520" spans="1:17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6"/>
    </row>
    <row r="2521" spans="1:17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6"/>
    </row>
    <row r="2522" spans="1:17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6"/>
    </row>
    <row r="2523" spans="1:17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6"/>
    </row>
    <row r="2524" spans="1:17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6"/>
    </row>
    <row r="2525" spans="1:17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6"/>
    </row>
    <row r="2526" spans="1:17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6"/>
    </row>
    <row r="2527" spans="1:17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6"/>
    </row>
    <row r="2528" spans="1:17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6"/>
    </row>
    <row r="2529" spans="1:17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6"/>
    </row>
    <row r="2530" spans="1:17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6"/>
    </row>
    <row r="2531" spans="1:17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6"/>
    </row>
    <row r="2532" spans="1:17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6"/>
    </row>
    <row r="2533" spans="1:17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6"/>
    </row>
    <row r="2534" spans="1:17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6"/>
    </row>
    <row r="2535" spans="1:17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6"/>
    </row>
    <row r="2536" spans="1:17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6"/>
    </row>
    <row r="2537" spans="1:17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6"/>
    </row>
    <row r="2538" spans="1:17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6"/>
    </row>
    <row r="2539" spans="1:17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6"/>
    </row>
    <row r="2540" spans="1:17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6"/>
    </row>
    <row r="2541" spans="1:17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6"/>
    </row>
    <row r="2542" spans="1:17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6"/>
    </row>
    <row r="2543" spans="1:17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6"/>
    </row>
    <row r="2544" spans="1:17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6"/>
    </row>
    <row r="2545" spans="1:17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6"/>
    </row>
    <row r="2546" spans="1:17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6"/>
    </row>
    <row r="2547" spans="1:17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6"/>
    </row>
    <row r="2548" spans="1:17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6"/>
    </row>
    <row r="2549" spans="1:17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6"/>
    </row>
    <row r="2550" spans="1:17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6"/>
    </row>
    <row r="2551" spans="1:17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6"/>
    </row>
    <row r="2552" spans="1:17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6"/>
    </row>
    <row r="2553" spans="1:17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6"/>
    </row>
    <row r="2554" spans="1:17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6"/>
    </row>
    <row r="2555" spans="1:17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6"/>
    </row>
    <row r="2556" spans="1:17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6"/>
    </row>
    <row r="2557" spans="1:17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6"/>
    </row>
    <row r="2558" spans="1:17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6"/>
    </row>
    <row r="2559" spans="1:17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6"/>
    </row>
    <row r="2560" spans="1:17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6"/>
    </row>
    <row r="2561" spans="1:17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6"/>
    </row>
    <row r="2562" spans="1:17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6"/>
    </row>
    <row r="2563" spans="1:17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6"/>
    </row>
    <row r="2564" spans="1:17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6"/>
    </row>
    <row r="2565" spans="1:17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6"/>
    </row>
    <row r="2566" spans="1:17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6"/>
    </row>
    <row r="2567" spans="1:17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6"/>
    </row>
    <row r="2568" spans="1:17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6"/>
    </row>
    <row r="2569" spans="1:17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6"/>
    </row>
    <row r="2570" spans="1:17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6"/>
    </row>
    <row r="2571" spans="1:17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6"/>
    </row>
    <row r="2572" spans="1:17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6"/>
    </row>
    <row r="2573" spans="1:17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6"/>
    </row>
    <row r="2574" spans="1:17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6"/>
    </row>
    <row r="2575" spans="1:17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6"/>
    </row>
    <row r="2576" spans="1:17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6"/>
    </row>
    <row r="2577" spans="1:17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6"/>
    </row>
    <row r="2578" spans="1:17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6"/>
    </row>
    <row r="2579" spans="1:17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6"/>
    </row>
    <row r="2580" spans="1:17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6"/>
    </row>
    <row r="2581" spans="1:17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6"/>
    </row>
    <row r="2582" spans="1:17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6"/>
    </row>
    <row r="2583" spans="1:17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6"/>
    </row>
    <row r="2584" spans="1:17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6"/>
    </row>
    <row r="2585" spans="1:17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6"/>
    </row>
    <row r="2586" spans="1:17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6"/>
    </row>
    <row r="2587" spans="1:17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6"/>
    </row>
    <row r="2588" spans="1:17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6"/>
    </row>
    <row r="2589" spans="1:17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6"/>
    </row>
    <row r="2590" spans="1:17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6"/>
    </row>
    <row r="2591" spans="1:17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6"/>
    </row>
    <row r="2592" spans="1:17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6"/>
    </row>
    <row r="2593" spans="1:17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6"/>
    </row>
    <row r="2594" spans="1:17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6"/>
    </row>
    <row r="2595" spans="1:17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6"/>
    </row>
    <row r="2596" spans="1:17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6"/>
    </row>
    <row r="2597" spans="1:17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6"/>
    </row>
    <row r="2598" spans="1:17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6"/>
    </row>
    <row r="2599" spans="1:17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6"/>
    </row>
    <row r="2600" spans="1:17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6"/>
    </row>
    <row r="2601" spans="1:17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6"/>
    </row>
    <row r="2602" spans="1:17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6"/>
    </row>
    <row r="2603" spans="1:17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6"/>
    </row>
    <row r="2604" spans="1:17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6"/>
    </row>
    <row r="2605" spans="1:17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6"/>
    </row>
    <row r="2606" spans="1:17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6"/>
    </row>
    <row r="2607" spans="1:17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6"/>
    </row>
    <row r="2608" spans="1:17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6"/>
    </row>
    <row r="2609" spans="1:17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6"/>
    </row>
    <row r="2610" spans="1:17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6"/>
    </row>
    <row r="2611" spans="1:17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6"/>
    </row>
    <row r="2612" spans="1:17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6"/>
    </row>
    <row r="2613" spans="1:17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6"/>
    </row>
    <row r="2614" spans="1:17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6"/>
    </row>
    <row r="2615" spans="1:17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6"/>
    </row>
    <row r="2616" spans="1:17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6"/>
    </row>
    <row r="2617" spans="1:17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6"/>
    </row>
    <row r="2618" spans="1:17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6"/>
    </row>
    <row r="2619" spans="1:17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6"/>
    </row>
    <row r="2620" spans="1:17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6"/>
    </row>
    <row r="2621" spans="1:17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6"/>
    </row>
    <row r="2622" spans="1:17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6"/>
    </row>
    <row r="2623" spans="1:17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6"/>
    </row>
    <row r="2624" spans="1:17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6"/>
    </row>
    <row r="2625" spans="1:17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6"/>
    </row>
    <row r="2626" spans="1:17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6"/>
    </row>
    <row r="2627" spans="1:17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6"/>
    </row>
    <row r="2628" spans="1:17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6"/>
    </row>
    <row r="2629" spans="1:17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6"/>
    </row>
    <row r="2630" spans="1:17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6"/>
    </row>
    <row r="2631" spans="1:17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6"/>
    </row>
    <row r="2632" spans="1:17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6"/>
    </row>
    <row r="2633" spans="1:17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6"/>
    </row>
    <row r="2634" spans="1:17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6"/>
    </row>
    <row r="2635" spans="1:17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6"/>
    </row>
    <row r="2636" spans="1:17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6"/>
    </row>
    <row r="2637" spans="1:17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6"/>
    </row>
    <row r="2638" spans="1:17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6"/>
    </row>
    <row r="2639" spans="1:17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6"/>
    </row>
    <row r="2640" spans="1:17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6"/>
    </row>
    <row r="2641" spans="1:17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6"/>
    </row>
    <row r="2642" spans="1:17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6"/>
    </row>
    <row r="2643" spans="1:17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6"/>
    </row>
    <row r="2644" spans="1:17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6"/>
    </row>
    <row r="2645" spans="1:17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6"/>
    </row>
    <row r="2646" spans="1:17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6"/>
    </row>
    <row r="2647" spans="1:17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6"/>
    </row>
    <row r="2648" spans="1:17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6"/>
    </row>
    <row r="2649" spans="1:17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6"/>
    </row>
    <row r="2650" spans="1:17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6"/>
    </row>
    <row r="2651" spans="1:17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6"/>
    </row>
    <row r="2652" spans="1:17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6"/>
    </row>
    <row r="2653" spans="1:17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6"/>
    </row>
    <row r="2654" spans="1:17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6"/>
    </row>
    <row r="2655" spans="1:17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6"/>
    </row>
    <row r="2656" spans="1:17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6"/>
    </row>
    <row r="2657" spans="1:17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6"/>
    </row>
    <row r="2658" spans="1:17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6"/>
    </row>
    <row r="2659" spans="1:17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6"/>
    </row>
    <row r="2660" spans="1:17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6"/>
    </row>
    <row r="2661" spans="1:17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6"/>
    </row>
    <row r="2662" spans="1:17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6"/>
    </row>
    <row r="2663" spans="1:17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6"/>
    </row>
    <row r="2664" spans="1:17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6"/>
    </row>
    <row r="2665" spans="1:17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6"/>
    </row>
    <row r="2666" spans="1:17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6"/>
    </row>
    <row r="2667" spans="1:17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6"/>
    </row>
    <row r="2668" spans="1:17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6"/>
    </row>
    <row r="2669" spans="1:17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6"/>
    </row>
    <row r="2670" spans="1:17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6"/>
    </row>
    <row r="2671" spans="1:17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6"/>
    </row>
    <row r="2672" spans="1:17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6"/>
    </row>
    <row r="2673" spans="1:17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6"/>
    </row>
    <row r="2674" spans="1:17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6"/>
    </row>
    <row r="2675" spans="1:17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6"/>
    </row>
    <row r="2676" spans="1:17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6"/>
    </row>
    <row r="2677" spans="1:17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6"/>
    </row>
    <row r="2678" spans="1:17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6"/>
    </row>
    <row r="2679" spans="1:17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6"/>
    </row>
    <row r="2680" spans="1:17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6"/>
    </row>
    <row r="2681" spans="1:17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6"/>
    </row>
    <row r="2682" spans="1:17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6"/>
    </row>
    <row r="2683" spans="1:17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6"/>
    </row>
    <row r="2684" spans="1:17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6"/>
    </row>
    <row r="2685" spans="1:17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6"/>
    </row>
    <row r="2686" spans="1:17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6"/>
    </row>
    <row r="2687" spans="1:17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6"/>
    </row>
    <row r="2688" spans="1:17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6"/>
    </row>
    <row r="2689" spans="1:17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6"/>
    </row>
    <row r="2690" spans="1:17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6"/>
    </row>
    <row r="2691" spans="1:17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6"/>
    </row>
    <row r="2692" spans="1:17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6"/>
    </row>
    <row r="2693" spans="1:17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6"/>
    </row>
    <row r="2694" spans="1:17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6"/>
    </row>
    <row r="2695" spans="1:17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6"/>
    </row>
    <row r="2696" spans="1:17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6"/>
    </row>
    <row r="2697" spans="1:17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6"/>
    </row>
    <row r="2698" spans="1:17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6"/>
    </row>
    <row r="2699" spans="1:17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6"/>
    </row>
    <row r="2700" spans="1:17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6"/>
    </row>
    <row r="2701" spans="1:17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6"/>
    </row>
    <row r="2702" spans="1:17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6"/>
    </row>
    <row r="2703" spans="1:17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6"/>
    </row>
    <row r="2704" spans="1:17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6"/>
    </row>
    <row r="2705" spans="1:17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6"/>
    </row>
    <row r="2706" spans="1:17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6"/>
    </row>
    <row r="2707" spans="1:17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6"/>
    </row>
    <row r="2708" spans="1:17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6"/>
    </row>
    <row r="2709" spans="1:17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6"/>
    </row>
    <row r="2710" spans="1:17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6"/>
    </row>
    <row r="2711" spans="1:17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6"/>
    </row>
    <row r="2712" spans="1:17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6"/>
    </row>
    <row r="2713" spans="1:17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6"/>
    </row>
    <row r="2714" spans="1:17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6"/>
    </row>
    <row r="2715" spans="1:17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6"/>
    </row>
    <row r="2716" spans="1:17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6"/>
    </row>
    <row r="2717" spans="1:17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6"/>
    </row>
    <row r="2718" spans="1:17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6"/>
    </row>
    <row r="2719" spans="1:17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6"/>
    </row>
    <row r="2720" spans="1:17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6"/>
    </row>
    <row r="2721" spans="1:17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6"/>
    </row>
    <row r="2722" spans="1:17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6"/>
    </row>
    <row r="2723" spans="1:17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6"/>
    </row>
    <row r="2724" spans="1:17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6"/>
    </row>
    <row r="2725" spans="1:17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6"/>
    </row>
    <row r="2726" spans="1:17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6"/>
    </row>
    <row r="2727" spans="1:17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6"/>
    </row>
    <row r="2728" spans="1:17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6"/>
    </row>
    <row r="2729" spans="1:17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6"/>
    </row>
    <row r="2730" spans="1:17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6"/>
    </row>
    <row r="2731" spans="1:17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6"/>
    </row>
    <row r="2732" spans="1:17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6"/>
    </row>
    <row r="2733" spans="1:17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6"/>
    </row>
    <row r="2734" spans="1:17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6"/>
    </row>
    <row r="2735" spans="1:17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6"/>
    </row>
    <row r="2736" spans="1:17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6"/>
    </row>
    <row r="2737" spans="1:17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6"/>
    </row>
    <row r="2738" spans="1:17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6"/>
    </row>
    <row r="2739" spans="1:17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6"/>
    </row>
    <row r="2740" spans="1:17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6"/>
    </row>
    <row r="2741" spans="1:17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6"/>
    </row>
    <row r="2742" spans="1:17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6"/>
    </row>
    <row r="2743" spans="1:17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6"/>
    </row>
    <row r="2744" spans="1:17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6"/>
    </row>
    <row r="2745" spans="1:17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6"/>
    </row>
    <row r="2746" spans="1:17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6"/>
    </row>
    <row r="2747" spans="1:17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6"/>
    </row>
    <row r="2748" spans="1:17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6"/>
    </row>
    <row r="2749" spans="1:17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6"/>
    </row>
    <row r="2750" spans="1:17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6"/>
    </row>
    <row r="2751" spans="1:17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6"/>
    </row>
    <row r="2752" spans="1:17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6"/>
    </row>
    <row r="2753" spans="1:17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6"/>
    </row>
    <row r="2754" spans="1:17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6"/>
    </row>
    <row r="2755" spans="1:17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6"/>
    </row>
    <row r="2756" spans="1:17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6"/>
    </row>
    <row r="2757" spans="1:17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6"/>
    </row>
    <row r="2758" spans="1:17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6"/>
    </row>
    <row r="2759" spans="1:17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6"/>
    </row>
    <row r="2760" spans="1:17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6"/>
    </row>
    <row r="2761" spans="1:17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6"/>
    </row>
    <row r="2762" spans="1:17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6"/>
    </row>
    <row r="2763" spans="1:17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6"/>
    </row>
    <row r="2764" spans="1:17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6"/>
    </row>
    <row r="2765" spans="1:17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6"/>
    </row>
    <row r="2766" spans="1:17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6"/>
    </row>
    <row r="2767" spans="1:17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6"/>
    </row>
    <row r="2768" spans="1:17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6"/>
    </row>
    <row r="2769" spans="1:17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6"/>
    </row>
    <row r="2770" spans="1:17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6"/>
    </row>
    <row r="2771" spans="1:17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6"/>
    </row>
    <row r="2772" spans="1:17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6"/>
    </row>
    <row r="2773" spans="1:17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6"/>
    </row>
    <row r="2774" spans="1:17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6"/>
    </row>
    <row r="2775" spans="1:17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6"/>
    </row>
    <row r="2776" spans="1:17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6"/>
    </row>
    <row r="2777" spans="1:17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6"/>
    </row>
    <row r="2778" spans="1:17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6"/>
    </row>
    <row r="2779" spans="1:17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6"/>
    </row>
    <row r="2780" spans="1:17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6"/>
    </row>
    <row r="2781" spans="1:17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6"/>
    </row>
    <row r="2782" spans="1:17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6"/>
    </row>
    <row r="2783" spans="1:17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6"/>
    </row>
    <row r="2784" spans="1:17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6"/>
    </row>
    <row r="2785" spans="1:17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6"/>
    </row>
    <row r="2786" spans="1:17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6"/>
    </row>
    <row r="2787" spans="1:17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6"/>
    </row>
    <row r="2788" spans="1:17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6"/>
    </row>
    <row r="2789" spans="1:17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6"/>
    </row>
    <row r="2790" spans="1:17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6"/>
    </row>
    <row r="2791" spans="1:17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6"/>
    </row>
    <row r="2792" spans="1:17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6"/>
    </row>
    <row r="2793" spans="1:17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6"/>
    </row>
    <row r="2794" spans="1:17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6"/>
    </row>
    <row r="2795" spans="1:17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6"/>
    </row>
    <row r="2796" spans="1:17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6"/>
    </row>
    <row r="2797" spans="1:17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6"/>
    </row>
    <row r="2798" spans="1:17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6"/>
    </row>
    <row r="2799" spans="1:17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6"/>
    </row>
    <row r="2800" spans="1:17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6"/>
    </row>
    <row r="2801" spans="1:17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6"/>
    </row>
    <row r="2802" spans="1:17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6"/>
    </row>
    <row r="2803" spans="1:17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6"/>
    </row>
    <row r="2804" spans="1:17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6"/>
    </row>
    <row r="2805" spans="1:17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6"/>
    </row>
    <row r="2806" spans="1:17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6"/>
    </row>
    <row r="2807" spans="1:17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6"/>
    </row>
    <row r="2808" spans="1:17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6"/>
    </row>
    <row r="2809" spans="1:17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6"/>
    </row>
    <row r="2810" spans="1:17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6"/>
    </row>
    <row r="2811" spans="1:17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6"/>
    </row>
    <row r="2812" spans="1:17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6"/>
    </row>
    <row r="2813" spans="1:17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6"/>
    </row>
    <row r="2814" spans="1:17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6"/>
    </row>
    <row r="2815" spans="1:17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6"/>
    </row>
    <row r="2816" spans="1:17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6"/>
    </row>
    <row r="2817" spans="1:17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6"/>
    </row>
    <row r="2818" spans="1:17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6"/>
    </row>
    <row r="2819" spans="1:17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6"/>
    </row>
    <row r="2820" spans="1:17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6"/>
    </row>
    <row r="2821" spans="1:17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6"/>
    </row>
    <row r="2822" spans="1:17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6"/>
    </row>
    <row r="2823" spans="1:17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6"/>
    </row>
    <row r="2824" spans="1:17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6"/>
    </row>
    <row r="2825" spans="1:17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6"/>
    </row>
    <row r="2826" spans="1:17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6"/>
    </row>
    <row r="2827" spans="1:17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6"/>
    </row>
    <row r="2828" spans="1:17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6"/>
    </row>
    <row r="2829" spans="1:17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6"/>
    </row>
    <row r="2830" spans="1:17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6"/>
    </row>
    <row r="2831" spans="1:17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6"/>
    </row>
    <row r="2832" spans="1:17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6"/>
    </row>
    <row r="2833" spans="1:17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6"/>
    </row>
    <row r="2834" spans="1:17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6"/>
    </row>
    <row r="2835" spans="1:17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6"/>
    </row>
    <row r="2836" spans="1:17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6"/>
    </row>
    <row r="2837" spans="1:17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6"/>
    </row>
    <row r="2838" spans="1:17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6"/>
    </row>
    <row r="2839" spans="1:17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6"/>
    </row>
    <row r="2840" spans="1:17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6"/>
    </row>
    <row r="2841" spans="1:17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6"/>
    </row>
    <row r="2842" spans="1:17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6"/>
    </row>
    <row r="2843" spans="1:17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6"/>
    </row>
    <row r="2844" spans="1:17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6"/>
    </row>
    <row r="2845" spans="1:17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6"/>
    </row>
    <row r="2846" spans="1:17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6"/>
    </row>
    <row r="2847" spans="1:17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6"/>
    </row>
    <row r="2848" spans="1:17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6"/>
    </row>
    <row r="2849" spans="1:17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6"/>
    </row>
    <row r="2850" spans="1:17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6"/>
    </row>
    <row r="2851" spans="1:17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6"/>
    </row>
    <row r="2852" spans="1:17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6"/>
    </row>
    <row r="2853" spans="1:17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6"/>
    </row>
    <row r="2854" spans="1:17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6"/>
    </row>
    <row r="2855" spans="1:17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6"/>
    </row>
    <row r="2856" spans="1:17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6"/>
    </row>
    <row r="2857" spans="1:17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6"/>
    </row>
    <row r="2858" spans="1:17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6"/>
    </row>
    <row r="2859" spans="1:17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6"/>
    </row>
    <row r="2860" spans="1:17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6"/>
    </row>
    <row r="2861" spans="1:17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6"/>
    </row>
    <row r="2862" spans="1:17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6"/>
    </row>
    <row r="2863" spans="1:17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6"/>
    </row>
    <row r="2864" spans="1:17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6"/>
    </row>
    <row r="2865" spans="1:17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6"/>
    </row>
    <row r="2866" spans="1:17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6"/>
    </row>
    <row r="2867" spans="1:17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6"/>
    </row>
    <row r="2868" spans="1:17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6"/>
    </row>
    <row r="2869" spans="1:17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6"/>
    </row>
    <row r="2870" spans="1:17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6"/>
    </row>
    <row r="2871" spans="1:17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6"/>
    </row>
    <row r="2872" spans="1:17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6"/>
    </row>
    <row r="2873" spans="1:17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6"/>
    </row>
    <row r="2874" spans="1:17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6"/>
    </row>
    <row r="2875" spans="1:17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6"/>
    </row>
    <row r="2876" spans="1:17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6"/>
    </row>
    <row r="2877" spans="1:17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6"/>
    </row>
    <row r="2878" spans="1:17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6"/>
    </row>
    <row r="2879" spans="1:17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6"/>
    </row>
    <row r="2880" spans="1:17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6"/>
    </row>
    <row r="2881" spans="1:17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6"/>
    </row>
    <row r="2882" spans="1:17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6"/>
    </row>
    <row r="2883" spans="1:17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6"/>
    </row>
    <row r="2884" spans="1:17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6"/>
    </row>
    <row r="2885" spans="1:17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6"/>
    </row>
    <row r="2886" spans="1:17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6"/>
    </row>
    <row r="2887" spans="1:17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6"/>
    </row>
    <row r="2888" spans="1:17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6"/>
    </row>
    <row r="2889" spans="1:17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6"/>
    </row>
    <row r="2890" spans="1:17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6"/>
    </row>
    <row r="2891" spans="1:17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6"/>
    </row>
    <row r="2892" spans="1:17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6"/>
    </row>
    <row r="2893" spans="1:17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6"/>
    </row>
    <row r="2894" spans="1:17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6"/>
    </row>
    <row r="2895" spans="1:17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6"/>
    </row>
    <row r="2896" spans="1:17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6"/>
    </row>
    <row r="2897" spans="1:17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6"/>
    </row>
    <row r="2898" spans="1:17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6"/>
    </row>
    <row r="2899" spans="1:17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6"/>
    </row>
    <row r="2900" spans="1:17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6"/>
    </row>
    <row r="2901" spans="1:17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6"/>
    </row>
    <row r="2902" spans="1:17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6"/>
    </row>
    <row r="2903" spans="1:17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6"/>
    </row>
    <row r="2904" spans="1:17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6"/>
    </row>
    <row r="2905" spans="1:17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6"/>
    </row>
    <row r="2906" spans="1:17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6"/>
    </row>
    <row r="2907" spans="1:17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6"/>
    </row>
    <row r="2908" spans="1:17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6"/>
    </row>
    <row r="2909" spans="1:17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6"/>
    </row>
    <row r="2910" spans="1:17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6"/>
    </row>
    <row r="2911" spans="1:17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6"/>
    </row>
    <row r="2912" spans="1:17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6"/>
    </row>
    <row r="2913" spans="1:17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6"/>
    </row>
    <row r="2914" spans="1:17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6"/>
    </row>
    <row r="2915" spans="1:17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6"/>
    </row>
    <row r="2916" spans="1:17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6"/>
    </row>
    <row r="2917" spans="1:17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6"/>
    </row>
    <row r="2918" spans="1:17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6"/>
    </row>
    <row r="2919" spans="1:17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6"/>
    </row>
    <row r="2920" spans="1:17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6"/>
    </row>
    <row r="2921" spans="1:17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6"/>
    </row>
    <row r="2922" spans="1:17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6"/>
    </row>
    <row r="2923" spans="1:17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6"/>
    </row>
    <row r="2924" spans="1:17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6"/>
    </row>
    <row r="2925" spans="1:17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6"/>
    </row>
    <row r="2926" spans="1:17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6"/>
    </row>
    <row r="2927" spans="1:17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6"/>
    </row>
    <row r="2928" spans="1:17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6"/>
    </row>
    <row r="2929" spans="1:17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6"/>
    </row>
    <row r="2930" spans="1:17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6"/>
    </row>
    <row r="2931" spans="1:17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6"/>
    </row>
    <row r="2932" spans="1:17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6"/>
    </row>
    <row r="2933" spans="1:17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6"/>
    </row>
    <row r="2934" spans="1:17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6"/>
    </row>
    <row r="2935" spans="1:17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6"/>
    </row>
    <row r="2936" spans="1:17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6"/>
    </row>
    <row r="2937" spans="1:17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6"/>
    </row>
    <row r="2938" spans="1:17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6"/>
    </row>
    <row r="2939" spans="1:17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6"/>
    </row>
    <row r="2940" spans="1:17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6"/>
    </row>
    <row r="2941" spans="1:17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6"/>
    </row>
    <row r="2942" spans="1:17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6"/>
    </row>
    <row r="2943" spans="1:17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6"/>
    </row>
    <row r="2944" spans="1:17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6"/>
    </row>
    <row r="2945" spans="1:17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6"/>
    </row>
    <row r="2946" spans="1:17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6"/>
    </row>
    <row r="2947" spans="1:17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6"/>
    </row>
    <row r="2948" spans="1:17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6"/>
    </row>
    <row r="2949" spans="1:17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6"/>
    </row>
    <row r="2950" spans="1:17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6"/>
    </row>
    <row r="2951" spans="1:17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6"/>
    </row>
    <row r="2952" spans="1:17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6"/>
    </row>
    <row r="2953" spans="1:17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6"/>
    </row>
    <row r="2954" spans="1:17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6"/>
    </row>
    <row r="2955" spans="1:17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6"/>
    </row>
    <row r="2956" spans="1:17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6"/>
    </row>
    <row r="2957" spans="1:17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6"/>
    </row>
    <row r="2958" spans="1:17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6"/>
    </row>
    <row r="2959" spans="1:17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6"/>
    </row>
    <row r="2960" spans="1:17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6"/>
    </row>
    <row r="2961" spans="1:17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6"/>
    </row>
    <row r="2962" spans="1:17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6"/>
    </row>
    <row r="2963" spans="1:17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6"/>
    </row>
    <row r="2964" spans="1:17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6"/>
    </row>
    <row r="2965" spans="1:17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6"/>
    </row>
    <row r="2966" spans="1:17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6"/>
    </row>
    <row r="2967" spans="1:17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6"/>
    </row>
    <row r="2968" spans="1:17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6"/>
    </row>
    <row r="2969" spans="1:17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6"/>
    </row>
    <row r="2970" spans="1:17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6"/>
    </row>
    <row r="2971" spans="1:17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6"/>
    </row>
    <row r="2972" spans="1:17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6"/>
    </row>
    <row r="2973" spans="1:17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6"/>
    </row>
    <row r="2974" spans="1:17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6"/>
    </row>
    <row r="2975" spans="1:17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6"/>
    </row>
    <row r="2976" spans="1:17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6"/>
    </row>
    <row r="2977" spans="1:17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6"/>
    </row>
    <row r="2978" spans="1:17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6"/>
    </row>
    <row r="2979" spans="1:17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6"/>
    </row>
    <row r="2980" spans="1:17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6"/>
    </row>
    <row r="2981" spans="1:17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6"/>
    </row>
    <row r="2982" spans="1:17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6"/>
    </row>
    <row r="2983" spans="1:17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6"/>
    </row>
    <row r="2984" spans="1:17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6"/>
    </row>
    <row r="2985" spans="1:17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6"/>
    </row>
    <row r="2986" spans="1:17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6"/>
    </row>
    <row r="2987" spans="1:17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6"/>
    </row>
    <row r="2988" spans="1:17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6"/>
    </row>
    <row r="2989" spans="1:17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6"/>
    </row>
    <row r="2990" spans="1:17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6"/>
    </row>
    <row r="2991" spans="1:17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6"/>
    </row>
    <row r="2992" spans="1:17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6"/>
    </row>
    <row r="2993" spans="1:17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6"/>
    </row>
    <row r="2994" spans="1:17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6"/>
    </row>
    <row r="2995" spans="1:17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6"/>
    </row>
    <row r="2996" spans="1:17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6"/>
    </row>
    <row r="2997" spans="1:17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6"/>
    </row>
    <row r="2998" spans="1:17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6"/>
    </row>
    <row r="2999" spans="1:17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6"/>
    </row>
    <row r="3000" spans="1:17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6"/>
    </row>
    <row r="3001" spans="1:17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6"/>
    </row>
    <row r="3002" spans="1:17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6"/>
    </row>
    <row r="3003" spans="1:17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6"/>
    </row>
    <row r="3004" spans="1:17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6"/>
    </row>
    <row r="3005" spans="1:17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6"/>
    </row>
    <row r="3006" spans="1:17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6"/>
    </row>
    <row r="3007" spans="1:17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6"/>
    </row>
    <row r="3008" spans="1:17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6"/>
    </row>
    <row r="3009" spans="1:17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6"/>
    </row>
    <row r="3010" spans="1:17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6"/>
    </row>
    <row r="3011" spans="1:17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6"/>
    </row>
    <row r="3012" spans="1:17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6"/>
    </row>
    <row r="3013" spans="1:17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6"/>
    </row>
    <row r="3014" spans="1:17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6"/>
    </row>
    <row r="3015" spans="1:17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6"/>
    </row>
    <row r="3016" spans="1:17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6"/>
    </row>
    <row r="3017" spans="1:17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6"/>
    </row>
    <row r="3018" spans="1:17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6"/>
    </row>
    <row r="3019" spans="1:17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6"/>
    </row>
    <row r="3020" spans="1:17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6"/>
    </row>
    <row r="3021" spans="1:17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6"/>
    </row>
    <row r="3022" spans="1:17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6"/>
    </row>
    <row r="3023" spans="1:17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6"/>
    </row>
    <row r="3024" spans="1:17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6"/>
    </row>
    <row r="3025" spans="1:17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6"/>
    </row>
    <row r="3026" spans="1:17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6"/>
    </row>
    <row r="3027" spans="1:17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6"/>
    </row>
    <row r="3028" spans="1:17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6"/>
    </row>
    <row r="3029" spans="1:17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6"/>
    </row>
    <row r="3030" spans="1:17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6"/>
    </row>
    <row r="3031" spans="1:17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6"/>
    </row>
    <row r="3032" spans="1:17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6"/>
    </row>
    <row r="3033" spans="1:17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6"/>
    </row>
    <row r="3034" spans="1:17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6"/>
    </row>
    <row r="3035" spans="1:17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6"/>
    </row>
    <row r="3036" spans="1:17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6"/>
    </row>
    <row r="3037" spans="1:17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6"/>
    </row>
    <row r="3038" spans="1:17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6"/>
    </row>
    <row r="3039" spans="1:17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6"/>
    </row>
    <row r="3040" spans="1:17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6"/>
    </row>
    <row r="3041" spans="1:17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6"/>
    </row>
    <row r="3042" spans="1:17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6"/>
    </row>
    <row r="3043" spans="1:17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6"/>
    </row>
    <row r="3044" spans="1:17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6"/>
    </row>
    <row r="3045" spans="1:17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6"/>
    </row>
    <row r="3046" spans="1:17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6"/>
    </row>
    <row r="3047" spans="1:17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6"/>
    </row>
    <row r="3048" spans="1:17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6"/>
    </row>
    <row r="3049" spans="1:17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6"/>
    </row>
    <row r="3050" spans="1:17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6"/>
    </row>
    <row r="3051" spans="1:17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6"/>
    </row>
    <row r="3052" spans="1:17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6"/>
    </row>
    <row r="3053" spans="1:17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6"/>
    </row>
    <row r="3054" spans="1:17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6"/>
    </row>
    <row r="3055" spans="1:17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6"/>
    </row>
    <row r="3056" spans="1:17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6"/>
    </row>
    <row r="3057" spans="1:17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6"/>
    </row>
    <row r="3058" spans="1:17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6"/>
    </row>
    <row r="3059" spans="1:17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6"/>
    </row>
    <row r="3060" spans="1:17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6"/>
    </row>
    <row r="3061" spans="1:17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6"/>
    </row>
    <row r="3062" spans="1:17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6"/>
    </row>
    <row r="3063" spans="1:17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6"/>
    </row>
    <row r="3064" spans="1:17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6"/>
    </row>
    <row r="3065" spans="1:17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6"/>
    </row>
    <row r="3066" spans="1:17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6"/>
    </row>
    <row r="3067" spans="1:17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6"/>
    </row>
    <row r="3068" spans="1:17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6"/>
    </row>
    <row r="3069" spans="1:17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6"/>
    </row>
    <row r="3070" spans="1:17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6"/>
    </row>
    <row r="3071" spans="1:17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6"/>
    </row>
    <row r="3072" spans="1:17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6"/>
    </row>
    <row r="3073" spans="1:17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6"/>
    </row>
    <row r="3074" spans="1:17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6"/>
    </row>
    <row r="3075" spans="1:17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6"/>
    </row>
    <row r="3076" spans="1:17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6"/>
    </row>
    <row r="3077" spans="1:17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6"/>
    </row>
    <row r="3078" spans="1:17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6"/>
    </row>
    <row r="3079" spans="1:17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6"/>
    </row>
    <row r="3080" spans="1:17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6"/>
    </row>
    <row r="3081" spans="1:17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6"/>
    </row>
    <row r="3082" spans="1:17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6"/>
    </row>
    <row r="3083" spans="1:17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6"/>
    </row>
    <row r="3084" spans="1:17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6"/>
    </row>
    <row r="3085" spans="1:17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6"/>
    </row>
    <row r="3086" spans="1:17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6"/>
    </row>
    <row r="3087" spans="1:17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6"/>
    </row>
    <row r="3088" spans="1:17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6"/>
    </row>
    <row r="3089" spans="1:17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6"/>
    </row>
    <row r="3090" spans="1:17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6"/>
    </row>
    <row r="3091" spans="1:17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6"/>
    </row>
    <row r="3092" spans="1:17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6"/>
    </row>
    <row r="3093" spans="1:17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6"/>
    </row>
    <row r="3094" spans="1:17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6"/>
    </row>
    <row r="3095" spans="1:17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6"/>
    </row>
    <row r="3096" spans="1:17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6"/>
    </row>
    <row r="3097" spans="1:17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6"/>
    </row>
    <row r="3098" spans="1:17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6"/>
    </row>
    <row r="3099" spans="1:17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6"/>
    </row>
    <row r="3100" spans="1:17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6"/>
    </row>
    <row r="3101" spans="1:17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6"/>
    </row>
    <row r="3102" spans="1:17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6"/>
    </row>
    <row r="3103" spans="1:17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6"/>
    </row>
    <row r="3104" spans="1:17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6"/>
    </row>
    <row r="3105" spans="1:17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6"/>
    </row>
    <row r="3106" spans="1:17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6"/>
    </row>
    <row r="3107" spans="1:17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6"/>
    </row>
    <row r="3108" spans="1:17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6"/>
    </row>
    <row r="3109" spans="1:17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6"/>
    </row>
    <row r="3110" spans="1:17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6"/>
    </row>
    <row r="3111" spans="1:17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6"/>
    </row>
    <row r="3112" spans="1:17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6"/>
    </row>
    <row r="3113" spans="1:17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6"/>
    </row>
    <row r="3114" spans="1:17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6"/>
    </row>
    <row r="3115" spans="1:17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6"/>
    </row>
    <row r="3116" spans="1:17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6"/>
    </row>
    <row r="3117" spans="1:17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6"/>
    </row>
    <row r="3118" spans="1:17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6"/>
    </row>
    <row r="3119" spans="1:17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6"/>
    </row>
    <row r="3120" spans="1:17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6"/>
    </row>
    <row r="3121" spans="1:17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6"/>
    </row>
    <row r="3122" spans="1:17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6"/>
    </row>
    <row r="3123" spans="1:17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6"/>
    </row>
    <row r="3124" spans="1:17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6"/>
    </row>
    <row r="3125" spans="1:17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6"/>
    </row>
    <row r="3126" spans="1:17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6"/>
    </row>
    <row r="3127" spans="1:17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6"/>
    </row>
    <row r="3128" spans="1:17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6"/>
    </row>
    <row r="3129" spans="1:17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6"/>
    </row>
    <row r="3130" spans="1:17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6"/>
    </row>
    <row r="3131" spans="1:17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6"/>
    </row>
    <row r="3132" spans="1:17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6"/>
    </row>
    <row r="3133" spans="1:17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6"/>
    </row>
    <row r="3134" spans="1:17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6"/>
    </row>
    <row r="3135" spans="1:17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6"/>
    </row>
    <row r="3136" spans="1:17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6"/>
    </row>
    <row r="3137" spans="1:17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6"/>
    </row>
    <row r="3138" spans="1:17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6"/>
    </row>
    <row r="3139" spans="1:17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6"/>
    </row>
    <row r="3140" spans="1:17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6"/>
    </row>
    <row r="3141" spans="1:17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6"/>
    </row>
    <row r="3142" spans="1:17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6"/>
    </row>
    <row r="3143" spans="1:17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6"/>
    </row>
    <row r="3144" spans="1:17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6"/>
    </row>
    <row r="3145" spans="1:17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6"/>
    </row>
    <row r="3146" spans="1:17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6"/>
    </row>
    <row r="3147" spans="1:17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6"/>
    </row>
    <row r="3148" spans="1:17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6"/>
    </row>
    <row r="3149" spans="1:17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6"/>
    </row>
    <row r="3150" spans="1:17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6"/>
    </row>
    <row r="3151" spans="1:17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6"/>
    </row>
    <row r="3152" spans="1:17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6"/>
    </row>
    <row r="3153" spans="1:17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6"/>
    </row>
    <row r="3154" spans="1:17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6"/>
    </row>
    <row r="3155" spans="1:17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6"/>
    </row>
    <row r="3156" spans="1:17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6"/>
    </row>
    <row r="3157" spans="1:17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6"/>
    </row>
    <row r="3158" spans="1:17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6"/>
    </row>
    <row r="3159" spans="1:17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6"/>
    </row>
    <row r="3160" spans="1:17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6"/>
    </row>
    <row r="3161" spans="1:17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6"/>
    </row>
    <row r="3162" spans="1:17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6"/>
    </row>
    <row r="3163" spans="1:17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6"/>
    </row>
    <row r="3164" spans="1:17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6"/>
    </row>
    <row r="3165" spans="1:17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6"/>
    </row>
    <row r="3166" spans="1:17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6"/>
    </row>
    <row r="3167" spans="1:17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6"/>
    </row>
    <row r="3168" spans="1:17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6"/>
    </row>
    <row r="3169" spans="1:17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6"/>
    </row>
    <row r="3170" spans="1:17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6"/>
    </row>
    <row r="3171" spans="1:17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6"/>
    </row>
    <row r="3172" spans="1:17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6"/>
    </row>
    <row r="3173" spans="1:17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6"/>
    </row>
    <row r="3174" spans="1:17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6"/>
    </row>
    <row r="3175" spans="1:17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6"/>
    </row>
    <row r="3176" spans="1:17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6"/>
    </row>
    <row r="3177" spans="1:17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6"/>
    </row>
    <row r="3178" spans="1:17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6"/>
    </row>
    <row r="3179" spans="1:17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6"/>
    </row>
    <row r="3180" spans="1:17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6"/>
    </row>
    <row r="3181" spans="1:17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6"/>
    </row>
    <row r="3182" spans="1:17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6"/>
    </row>
    <row r="3183" spans="1:17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6"/>
    </row>
    <row r="3184" spans="1:17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6"/>
    </row>
    <row r="3185" spans="1:17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6"/>
    </row>
    <row r="3186" spans="1:17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6"/>
    </row>
    <row r="3187" spans="1:17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6"/>
    </row>
    <row r="3188" spans="1:17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6"/>
    </row>
    <row r="3189" spans="1:17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6"/>
    </row>
    <row r="3190" spans="1:17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6"/>
    </row>
    <row r="3191" spans="1:17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6"/>
    </row>
    <row r="3192" spans="1:17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6"/>
    </row>
    <row r="3193" spans="1:17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6"/>
    </row>
    <row r="3194" spans="1:17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6"/>
    </row>
    <row r="3195" spans="1:17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6"/>
    </row>
    <row r="3196" spans="1:17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6"/>
    </row>
    <row r="3197" spans="1:17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6"/>
    </row>
    <row r="3198" spans="1:17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6"/>
    </row>
    <row r="3199" spans="1:17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6"/>
    </row>
    <row r="3200" spans="1:17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6"/>
    </row>
    <row r="3201" spans="1:17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6"/>
    </row>
    <row r="3202" spans="1:17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6"/>
    </row>
    <row r="3203" spans="1:17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6"/>
    </row>
    <row r="3204" spans="1:17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6"/>
    </row>
    <row r="3205" spans="1:17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6"/>
    </row>
    <row r="3206" spans="1:17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6"/>
    </row>
    <row r="3207" spans="1:17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6"/>
    </row>
    <row r="3208" spans="1:17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6"/>
    </row>
    <row r="3209" spans="1:17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6"/>
    </row>
    <row r="3210" spans="1:17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6"/>
    </row>
    <row r="3211" spans="1:17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6"/>
    </row>
    <row r="3212" spans="1:17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6"/>
    </row>
    <row r="3213" spans="1:17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6"/>
    </row>
    <row r="3214" spans="1:17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6"/>
    </row>
    <row r="3215" spans="1:17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6"/>
    </row>
    <row r="3216" spans="1:17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6"/>
    </row>
    <row r="3217" spans="1:17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6"/>
    </row>
    <row r="3218" spans="1:17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6"/>
    </row>
    <row r="3219" spans="1:17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6"/>
    </row>
    <row r="3220" spans="1:17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6"/>
    </row>
    <row r="3221" spans="1:17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6"/>
    </row>
    <row r="3222" spans="1:17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6"/>
    </row>
    <row r="3223" spans="1:17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6"/>
    </row>
    <row r="3224" spans="1:17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6"/>
    </row>
    <row r="3225" spans="1:17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6"/>
    </row>
    <row r="3226" spans="1:17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6"/>
    </row>
    <row r="3227" spans="1:17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6"/>
    </row>
    <row r="3228" spans="1:17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6"/>
    </row>
    <row r="3229" spans="1:17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6"/>
    </row>
    <row r="3230" spans="1:17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6"/>
    </row>
    <row r="3231" spans="1:17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6"/>
    </row>
    <row r="3232" spans="1:17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6"/>
    </row>
    <row r="3233" spans="1:17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6"/>
    </row>
    <row r="3234" spans="1:17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6"/>
    </row>
    <row r="3235" spans="1:17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6"/>
    </row>
    <row r="3236" spans="1:17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6"/>
    </row>
    <row r="3237" spans="1:17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6"/>
    </row>
    <row r="3238" spans="1:17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6"/>
    </row>
    <row r="3239" spans="1:17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6"/>
    </row>
    <row r="3240" spans="1:17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6"/>
    </row>
    <row r="3241" spans="1:17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6"/>
    </row>
    <row r="3242" spans="1:17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6"/>
    </row>
    <row r="3243" spans="1:17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6"/>
    </row>
    <row r="3244" spans="1:17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6"/>
    </row>
    <row r="3245" spans="1:17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6"/>
    </row>
    <row r="3246" spans="1:17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6"/>
    </row>
    <row r="3247" spans="1:17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6"/>
    </row>
    <row r="3248" spans="1:17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6"/>
    </row>
    <row r="3249" spans="1:17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6"/>
    </row>
    <row r="3250" spans="1:17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6"/>
    </row>
    <row r="3251" spans="1:17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6"/>
    </row>
    <row r="3252" spans="1:17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6"/>
    </row>
    <row r="3253" spans="1:17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6"/>
    </row>
    <row r="3254" spans="1:17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6"/>
    </row>
    <row r="3255" spans="1:17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6"/>
    </row>
    <row r="3256" spans="1:17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6"/>
    </row>
    <row r="3257" spans="1:17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6"/>
    </row>
    <row r="3258" spans="1:17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6"/>
    </row>
    <row r="3259" spans="1:17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6"/>
    </row>
    <row r="3260" spans="1:17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6"/>
    </row>
    <row r="3261" spans="1:17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6"/>
    </row>
    <row r="3262" spans="1:17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6"/>
    </row>
    <row r="3263" spans="1:17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6"/>
    </row>
    <row r="3264" spans="1:17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6"/>
    </row>
    <row r="3265" spans="1:17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6"/>
    </row>
    <row r="3266" spans="1:17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6"/>
    </row>
    <row r="3267" spans="1:17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6"/>
    </row>
    <row r="3268" spans="1:17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6"/>
    </row>
    <row r="3269" spans="1:17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6"/>
    </row>
    <row r="3270" spans="1:17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6"/>
    </row>
    <row r="3271" spans="1:17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6"/>
    </row>
    <row r="3272" spans="1:17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6"/>
    </row>
    <row r="3273" spans="1:17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6"/>
    </row>
    <row r="3274" spans="1:17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6"/>
    </row>
    <row r="3275" spans="1:17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6"/>
    </row>
    <row r="3276" spans="1:17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6"/>
    </row>
    <row r="3277" spans="1:17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6"/>
    </row>
    <row r="3278" spans="1:17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6"/>
    </row>
    <row r="3279" spans="1:17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6"/>
    </row>
    <row r="3280" spans="1:17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6"/>
    </row>
    <row r="3281" spans="1:17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6"/>
    </row>
    <row r="3282" spans="1:17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6"/>
    </row>
    <row r="3283" spans="1:17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6"/>
    </row>
    <row r="3284" spans="1:17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6"/>
    </row>
    <row r="3285" spans="1:17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6"/>
    </row>
    <row r="3286" spans="1:17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6"/>
    </row>
    <row r="3287" spans="1:17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6"/>
    </row>
    <row r="3288" spans="1:17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6"/>
    </row>
    <row r="3289" spans="1:17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6"/>
    </row>
    <row r="3290" spans="1:17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6"/>
    </row>
    <row r="3291" spans="1:17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6"/>
    </row>
    <row r="3292" spans="1:17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6"/>
    </row>
    <row r="3293" spans="1:17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6"/>
    </row>
    <row r="3294" spans="1:17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6"/>
    </row>
    <row r="3295" spans="1:17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6"/>
    </row>
    <row r="3296" spans="1:17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6"/>
    </row>
    <row r="3297" spans="1:17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6"/>
    </row>
    <row r="3298" spans="1:17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6"/>
    </row>
    <row r="3299" spans="1:17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6"/>
    </row>
    <row r="3300" spans="1:17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6"/>
    </row>
    <row r="3301" spans="1:17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6"/>
    </row>
    <row r="3302" spans="1:17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6"/>
    </row>
    <row r="3303" spans="1:17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6"/>
    </row>
    <row r="3304" spans="1:17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6"/>
    </row>
    <row r="3305" spans="1:17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6"/>
    </row>
    <row r="3306" spans="1:17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6"/>
    </row>
    <row r="3307" spans="1:17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6"/>
    </row>
    <row r="3308" spans="1:17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6"/>
    </row>
    <row r="3309" spans="1:17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6"/>
    </row>
    <row r="3310" spans="1:17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6"/>
    </row>
    <row r="3311" spans="1:17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6"/>
    </row>
    <row r="3312" spans="1:17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6"/>
    </row>
    <row r="3313" spans="1:17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6"/>
    </row>
    <row r="3314" spans="1:17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6"/>
    </row>
    <row r="3315" spans="1:17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6"/>
    </row>
    <row r="3316" spans="1:17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6"/>
    </row>
    <row r="3317" spans="1:17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6"/>
    </row>
    <row r="3318" spans="1:17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6"/>
    </row>
    <row r="3319" spans="1:17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6"/>
    </row>
    <row r="3320" spans="1:17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6"/>
    </row>
    <row r="3321" spans="1:17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6"/>
    </row>
    <row r="3322" spans="1:17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6"/>
    </row>
    <row r="3323" spans="1:17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6"/>
    </row>
    <row r="3324" spans="1:17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6"/>
    </row>
    <row r="3325" spans="1:17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6"/>
    </row>
    <row r="3326" spans="1:17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6"/>
    </row>
    <row r="3327" spans="1:17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6"/>
    </row>
    <row r="3328" spans="1:17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6"/>
    </row>
    <row r="3329" spans="1:17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6"/>
    </row>
    <row r="3330" spans="1:17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6"/>
    </row>
    <row r="3331" spans="1:17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6"/>
    </row>
    <row r="3332" spans="1:17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6"/>
    </row>
    <row r="3333" spans="1:17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6"/>
    </row>
    <row r="3334" spans="1:17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6"/>
    </row>
    <row r="3335" spans="1:17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6"/>
    </row>
    <row r="3336" spans="1:17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6"/>
    </row>
    <row r="3337" spans="1:17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6"/>
    </row>
    <row r="3338" spans="1:17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6"/>
    </row>
    <row r="3339" spans="1:17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6"/>
    </row>
    <row r="3340" spans="1:17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6"/>
    </row>
    <row r="3341" spans="1:17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6"/>
    </row>
    <row r="3342" spans="1:17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6"/>
    </row>
    <row r="3343" spans="1:17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6"/>
    </row>
    <row r="3344" spans="1:17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6"/>
    </row>
    <row r="3345" spans="1:17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6"/>
    </row>
    <row r="3346" spans="1:17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6"/>
    </row>
    <row r="3347" spans="1:17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6"/>
    </row>
    <row r="3348" spans="1:17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6"/>
    </row>
    <row r="3349" spans="1:17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6"/>
    </row>
    <row r="3350" spans="1:17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6"/>
    </row>
    <row r="3351" spans="1:17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6"/>
    </row>
    <row r="3352" spans="1:17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6"/>
    </row>
    <row r="3353" spans="1:17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6"/>
    </row>
    <row r="3354" spans="1:17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6"/>
    </row>
    <row r="3355" spans="1:17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6"/>
    </row>
    <row r="3356" spans="1:17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6"/>
    </row>
    <row r="3357" spans="1:17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6"/>
    </row>
    <row r="3358" spans="1:17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6"/>
    </row>
    <row r="3359" spans="1:17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6"/>
    </row>
    <row r="3360" spans="1:17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6"/>
    </row>
    <row r="3361" spans="1:17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6"/>
    </row>
    <row r="3362" spans="1:17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6"/>
    </row>
    <row r="3363" spans="1:17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6"/>
    </row>
    <row r="3364" spans="1:17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6"/>
    </row>
    <row r="3365" spans="1:17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6"/>
    </row>
    <row r="3366" spans="1:17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6"/>
    </row>
    <row r="3367" spans="1:17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6"/>
    </row>
    <row r="3368" spans="1:17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6"/>
    </row>
    <row r="3369" spans="1:17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6"/>
    </row>
    <row r="3370" spans="1:17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6"/>
    </row>
    <row r="3371" spans="1:17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6"/>
    </row>
    <row r="3372" spans="1:17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6"/>
    </row>
    <row r="3373" spans="1:17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6"/>
    </row>
    <row r="3374" spans="1:17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6"/>
    </row>
    <row r="3375" spans="1:17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6"/>
    </row>
    <row r="3376" spans="1:17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6"/>
    </row>
    <row r="3377" spans="1:17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6"/>
    </row>
    <row r="3378" spans="1:17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6"/>
    </row>
    <row r="3379" spans="1:17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6"/>
    </row>
    <row r="3380" spans="1:17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6"/>
    </row>
    <row r="3381" spans="1:17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6"/>
    </row>
    <row r="3382" spans="1:17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6"/>
    </row>
    <row r="3383" spans="1:17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6"/>
    </row>
    <row r="3384" spans="1:17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6"/>
    </row>
    <row r="3385" spans="1:17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6"/>
    </row>
    <row r="3386" spans="1:17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6"/>
    </row>
    <row r="3387" spans="1:17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6"/>
    </row>
    <row r="3388" spans="1:17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6"/>
    </row>
    <row r="3389" spans="1:17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6"/>
    </row>
    <row r="3390" spans="1:17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6"/>
    </row>
    <row r="3391" spans="1:17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6"/>
    </row>
    <row r="3392" spans="1:17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6"/>
    </row>
    <row r="3393" spans="1:17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6"/>
    </row>
    <row r="3394" spans="1:17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6"/>
    </row>
    <row r="3395" spans="1:17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6"/>
    </row>
    <row r="3396" spans="1:17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6"/>
    </row>
    <row r="3397" spans="1:17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6"/>
    </row>
    <row r="3398" spans="1:17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6"/>
    </row>
    <row r="3399" spans="1:17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6"/>
    </row>
    <row r="3400" spans="1:17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6"/>
    </row>
    <row r="3401" spans="1:17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6"/>
    </row>
    <row r="3402" spans="1:17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6"/>
    </row>
    <row r="3403" spans="1:17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6"/>
    </row>
    <row r="3404" spans="1:17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6"/>
    </row>
    <row r="3405" spans="1:17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6"/>
    </row>
    <row r="3406" spans="1:17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6"/>
    </row>
    <row r="3407" spans="1:17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6"/>
    </row>
    <row r="3408" spans="1:17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6"/>
    </row>
    <row r="3409" spans="1:17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6"/>
    </row>
    <row r="3410" spans="1:17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6"/>
    </row>
    <row r="3411" spans="1:17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6"/>
    </row>
    <row r="3412" spans="1:17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6"/>
    </row>
    <row r="3413" spans="1:17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6"/>
    </row>
    <row r="3414" spans="1:17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6"/>
    </row>
    <row r="3415" spans="1:17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6"/>
    </row>
    <row r="3416" spans="1:17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6"/>
    </row>
    <row r="3417" spans="1:17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6"/>
    </row>
    <row r="3418" spans="1:17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6"/>
    </row>
    <row r="3419" spans="1:17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6"/>
    </row>
    <row r="3420" spans="1:17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6"/>
    </row>
    <row r="3421" spans="1:17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6"/>
    </row>
    <row r="3422" spans="1:17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6"/>
    </row>
    <row r="3423" spans="1:17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6"/>
    </row>
    <row r="3424" spans="1:17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6"/>
    </row>
    <row r="3425" spans="1:17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6"/>
    </row>
    <row r="3426" spans="1:17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6"/>
    </row>
    <row r="3427" spans="1:17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6"/>
    </row>
    <row r="3428" spans="1:17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6"/>
    </row>
    <row r="3429" spans="1:17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6"/>
    </row>
    <row r="3430" spans="1:17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6"/>
    </row>
    <row r="3431" spans="1:17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6"/>
    </row>
    <row r="3432" spans="1:17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6"/>
    </row>
    <row r="3433" spans="1:17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6"/>
    </row>
    <row r="3434" spans="1:17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6"/>
    </row>
    <row r="3435" spans="1:17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6"/>
    </row>
    <row r="3436" spans="1:17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6"/>
    </row>
    <row r="3437" spans="1:17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6"/>
    </row>
    <row r="3438" spans="1:17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6"/>
    </row>
    <row r="3439" spans="1:17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6"/>
    </row>
    <row r="3440" spans="1:17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6"/>
    </row>
    <row r="3441" spans="1:17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6"/>
    </row>
    <row r="3442" spans="1:17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6"/>
    </row>
    <row r="3443" spans="1:17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6"/>
    </row>
    <row r="3444" spans="1:17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6"/>
    </row>
    <row r="3445" spans="1:17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6"/>
    </row>
    <row r="3446" spans="1:17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6"/>
    </row>
    <row r="3447" spans="1:17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6"/>
    </row>
    <row r="3448" spans="1:17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6"/>
    </row>
    <row r="3449" spans="1:17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6"/>
    </row>
    <row r="3450" spans="1:17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6"/>
    </row>
    <row r="3451" spans="1:17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6"/>
    </row>
    <row r="3452" spans="1:17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6"/>
    </row>
    <row r="3453" spans="1:17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6"/>
    </row>
    <row r="3454" spans="1:17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6"/>
    </row>
    <row r="3455" spans="1:17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6"/>
    </row>
    <row r="3456" spans="1:17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6"/>
    </row>
    <row r="3457" spans="1:17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6"/>
    </row>
    <row r="3458" spans="1:17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6"/>
    </row>
    <row r="3459" spans="1:17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6"/>
    </row>
    <row r="3460" spans="1:17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6"/>
    </row>
    <row r="3461" spans="1:17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6"/>
    </row>
    <row r="3462" spans="1:17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6"/>
    </row>
    <row r="3463" spans="1:17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6"/>
    </row>
    <row r="3464" spans="1:17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6"/>
    </row>
    <row r="3465" spans="1:17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6"/>
    </row>
    <row r="3466" spans="1:17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6"/>
    </row>
    <row r="3467" spans="1:17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6"/>
    </row>
    <row r="3468" spans="1:17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6"/>
    </row>
    <row r="3469" spans="1:17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6"/>
    </row>
    <row r="3470" spans="1:17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6"/>
    </row>
    <row r="3471" spans="1:17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6"/>
    </row>
    <row r="3472" spans="1:17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6"/>
    </row>
    <row r="3473" spans="1:17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6"/>
    </row>
    <row r="3474" spans="1:17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6"/>
    </row>
    <row r="3475" spans="1:17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6"/>
    </row>
    <row r="3476" spans="1:17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6"/>
    </row>
    <row r="3477" spans="1:17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6"/>
    </row>
    <row r="3478" spans="1:17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6"/>
    </row>
    <row r="3479" spans="1:17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6"/>
    </row>
    <row r="3480" spans="1:17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6"/>
    </row>
    <row r="3481" spans="1:17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6"/>
    </row>
    <row r="3482" spans="1:17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6"/>
    </row>
    <row r="3483" spans="1:17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6"/>
    </row>
    <row r="3484" spans="1:17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6"/>
    </row>
    <row r="3485" spans="1:17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6"/>
    </row>
    <row r="3486" spans="1:17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6"/>
    </row>
    <row r="3487" spans="1:17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6"/>
    </row>
    <row r="3488" spans="1:17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6"/>
    </row>
    <row r="3489" spans="1:17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6"/>
    </row>
    <row r="3490" spans="1:17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6"/>
    </row>
    <row r="3491" spans="1:17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6"/>
    </row>
    <row r="3492" spans="1:17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6"/>
    </row>
    <row r="3493" spans="1:17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6"/>
    </row>
    <row r="3494" spans="1:17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6"/>
    </row>
    <row r="3495" spans="1:17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6"/>
    </row>
    <row r="3496" spans="1:17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6"/>
    </row>
    <row r="3497" spans="1:17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6"/>
    </row>
    <row r="3498" spans="1:17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6"/>
    </row>
    <row r="3499" spans="1:17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6"/>
    </row>
    <row r="3500" spans="1:17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6"/>
    </row>
    <row r="3501" spans="1:17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6"/>
    </row>
    <row r="3502" spans="1:17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6"/>
    </row>
    <row r="3503" spans="1:17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6"/>
    </row>
    <row r="3504" spans="1:17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6"/>
    </row>
    <row r="3505" spans="1:17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6"/>
    </row>
    <row r="3506" spans="1:17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6"/>
    </row>
    <row r="3507" spans="1:17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6"/>
    </row>
    <row r="3508" spans="1:17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6"/>
    </row>
    <row r="3509" spans="1:17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6"/>
    </row>
    <row r="3510" spans="1:17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6"/>
    </row>
    <row r="3511" spans="1:17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6"/>
    </row>
    <row r="3512" spans="1:17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6"/>
    </row>
    <row r="3513" spans="1:17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6"/>
    </row>
    <row r="3514" spans="1:17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6"/>
    </row>
    <row r="3515" spans="1:17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6"/>
    </row>
    <row r="3516" spans="1:17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6"/>
    </row>
    <row r="3517" spans="1:17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6"/>
    </row>
    <row r="3518" spans="1:17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6"/>
    </row>
    <row r="3519" spans="1:17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6"/>
    </row>
    <row r="3520" spans="1:17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6"/>
    </row>
    <row r="3521" spans="1:17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6"/>
    </row>
    <row r="3522" spans="1:17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6"/>
    </row>
    <row r="3523" spans="1:17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6"/>
    </row>
    <row r="3524" spans="1:17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6"/>
    </row>
    <row r="3525" spans="1:17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6"/>
    </row>
    <row r="3526" spans="1:17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6"/>
    </row>
    <row r="3527" spans="1:17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6"/>
    </row>
    <row r="3528" spans="1:17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6"/>
    </row>
    <row r="3529" spans="1:17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6"/>
    </row>
    <row r="3530" spans="1:17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6"/>
    </row>
    <row r="3531" spans="1:17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6"/>
    </row>
    <row r="3532" spans="1:17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6"/>
    </row>
    <row r="3533" spans="1:17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6"/>
    </row>
    <row r="3534" spans="1:17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6"/>
    </row>
    <row r="3535" spans="1:17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6"/>
    </row>
    <row r="3536" spans="1:17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6"/>
    </row>
    <row r="3537" spans="1:17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6"/>
    </row>
    <row r="3538" spans="1:17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6"/>
    </row>
    <row r="3539" spans="1:17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6"/>
    </row>
    <row r="3540" spans="1:17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6"/>
    </row>
    <row r="3541" spans="1:17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6"/>
    </row>
    <row r="3542" spans="1:17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6"/>
    </row>
    <row r="3543" spans="1:17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6"/>
    </row>
    <row r="3544" spans="1:17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6"/>
    </row>
    <row r="3545" spans="1:17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6"/>
    </row>
    <row r="3546" spans="1:17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6"/>
    </row>
    <row r="3547" spans="1:17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6"/>
    </row>
    <row r="3548" spans="1:17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6"/>
    </row>
    <row r="3549" spans="1:17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6"/>
    </row>
    <row r="3550" spans="1:17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6"/>
    </row>
    <row r="3551" spans="1:17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6"/>
    </row>
    <row r="3552" spans="1:17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6"/>
    </row>
    <row r="3553" spans="1:17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6"/>
    </row>
    <row r="3554" spans="1:17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6"/>
    </row>
    <row r="3555" spans="1:17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6"/>
    </row>
    <row r="3556" spans="1:17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6"/>
    </row>
    <row r="3557" spans="1:17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6"/>
    </row>
    <row r="3558" spans="1:17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6"/>
    </row>
    <row r="3559" spans="1:17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6"/>
    </row>
    <row r="3560" spans="1:17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6"/>
    </row>
    <row r="3561" spans="1:17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6"/>
    </row>
    <row r="3562" spans="1:17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6"/>
    </row>
    <row r="3563" spans="1:17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6"/>
    </row>
    <row r="3564" spans="1:17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6"/>
    </row>
    <row r="3565" spans="1:17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6"/>
    </row>
    <row r="3566" spans="1:17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6"/>
    </row>
    <row r="3567" spans="1:17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6"/>
    </row>
    <row r="3568" spans="1:17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6"/>
    </row>
    <row r="3569" spans="1:17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6"/>
    </row>
    <row r="3570" spans="1:17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6"/>
    </row>
    <row r="3571" spans="1:17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6"/>
    </row>
    <row r="3572" spans="1:17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6"/>
    </row>
    <row r="3573" spans="1:17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6"/>
    </row>
    <row r="3574" spans="1:17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6"/>
    </row>
    <row r="3575" spans="1:17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6"/>
    </row>
    <row r="3576" spans="1:17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6"/>
    </row>
    <row r="3577" spans="1:17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6"/>
    </row>
    <row r="3578" spans="1:17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6"/>
    </row>
    <row r="3579" spans="1:17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6"/>
    </row>
    <row r="3580" spans="1:17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6"/>
    </row>
    <row r="3581" spans="1:17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6"/>
    </row>
    <row r="3582" spans="1:17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6"/>
    </row>
    <row r="3583" spans="1:17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6"/>
    </row>
    <row r="3584" spans="1:17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6"/>
    </row>
    <row r="3585" spans="1:17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6"/>
    </row>
    <row r="3586" spans="1:17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6"/>
    </row>
    <row r="3587" spans="1:17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6"/>
    </row>
    <row r="3588" spans="1:17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6"/>
    </row>
    <row r="3589" spans="1:17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6"/>
    </row>
    <row r="3590" spans="1:17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6"/>
    </row>
    <row r="3591" spans="1:17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6"/>
    </row>
    <row r="3592" spans="1:17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6"/>
    </row>
    <row r="3593" spans="1:17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6"/>
    </row>
    <row r="3594" spans="1:17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6"/>
    </row>
    <row r="3595" spans="1:17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6"/>
    </row>
    <row r="3596" spans="1:17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6"/>
    </row>
    <row r="3597" spans="1:17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6"/>
    </row>
    <row r="3598" spans="1:17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6"/>
    </row>
    <row r="3599" spans="1:17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6"/>
    </row>
    <row r="3600" spans="1:17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6"/>
    </row>
    <row r="3601" spans="1:17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6"/>
    </row>
    <row r="3602" spans="1:17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6"/>
    </row>
    <row r="3603" spans="1:17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6"/>
    </row>
    <row r="3604" spans="1:17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6"/>
    </row>
    <row r="3605" spans="1:17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6"/>
    </row>
    <row r="3606" spans="1:17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6"/>
    </row>
    <row r="3607" spans="1:17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6"/>
    </row>
    <row r="3608" spans="1:17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6"/>
    </row>
    <row r="3609" spans="1:17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6"/>
    </row>
    <row r="3610" spans="1:17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6"/>
    </row>
    <row r="3611" spans="1:17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6"/>
    </row>
    <row r="3612" spans="1:17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6"/>
    </row>
    <row r="3613" spans="1:17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6"/>
    </row>
    <row r="3614" spans="1:17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6"/>
    </row>
    <row r="3615" spans="1:17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6"/>
    </row>
    <row r="3616" spans="1:17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6"/>
    </row>
    <row r="3617" spans="1:17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6"/>
    </row>
    <row r="3618" spans="1:17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6"/>
    </row>
    <row r="3619" spans="1:17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6"/>
    </row>
    <row r="3620" spans="1:17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6"/>
    </row>
    <row r="3621" spans="1:17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6"/>
    </row>
    <row r="3622" spans="1:17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6"/>
    </row>
    <row r="3623" spans="1:17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6"/>
    </row>
    <row r="3624" spans="1:17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6"/>
    </row>
    <row r="3625" spans="1:17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6"/>
    </row>
    <row r="3626" spans="1:17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6"/>
    </row>
    <row r="3627" spans="1:17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6"/>
    </row>
    <row r="3628" spans="1:17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6"/>
    </row>
    <row r="3629" spans="1:17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6"/>
    </row>
    <row r="3630" spans="1:17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6"/>
    </row>
    <row r="3631" spans="1:17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6"/>
    </row>
    <row r="3632" spans="1:17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6"/>
    </row>
    <row r="3633" spans="1:17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6"/>
    </row>
    <row r="3634" spans="1:17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6"/>
    </row>
    <row r="3635" spans="1:17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6"/>
    </row>
    <row r="3636" spans="1:17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6"/>
    </row>
    <row r="3637" spans="1:17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6"/>
    </row>
    <row r="3638" spans="1:17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6"/>
    </row>
    <row r="3639" spans="1:17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6"/>
    </row>
    <row r="3640" spans="1:17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6"/>
    </row>
    <row r="3641" spans="1:17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6"/>
    </row>
    <row r="3642" spans="1:17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6"/>
    </row>
    <row r="3643" spans="1:17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6"/>
    </row>
    <row r="3644" spans="1:17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6"/>
    </row>
    <row r="3645" spans="1:17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6"/>
    </row>
    <row r="3646" spans="1:17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6"/>
    </row>
    <row r="3647" spans="1:17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6"/>
    </row>
    <row r="3648" spans="1:17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6"/>
    </row>
    <row r="3649" spans="1:17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6"/>
    </row>
    <row r="3650" spans="1:17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6"/>
    </row>
    <row r="3651" spans="1:17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6"/>
    </row>
    <row r="3652" spans="1:17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6"/>
    </row>
    <row r="3653" spans="1:17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6"/>
    </row>
    <row r="3654" spans="1:17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6"/>
    </row>
    <row r="3655" spans="1:17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6"/>
    </row>
    <row r="3656" spans="1:17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6"/>
    </row>
    <row r="3657" spans="1:17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6"/>
    </row>
    <row r="3658" spans="1:17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6"/>
    </row>
    <row r="3659" spans="1:17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6"/>
    </row>
    <row r="3660" spans="1:17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6"/>
    </row>
    <row r="3661" spans="1:17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6"/>
    </row>
    <row r="3662" spans="1:17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6"/>
    </row>
    <row r="3663" spans="1:17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6"/>
    </row>
    <row r="3664" spans="1:17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6"/>
    </row>
    <row r="3665" spans="1:17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6"/>
    </row>
    <row r="3666" spans="1:17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6"/>
    </row>
    <row r="3667" spans="1:17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6"/>
    </row>
    <row r="3668" spans="1:17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6"/>
    </row>
    <row r="3669" spans="1:17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6"/>
    </row>
    <row r="3670" spans="1:17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6"/>
    </row>
    <row r="3671" spans="1:17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6"/>
    </row>
    <row r="3672" spans="1:17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6"/>
    </row>
    <row r="3673" spans="1:17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6"/>
    </row>
    <row r="3674" spans="1:17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6"/>
    </row>
    <row r="3675" spans="1:17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6"/>
    </row>
    <row r="3676" spans="1:17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6"/>
    </row>
    <row r="3677" spans="1:17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6"/>
    </row>
    <row r="3678" spans="1:17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6"/>
    </row>
    <row r="3679" spans="1:17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6"/>
    </row>
    <row r="3680" spans="1:17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6"/>
    </row>
    <row r="3681" spans="1:17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6"/>
    </row>
    <row r="3682" spans="1:17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6"/>
    </row>
    <row r="3683" spans="1:17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6"/>
    </row>
    <row r="3684" spans="1:17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6"/>
    </row>
    <row r="3685" spans="1:17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6"/>
    </row>
    <row r="3686" spans="1:17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6"/>
    </row>
    <row r="3687" spans="1:17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6"/>
    </row>
    <row r="3688" spans="1:17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6"/>
    </row>
    <row r="3689" spans="1:17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6"/>
    </row>
    <row r="3690" spans="1:17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6"/>
    </row>
    <row r="3691" spans="1:17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6"/>
    </row>
    <row r="3692" spans="1:17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6"/>
    </row>
    <row r="3693" spans="1:17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6"/>
    </row>
    <row r="3694" spans="1:17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6"/>
    </row>
    <row r="3695" spans="1:17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6"/>
    </row>
    <row r="3696" spans="1:17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6"/>
    </row>
    <row r="3697" spans="1:17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6"/>
    </row>
    <row r="3698" spans="1:17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6"/>
    </row>
    <row r="3699" spans="1:17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6"/>
    </row>
    <row r="3700" spans="1:17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6"/>
    </row>
    <row r="3701" spans="1:17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6"/>
    </row>
    <row r="3702" spans="1:17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6"/>
    </row>
    <row r="3703" spans="1:17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6"/>
    </row>
    <row r="3704" spans="1:17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6"/>
    </row>
    <row r="3705" spans="1:17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6"/>
    </row>
    <row r="3706" spans="1:17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6"/>
    </row>
    <row r="3707" spans="1:17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6"/>
    </row>
    <row r="3708" spans="1:17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6"/>
    </row>
    <row r="3709" spans="1:17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6"/>
    </row>
    <row r="3710" spans="1:17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6"/>
    </row>
    <row r="3711" spans="1:17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6"/>
    </row>
    <row r="3712" spans="1:17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6"/>
    </row>
    <row r="3713" spans="1:17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6"/>
    </row>
    <row r="3714" spans="1:17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6"/>
    </row>
    <row r="3715" spans="1:17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6"/>
    </row>
    <row r="3716" spans="1:17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6"/>
    </row>
    <row r="3717" spans="1:17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6"/>
    </row>
    <row r="3718" spans="1:17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6"/>
    </row>
    <row r="3719" spans="1:17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6"/>
    </row>
    <row r="3720" spans="1:17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6"/>
    </row>
    <row r="3721" spans="1:17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6"/>
    </row>
    <row r="3722" spans="1:17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6"/>
    </row>
    <row r="3723" spans="1:17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6"/>
    </row>
    <row r="3724" spans="1:17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6"/>
    </row>
    <row r="3725" spans="1:17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6"/>
    </row>
    <row r="3726" spans="1:17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6"/>
    </row>
    <row r="3727" spans="1:17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6"/>
    </row>
    <row r="3728" spans="1:17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6"/>
    </row>
    <row r="3729" spans="1:17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6"/>
    </row>
    <row r="3730" spans="1:17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6"/>
    </row>
    <row r="3731" spans="1:17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6"/>
    </row>
    <row r="3732" spans="1:17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6"/>
    </row>
    <row r="3733" spans="1:17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6"/>
    </row>
    <row r="3734" spans="1:17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6"/>
    </row>
    <row r="3735" spans="1:17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6"/>
    </row>
    <row r="3736" spans="1:17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6"/>
    </row>
    <row r="3737" spans="1:17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6"/>
    </row>
    <row r="3738" spans="1:17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6"/>
    </row>
    <row r="3739" spans="1:17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6"/>
    </row>
    <row r="3740" spans="1:17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6"/>
    </row>
    <row r="3741" spans="1:17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6"/>
    </row>
    <row r="3742" spans="1:17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6"/>
    </row>
    <row r="3743" spans="1:17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6"/>
    </row>
    <row r="3744" spans="1:17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6"/>
    </row>
    <row r="3745" spans="1:17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6"/>
    </row>
    <row r="3746" spans="1:17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6"/>
    </row>
    <row r="3747" spans="1:17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6"/>
    </row>
    <row r="3748" spans="1:17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6"/>
    </row>
    <row r="3749" spans="1:17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6"/>
    </row>
    <row r="3750" spans="1:17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6"/>
    </row>
    <row r="3751" spans="1:17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6"/>
    </row>
    <row r="3752" spans="1:17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6"/>
    </row>
    <row r="3753" spans="1:17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6"/>
    </row>
    <row r="3754" spans="1:17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6"/>
    </row>
    <row r="3755" spans="1:17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6"/>
    </row>
    <row r="3756" spans="1:17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6"/>
    </row>
    <row r="3757" spans="1:17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6"/>
    </row>
    <row r="3758" spans="1:17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6"/>
    </row>
    <row r="3759" spans="1:17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6"/>
    </row>
    <row r="3760" spans="1:17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6"/>
    </row>
    <row r="3761" spans="1:17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6"/>
    </row>
    <row r="3762" spans="1:17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6"/>
    </row>
    <row r="3763" spans="1:17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6"/>
    </row>
    <row r="3764" spans="1:17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6"/>
    </row>
    <row r="3765" spans="1:17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6"/>
    </row>
    <row r="3766" spans="1:17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6"/>
    </row>
    <row r="3767" spans="1:17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6"/>
    </row>
    <row r="3768" spans="1:17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6"/>
    </row>
    <row r="3769" spans="1:17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6"/>
    </row>
    <row r="3770" spans="1:17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6"/>
    </row>
    <row r="3771" spans="1:17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6"/>
    </row>
    <row r="3772" spans="1:17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6"/>
    </row>
    <row r="3773" spans="1:17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6"/>
    </row>
    <row r="3774" spans="1:17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6"/>
    </row>
    <row r="3775" spans="1:17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6"/>
    </row>
    <row r="3776" spans="1:17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6"/>
    </row>
    <row r="3777" spans="1:17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6"/>
    </row>
    <row r="3778" spans="1:17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6"/>
    </row>
    <row r="3779" spans="1:17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6"/>
    </row>
    <row r="3780" spans="1:17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6"/>
    </row>
    <row r="3781" spans="1:17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6"/>
    </row>
    <row r="3782" spans="1:17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6"/>
    </row>
    <row r="3783" spans="1:17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6"/>
    </row>
    <row r="3784" spans="1:17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6"/>
    </row>
    <row r="3785" spans="1:17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6"/>
    </row>
    <row r="3786" spans="1:17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6"/>
    </row>
    <row r="3787" spans="1:17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6"/>
    </row>
    <row r="3788" spans="1:17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6"/>
    </row>
    <row r="3789" spans="1:17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6"/>
    </row>
    <row r="3790" spans="1:17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6"/>
    </row>
    <row r="3791" spans="1:17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6"/>
    </row>
    <row r="3792" spans="1:17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6"/>
    </row>
    <row r="3793" spans="1:17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6"/>
    </row>
    <row r="3794" spans="1:17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6"/>
    </row>
    <row r="3795" spans="1:17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6"/>
    </row>
    <row r="3796" spans="1:17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6"/>
    </row>
    <row r="3797" spans="1:17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6"/>
    </row>
    <row r="3798" spans="1:17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6"/>
    </row>
    <row r="3799" spans="1:17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6"/>
    </row>
    <row r="3800" spans="1:17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6"/>
    </row>
    <row r="3801" spans="1:17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6"/>
    </row>
    <row r="3802" spans="1:17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6"/>
    </row>
    <row r="3803" spans="1:17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6"/>
    </row>
    <row r="3804" spans="1:17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6"/>
    </row>
    <row r="3805" spans="1:17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6"/>
    </row>
    <row r="3806" spans="1:17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6"/>
    </row>
    <row r="3807" spans="1:17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6"/>
    </row>
    <row r="3808" spans="1:17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6"/>
    </row>
    <row r="3809" spans="1:17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6"/>
    </row>
    <row r="3810" spans="1:17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6"/>
    </row>
    <row r="3811" spans="1:17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6"/>
    </row>
    <row r="3812" spans="1:17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6"/>
    </row>
    <row r="3813" spans="1:17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6"/>
    </row>
    <row r="3814" spans="1:17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6"/>
    </row>
    <row r="3815" spans="1:17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6"/>
    </row>
    <row r="3816" spans="1:17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6"/>
    </row>
    <row r="3817" spans="1:17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6"/>
    </row>
    <row r="3818" spans="1:17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6"/>
    </row>
    <row r="3819" spans="1:17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6"/>
    </row>
    <row r="3820" spans="1:17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6"/>
    </row>
    <row r="3821" spans="1:17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6"/>
    </row>
    <row r="3822" spans="1:17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6"/>
    </row>
    <row r="3823" spans="1:17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6"/>
    </row>
    <row r="3824" spans="1:17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6"/>
    </row>
    <row r="3825" spans="1:17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6"/>
    </row>
    <row r="3826" spans="1:17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6"/>
    </row>
    <row r="3827" spans="1:17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6"/>
    </row>
    <row r="3828" spans="1:17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6"/>
    </row>
    <row r="3829" spans="1:17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6"/>
    </row>
    <row r="3830" spans="1:17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6"/>
    </row>
    <row r="3831" spans="1:17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6"/>
    </row>
    <row r="3832" spans="1:17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6"/>
    </row>
    <row r="3833" spans="1:17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6"/>
    </row>
    <row r="3834" spans="1:17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6"/>
    </row>
    <row r="3835" spans="1:17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6"/>
    </row>
    <row r="3836" spans="1:17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6"/>
    </row>
    <row r="3837" spans="1:17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6"/>
    </row>
    <row r="3838" spans="1:17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6"/>
    </row>
    <row r="3839" spans="1:17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6"/>
    </row>
    <row r="3840" spans="1:17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6"/>
    </row>
    <row r="3841" spans="1:17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6"/>
    </row>
    <row r="3842" spans="1:17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6"/>
    </row>
    <row r="3843" spans="1:17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6"/>
    </row>
    <row r="3844" spans="1:17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6"/>
    </row>
    <row r="3845" spans="1:17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6"/>
    </row>
    <row r="3846" spans="1:17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6"/>
    </row>
    <row r="3847" spans="1:17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6"/>
    </row>
    <row r="3848" spans="1:17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6"/>
    </row>
    <row r="3849" spans="1:17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6"/>
    </row>
    <row r="3850" spans="1:17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6"/>
    </row>
    <row r="3851" spans="1:17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6"/>
    </row>
    <row r="3852" spans="1:17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6"/>
    </row>
    <row r="3853" spans="1:17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6"/>
    </row>
    <row r="3854" spans="1:17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6"/>
    </row>
    <row r="3855" spans="1:17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6"/>
    </row>
    <row r="3856" spans="1:17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6"/>
    </row>
    <row r="3857" spans="1:17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6"/>
    </row>
    <row r="3858" spans="1:17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6"/>
    </row>
    <row r="3859" spans="1:17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6"/>
    </row>
    <row r="3860" spans="1:17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6"/>
    </row>
    <row r="3861" spans="1:17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6"/>
    </row>
    <row r="3862" spans="1:17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6"/>
    </row>
    <row r="3863" spans="1:17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6"/>
    </row>
    <row r="3864" spans="1:17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6"/>
    </row>
    <row r="3865" spans="1:17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6"/>
    </row>
    <row r="3866" spans="1:17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6"/>
    </row>
    <row r="3867" spans="1:17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6"/>
    </row>
    <row r="3868" spans="1:17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6"/>
    </row>
    <row r="3869" spans="1:17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6"/>
    </row>
    <row r="3870" spans="1:17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6"/>
    </row>
    <row r="3871" spans="1:17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6"/>
    </row>
    <row r="3872" spans="1:17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6"/>
    </row>
    <row r="3873" spans="1:17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6"/>
    </row>
    <row r="3874" spans="1:17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6"/>
    </row>
    <row r="3875" spans="1:17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6"/>
    </row>
    <row r="3876" spans="1:17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6"/>
    </row>
    <row r="3877" spans="1:17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6"/>
    </row>
    <row r="3878" spans="1:17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6"/>
    </row>
    <row r="3879" spans="1:17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6"/>
    </row>
    <row r="3880" spans="1:17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6"/>
    </row>
    <row r="3881" spans="1:17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6"/>
    </row>
    <row r="3882" spans="1:17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6"/>
    </row>
    <row r="3883" spans="1:17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6"/>
    </row>
    <row r="3884" spans="1:17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6"/>
    </row>
    <row r="3885" spans="1:17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6"/>
    </row>
    <row r="3886" spans="1:17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6"/>
    </row>
    <row r="3887" spans="1:17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6"/>
    </row>
    <row r="3888" spans="1:17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6"/>
    </row>
    <row r="3889" spans="1:17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6"/>
    </row>
    <row r="3890" spans="1:17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6"/>
    </row>
    <row r="3891" spans="1:17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6"/>
    </row>
    <row r="3892" spans="1:17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6"/>
    </row>
    <row r="3893" spans="1:17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6"/>
    </row>
    <row r="3894" spans="1:17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6"/>
    </row>
    <row r="3895" spans="1:17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6"/>
    </row>
    <row r="3896" spans="1:17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6"/>
    </row>
    <row r="3897" spans="1:17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6"/>
    </row>
    <row r="3898" spans="1:17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6"/>
    </row>
    <row r="3899" spans="1:17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6"/>
    </row>
    <row r="3900" spans="1:17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6"/>
    </row>
    <row r="3901" spans="1:17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6"/>
    </row>
    <row r="3902" spans="1:17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6"/>
    </row>
    <row r="3903" spans="1:17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6"/>
    </row>
    <row r="3904" spans="1:17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6"/>
    </row>
    <row r="3905" spans="1:17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6"/>
    </row>
    <row r="3906" spans="1:17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6"/>
    </row>
    <row r="3907" spans="1:17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6"/>
    </row>
    <row r="3908" spans="1:17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6"/>
    </row>
    <row r="3909" spans="1:17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6"/>
    </row>
    <row r="3910" spans="1:17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6"/>
    </row>
    <row r="3911" spans="1:17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6"/>
    </row>
    <row r="3912" spans="1:17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6"/>
    </row>
    <row r="3913" spans="1:17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6"/>
    </row>
    <row r="3914" spans="1:17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6"/>
    </row>
    <row r="3915" spans="1:17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6"/>
    </row>
    <row r="3916" spans="1:17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6"/>
    </row>
    <row r="3917" spans="1:17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6"/>
    </row>
    <row r="3918" spans="1:17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6"/>
    </row>
    <row r="3919" spans="1:17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6"/>
    </row>
    <row r="3920" spans="1:17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6"/>
    </row>
    <row r="3921" spans="1:17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6"/>
    </row>
    <row r="3922" spans="1:17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6"/>
    </row>
    <row r="3923" spans="1:17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6"/>
    </row>
    <row r="3924" spans="1:17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6"/>
    </row>
    <row r="3925" spans="1:17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6"/>
    </row>
    <row r="3926" spans="1:17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6"/>
    </row>
    <row r="3927" spans="1:17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6"/>
    </row>
    <row r="3928" spans="1:17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6"/>
    </row>
    <row r="3929" spans="1:17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6"/>
    </row>
    <row r="3930" spans="1:17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6"/>
    </row>
    <row r="3931" spans="1:17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6"/>
    </row>
    <row r="3932" spans="1:17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6"/>
    </row>
    <row r="3933" spans="1:17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6"/>
    </row>
    <row r="3934" spans="1:17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6"/>
    </row>
    <row r="3935" spans="1:17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6"/>
    </row>
    <row r="3936" spans="1:17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6"/>
    </row>
    <row r="3937" spans="1:17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6"/>
    </row>
    <row r="3938" spans="1:17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6"/>
    </row>
    <row r="3939" spans="1:17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6"/>
    </row>
    <row r="3940" spans="1:17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6"/>
    </row>
    <row r="3941" spans="1:17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6"/>
    </row>
    <row r="3942" spans="1:17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6"/>
    </row>
    <row r="3943" spans="1:17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6"/>
    </row>
    <row r="3944" spans="1:17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6"/>
    </row>
    <row r="3945" spans="1:17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6"/>
    </row>
    <row r="3946" spans="1:17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6"/>
    </row>
    <row r="3947" spans="1:17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6"/>
    </row>
    <row r="3948" spans="1:17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6"/>
    </row>
    <row r="3949" spans="1:17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6"/>
    </row>
    <row r="3950" spans="1:17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6"/>
    </row>
    <row r="3951" spans="1:17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6"/>
    </row>
    <row r="3952" spans="1:17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6"/>
    </row>
    <row r="3953" spans="1:17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6"/>
    </row>
    <row r="3954" spans="1:17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6"/>
    </row>
    <row r="3955" spans="1:17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6"/>
    </row>
    <row r="3956" spans="1:17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6"/>
    </row>
    <row r="3957" spans="1:17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6"/>
    </row>
    <row r="3958" spans="1:17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6"/>
    </row>
    <row r="3959" spans="1:17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6"/>
    </row>
    <row r="3960" spans="1:17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6"/>
    </row>
    <row r="3961" spans="1:17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6"/>
    </row>
    <row r="3962" spans="1:17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6"/>
    </row>
    <row r="3963" spans="1:17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6"/>
    </row>
    <row r="3964" spans="1:17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6"/>
    </row>
    <row r="3965" spans="1:17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6"/>
    </row>
    <row r="3966" spans="1:17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6"/>
    </row>
    <row r="3967" spans="1:17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6"/>
    </row>
    <row r="3968" spans="1:17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6"/>
    </row>
    <row r="3969" spans="1:17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6"/>
    </row>
    <row r="3970" spans="1:17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6"/>
    </row>
    <row r="3971" spans="1:17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6"/>
    </row>
    <row r="3972" spans="1:17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6"/>
    </row>
    <row r="3973" spans="1:17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6"/>
    </row>
    <row r="3974" spans="1:17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6"/>
    </row>
    <row r="3975" spans="1:17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6"/>
    </row>
    <row r="3976" spans="1:17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6"/>
    </row>
    <row r="3977" spans="1:17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6"/>
    </row>
    <row r="3978" spans="1:17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6"/>
    </row>
    <row r="3979" spans="1:17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6"/>
    </row>
    <row r="3980" spans="1:17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6"/>
    </row>
    <row r="3981" spans="1:17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6"/>
    </row>
    <row r="3982" spans="1:17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6"/>
    </row>
    <row r="3983" spans="1:17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6"/>
    </row>
    <row r="3984" spans="1:17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6"/>
    </row>
    <row r="3985" spans="1:17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6"/>
    </row>
    <row r="3986" spans="1:17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6"/>
    </row>
    <row r="3987" spans="1:17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6"/>
    </row>
    <row r="3988" spans="1:17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6"/>
    </row>
    <row r="3989" spans="1:17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6"/>
    </row>
    <row r="3990" spans="1:17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6"/>
    </row>
    <row r="3991" spans="1:17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6"/>
    </row>
    <row r="3992" spans="1:17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6"/>
    </row>
    <row r="3993" spans="1:17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6"/>
    </row>
    <row r="3994" spans="1:17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6"/>
    </row>
    <row r="3995" spans="1:17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6"/>
    </row>
    <row r="3996" spans="1:17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6"/>
    </row>
    <row r="3997" spans="1:17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6"/>
    </row>
    <row r="3998" spans="1:17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6"/>
    </row>
    <row r="3999" spans="1:17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6"/>
    </row>
    <row r="4000" spans="1:17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6"/>
    </row>
    <row r="4001" spans="1:17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6"/>
    </row>
    <row r="4002" spans="1:17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6"/>
    </row>
    <row r="4003" spans="1:17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6"/>
    </row>
    <row r="4004" spans="1:17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6"/>
    </row>
    <row r="4005" spans="1:17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6"/>
    </row>
    <row r="4006" spans="1:17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6"/>
    </row>
    <row r="4007" spans="1:17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6"/>
    </row>
    <row r="4008" spans="1:17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6"/>
    </row>
    <row r="4009" spans="1:17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6"/>
    </row>
    <row r="4010" spans="1:17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6"/>
    </row>
    <row r="4011" spans="1:17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6"/>
    </row>
    <row r="4012" spans="1:17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6"/>
    </row>
    <row r="4013" spans="1:17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6"/>
    </row>
    <row r="4014" spans="1:17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6"/>
    </row>
    <row r="4015" spans="1:17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6"/>
    </row>
    <row r="4016" spans="1:17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6"/>
    </row>
    <row r="4017" spans="1:17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6"/>
    </row>
    <row r="4018" spans="1:17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6"/>
    </row>
    <row r="4019" spans="1:17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6"/>
    </row>
    <row r="4020" spans="1:17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6"/>
    </row>
    <row r="4021" spans="1:17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6"/>
    </row>
    <row r="4022" spans="1:17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6"/>
    </row>
    <row r="4023" spans="1:17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6"/>
    </row>
    <row r="4024" spans="1:17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6"/>
    </row>
    <row r="4025" spans="1:17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6"/>
    </row>
    <row r="4026" spans="1:17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6"/>
    </row>
    <row r="4027" spans="1:17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6"/>
    </row>
    <row r="4028" spans="1:17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6"/>
    </row>
    <row r="4029" spans="1:17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6"/>
    </row>
    <row r="4030" spans="1:17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6"/>
    </row>
    <row r="4031" spans="1:17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6"/>
    </row>
    <row r="4032" spans="1:17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6"/>
    </row>
    <row r="4033" spans="1:17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6"/>
    </row>
    <row r="4034" spans="1:17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6"/>
    </row>
    <row r="4035" spans="1:17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6"/>
    </row>
    <row r="4036" spans="1:17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6"/>
    </row>
    <row r="4037" spans="1:17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6"/>
    </row>
    <row r="4038" spans="1:17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6"/>
    </row>
    <row r="4039" spans="1:17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6"/>
    </row>
    <row r="4040" spans="1:17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6"/>
    </row>
    <row r="4041" spans="1:17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6"/>
    </row>
    <row r="4042" spans="1:17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6"/>
    </row>
    <row r="4043" spans="1:17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6"/>
    </row>
    <row r="4044" spans="1:17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6"/>
    </row>
    <row r="4045" spans="1:17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6"/>
    </row>
    <row r="4046" spans="1:17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6"/>
    </row>
    <row r="4047" spans="1:17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6"/>
    </row>
    <row r="4048" spans="1:17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6"/>
    </row>
    <row r="4049" spans="1:17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6"/>
    </row>
    <row r="4050" spans="1:17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6"/>
    </row>
    <row r="4051" spans="1:17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6"/>
    </row>
    <row r="4052" spans="1:17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6"/>
    </row>
    <row r="4053" spans="1:17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6"/>
    </row>
    <row r="4054" spans="1:17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6"/>
    </row>
    <row r="4055" spans="1:17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6"/>
    </row>
    <row r="4056" spans="1:17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6"/>
    </row>
    <row r="4057" spans="1:17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6"/>
    </row>
    <row r="4058" spans="1:17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6"/>
    </row>
    <row r="4059" spans="1:17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6"/>
    </row>
    <row r="4060" spans="1:17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6"/>
    </row>
    <row r="4061" spans="1:17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6"/>
    </row>
    <row r="4062" spans="1:17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6"/>
    </row>
    <row r="4063" spans="1:17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6"/>
    </row>
    <row r="4064" spans="1:17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6"/>
    </row>
    <row r="4065" spans="1:17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6"/>
    </row>
    <row r="4066" spans="1:17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6"/>
    </row>
    <row r="4067" spans="1:17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6"/>
    </row>
    <row r="4068" spans="1:17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6"/>
    </row>
    <row r="4069" spans="1:17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6"/>
    </row>
    <row r="4070" spans="1:17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6"/>
    </row>
    <row r="4071" spans="1:17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6"/>
    </row>
    <row r="4072" spans="1:17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6"/>
    </row>
    <row r="4073" spans="1:17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6"/>
    </row>
    <row r="4074" spans="1:17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6"/>
    </row>
    <row r="4075" spans="1:17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6"/>
    </row>
    <row r="4076" spans="1:17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6"/>
    </row>
    <row r="4077" spans="1:17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6"/>
    </row>
    <row r="4078" spans="1:17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6"/>
    </row>
    <row r="4079" spans="1:17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6"/>
    </row>
    <row r="4080" spans="1:17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6"/>
    </row>
    <row r="4081" spans="1:17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6"/>
    </row>
    <row r="4082" spans="1:17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6"/>
    </row>
    <row r="4083" spans="1:17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6"/>
    </row>
    <row r="4084" spans="1:17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6"/>
    </row>
    <row r="4085" spans="1:17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6"/>
    </row>
    <row r="4086" spans="1:17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6"/>
    </row>
    <row r="4087" spans="1:17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6"/>
    </row>
    <row r="4088" spans="1:17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6"/>
    </row>
    <row r="4089" spans="1:17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6"/>
    </row>
    <row r="4090" spans="1:17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6"/>
    </row>
    <row r="4091" spans="1:17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6"/>
    </row>
    <row r="4092" spans="1:17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6"/>
    </row>
    <row r="4093" spans="1:17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6"/>
    </row>
    <row r="4094" spans="1:17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6"/>
    </row>
    <row r="4095" spans="1:17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6"/>
    </row>
    <row r="4096" spans="1:17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6"/>
    </row>
    <row r="4097" spans="1:17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6"/>
    </row>
  </sheetData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44"/>
  <sheetViews>
    <sheetView view="pageBreakPreview" zoomScale="60" zoomScaleNormal="100" workbookViewId="0">
      <selection activeCell="B3" sqref="B3"/>
    </sheetView>
  </sheetViews>
  <sheetFormatPr defaultColWidth="9.140625" defaultRowHeight="12.75" x14ac:dyDescent="0.2"/>
  <cols>
    <col min="1" max="16384" width="9.140625" style="204"/>
  </cols>
  <sheetData>
    <row r="1" spans="1:30" x14ac:dyDescent="0.2">
      <c r="A1" s="722"/>
      <c r="B1" s="722"/>
      <c r="C1" s="722"/>
      <c r="D1" s="722"/>
      <c r="E1" s="722"/>
      <c r="F1" s="722"/>
      <c r="G1" s="722"/>
      <c r="H1" s="722"/>
      <c r="I1" s="722"/>
      <c r="J1" s="722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</row>
    <row r="2" spans="1:30" x14ac:dyDescent="0.2">
      <c r="A2" s="722"/>
      <c r="B2" s="722" t="s">
        <v>709</v>
      </c>
      <c r="C2" s="722"/>
      <c r="D2" s="722"/>
      <c r="E2" s="722"/>
      <c r="F2" s="722"/>
      <c r="G2" s="722"/>
      <c r="H2" s="722"/>
      <c r="I2" s="722"/>
      <c r="J2" s="722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</row>
    <row r="3" spans="1:30" x14ac:dyDescent="0.2">
      <c r="A3" s="722"/>
      <c r="B3" s="722"/>
      <c r="C3" s="722"/>
      <c r="D3" s="722"/>
      <c r="E3" s="722"/>
      <c r="F3" s="722"/>
      <c r="G3" s="722"/>
      <c r="H3" s="722"/>
      <c r="I3" s="722"/>
      <c r="J3" s="722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</row>
    <row r="4" spans="1:30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</row>
    <row r="5" spans="1:30" x14ac:dyDescent="0.2">
      <c r="A5" s="722"/>
      <c r="B5" s="722"/>
      <c r="C5" s="722"/>
      <c r="D5" s="722"/>
      <c r="E5" s="722"/>
      <c r="F5" s="722"/>
      <c r="G5" s="722"/>
      <c r="H5" s="722"/>
      <c r="I5" s="722"/>
      <c r="J5" s="722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</row>
    <row r="6" spans="1:30" x14ac:dyDescent="0.2">
      <c r="A6" s="722"/>
      <c r="B6" s="722"/>
      <c r="C6" s="722"/>
      <c r="D6" s="722"/>
      <c r="E6" s="722"/>
      <c r="F6" s="722"/>
      <c r="G6" s="722"/>
      <c r="H6" s="722"/>
      <c r="I6" s="722"/>
      <c r="J6" s="722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</row>
    <row r="7" spans="1:30" x14ac:dyDescent="0.2">
      <c r="A7" s="722"/>
      <c r="B7" s="722"/>
      <c r="C7" s="722"/>
      <c r="D7" s="722"/>
      <c r="E7" s="722"/>
      <c r="F7" s="722"/>
      <c r="G7" s="722"/>
      <c r="H7" s="722"/>
      <c r="I7" s="722"/>
      <c r="J7" s="722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6"/>
      <c r="AC7" s="476"/>
      <c r="AD7" s="476"/>
    </row>
    <row r="8" spans="1:30" x14ac:dyDescent="0.2">
      <c r="A8" s="722"/>
      <c r="B8" s="722"/>
      <c r="C8" s="722"/>
      <c r="D8" s="722"/>
      <c r="E8" s="722"/>
      <c r="F8" s="722"/>
      <c r="G8" s="722"/>
      <c r="H8" s="722"/>
      <c r="I8" s="722"/>
      <c r="J8" s="722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</row>
    <row r="9" spans="1:30" x14ac:dyDescent="0.2">
      <c r="A9" s="722"/>
      <c r="B9" s="722"/>
      <c r="C9" s="722"/>
      <c r="D9" s="722"/>
      <c r="E9" s="722"/>
      <c r="F9" s="722"/>
      <c r="G9" s="722"/>
      <c r="H9" s="722"/>
      <c r="I9" s="722"/>
      <c r="J9" s="722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  <c r="Z9" s="476"/>
      <c r="AA9" s="476"/>
      <c r="AB9" s="476"/>
      <c r="AC9" s="476"/>
      <c r="AD9" s="476"/>
    </row>
    <row r="10" spans="1:30" x14ac:dyDescent="0.2">
      <c r="A10" s="722"/>
      <c r="B10" s="722"/>
      <c r="C10" s="722"/>
      <c r="D10" s="722"/>
      <c r="E10" s="722"/>
      <c r="F10" s="722"/>
      <c r="G10" s="722"/>
      <c r="H10" s="722"/>
      <c r="I10" s="722"/>
      <c r="J10" s="722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</row>
    <row r="11" spans="1:30" x14ac:dyDescent="0.2">
      <c r="A11" s="722"/>
      <c r="B11" s="722"/>
      <c r="C11" s="722"/>
      <c r="D11" s="722"/>
      <c r="E11" s="722"/>
      <c r="F11" s="722"/>
      <c r="G11" s="722"/>
      <c r="H11" s="722"/>
      <c r="I11" s="722"/>
      <c r="J11" s="722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</row>
    <row r="12" spans="1:30" x14ac:dyDescent="0.2">
      <c r="A12" s="722"/>
      <c r="B12" s="722"/>
      <c r="C12" s="722"/>
      <c r="D12" s="722"/>
      <c r="E12" s="722"/>
      <c r="F12" s="722"/>
      <c r="G12" s="722"/>
      <c r="H12" s="722"/>
      <c r="I12" s="722"/>
      <c r="J12" s="722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</row>
    <row r="13" spans="1:30" x14ac:dyDescent="0.2">
      <c r="A13" s="722"/>
      <c r="B13" s="722"/>
      <c r="C13" s="722"/>
      <c r="D13" s="722"/>
      <c r="E13" s="722"/>
      <c r="F13" s="722"/>
      <c r="G13" s="722"/>
      <c r="H13" s="722"/>
      <c r="I13" s="722"/>
      <c r="J13" s="722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</row>
    <row r="14" spans="1:30" x14ac:dyDescent="0.2">
      <c r="A14" s="722"/>
      <c r="B14" s="722"/>
      <c r="C14" s="722"/>
      <c r="D14" s="722"/>
      <c r="E14" s="722"/>
      <c r="F14" s="722"/>
      <c r="G14" s="722"/>
      <c r="H14" s="722"/>
      <c r="I14" s="722"/>
      <c r="J14" s="722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</row>
    <row r="15" spans="1:30" x14ac:dyDescent="0.2">
      <c r="A15" s="722"/>
      <c r="B15" s="722"/>
      <c r="C15" s="722"/>
      <c r="D15" s="722"/>
      <c r="E15" s="722"/>
      <c r="F15" s="722"/>
      <c r="G15" s="722"/>
      <c r="H15" s="722"/>
      <c r="I15" s="722"/>
      <c r="J15" s="722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</row>
    <row r="16" spans="1:30" x14ac:dyDescent="0.2">
      <c r="A16" s="722"/>
      <c r="B16" s="722"/>
      <c r="C16" s="722"/>
      <c r="D16" s="722"/>
      <c r="E16" s="722"/>
      <c r="F16" s="722"/>
      <c r="G16" s="722"/>
      <c r="H16" s="722"/>
      <c r="I16" s="722"/>
      <c r="J16" s="722"/>
      <c r="K16" s="476"/>
      <c r="L16" s="476"/>
      <c r="M16" s="476"/>
      <c r="N16" s="476"/>
      <c r="O16" s="476"/>
      <c r="P16" s="476"/>
      <c r="Q16" s="476"/>
      <c r="R16" s="476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</row>
    <row r="17" spans="1:30" x14ac:dyDescent="0.2">
      <c r="A17" s="722"/>
      <c r="B17" s="722"/>
      <c r="C17" s="722"/>
      <c r="D17" s="722"/>
      <c r="E17" s="722"/>
      <c r="F17" s="722"/>
      <c r="G17" s="722"/>
      <c r="H17" s="722"/>
      <c r="I17" s="722"/>
      <c r="J17" s="722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</row>
    <row r="18" spans="1:30" x14ac:dyDescent="0.2">
      <c r="A18" s="722"/>
      <c r="B18" s="722"/>
      <c r="C18" s="722"/>
      <c r="D18" s="722"/>
      <c r="E18" s="722"/>
      <c r="F18" s="722"/>
      <c r="G18" s="722"/>
      <c r="H18" s="722"/>
      <c r="I18" s="722"/>
      <c r="J18" s="722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</row>
    <row r="19" spans="1:30" x14ac:dyDescent="0.2">
      <c r="A19" s="722"/>
      <c r="B19" s="722"/>
      <c r="C19" s="722"/>
      <c r="D19" s="722"/>
      <c r="E19" s="722"/>
      <c r="F19" s="722"/>
      <c r="G19" s="722"/>
      <c r="H19" s="722"/>
      <c r="I19" s="722"/>
      <c r="J19" s="722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</row>
    <row r="20" spans="1:30" x14ac:dyDescent="0.2">
      <c r="A20" s="722"/>
      <c r="B20" s="722"/>
      <c r="C20" s="722"/>
      <c r="D20" s="722"/>
      <c r="E20" s="722"/>
      <c r="F20" s="722"/>
      <c r="G20" s="722"/>
      <c r="H20" s="722"/>
      <c r="I20" s="722"/>
      <c r="J20" s="722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</row>
    <row r="21" spans="1:30" x14ac:dyDescent="0.2">
      <c r="A21" s="722"/>
      <c r="B21" s="722"/>
      <c r="C21" s="722"/>
      <c r="D21" s="722"/>
      <c r="E21" s="722"/>
      <c r="F21" s="722"/>
      <c r="G21" s="722"/>
      <c r="H21" s="722"/>
      <c r="I21" s="722"/>
      <c r="J21" s="722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</row>
    <row r="22" spans="1:30" x14ac:dyDescent="0.2">
      <c r="A22" s="722"/>
      <c r="B22" s="722"/>
      <c r="C22" s="722"/>
      <c r="D22" s="722"/>
      <c r="E22" s="722"/>
      <c r="F22" s="722"/>
      <c r="G22" s="722"/>
      <c r="H22" s="722"/>
      <c r="I22" s="722"/>
      <c r="J22" s="722"/>
      <c r="K22" s="476"/>
      <c r="L22" s="476"/>
      <c r="M22" s="476"/>
      <c r="N22" s="476"/>
      <c r="O22" s="476"/>
      <c r="P22" s="476"/>
      <c r="Q22" s="476"/>
      <c r="R22" s="476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</row>
    <row r="23" spans="1:30" x14ac:dyDescent="0.2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476"/>
      <c r="L23" s="476"/>
      <c r="M23" s="476"/>
      <c r="N23" s="476"/>
      <c r="O23" s="476"/>
      <c r="P23" s="476"/>
      <c r="Q23" s="476"/>
      <c r="R23" s="476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</row>
    <row r="24" spans="1:30" x14ac:dyDescent="0.2">
      <c r="A24" s="722"/>
      <c r="B24" s="722"/>
      <c r="C24" s="722"/>
      <c r="D24" s="722"/>
      <c r="E24" s="722"/>
      <c r="F24" s="722"/>
      <c r="G24" s="722"/>
      <c r="H24" s="722"/>
      <c r="I24" s="722"/>
      <c r="J24" s="722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</row>
    <row r="25" spans="1:30" x14ac:dyDescent="0.2">
      <c r="A25" s="722"/>
      <c r="B25" s="722"/>
      <c r="C25" s="722"/>
      <c r="D25" s="722"/>
      <c r="E25" s="722"/>
      <c r="F25" s="722"/>
      <c r="G25" s="722"/>
      <c r="H25" s="722"/>
      <c r="I25" s="722"/>
      <c r="J25" s="722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</row>
    <row r="26" spans="1:30" x14ac:dyDescent="0.2">
      <c r="A26" s="722"/>
      <c r="B26" s="722"/>
      <c r="C26" s="722"/>
      <c r="D26" s="722"/>
      <c r="E26" s="722"/>
      <c r="F26" s="722"/>
      <c r="G26" s="722"/>
      <c r="H26" s="722"/>
      <c r="I26" s="722"/>
      <c r="J26" s="722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</row>
    <row r="27" spans="1:30" x14ac:dyDescent="0.2">
      <c r="A27" s="722"/>
      <c r="B27" s="722"/>
      <c r="C27" s="722"/>
      <c r="D27" s="722"/>
      <c r="E27" s="722"/>
      <c r="F27" s="722"/>
      <c r="G27" s="722"/>
      <c r="H27" s="722"/>
      <c r="I27" s="722"/>
      <c r="J27" s="722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</row>
    <row r="28" spans="1:30" x14ac:dyDescent="0.2">
      <c r="A28" s="722"/>
      <c r="B28" s="722"/>
      <c r="C28" s="722"/>
      <c r="D28" s="722"/>
      <c r="E28" s="722"/>
      <c r="F28" s="722"/>
      <c r="G28" s="722"/>
      <c r="H28" s="722"/>
      <c r="I28" s="722"/>
      <c r="J28" s="722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</row>
    <row r="29" spans="1:30" x14ac:dyDescent="0.2">
      <c r="A29" s="722"/>
      <c r="B29" s="722"/>
      <c r="C29" s="722"/>
      <c r="D29" s="722"/>
      <c r="E29" s="722"/>
      <c r="F29" s="722"/>
      <c r="G29" s="722"/>
      <c r="H29" s="722"/>
      <c r="I29" s="722"/>
      <c r="J29" s="722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</row>
    <row r="30" spans="1:30" x14ac:dyDescent="0.2">
      <c r="A30" s="722"/>
      <c r="B30" s="722"/>
      <c r="C30" s="722"/>
      <c r="D30" s="722"/>
      <c r="E30" s="722"/>
      <c r="F30" s="722"/>
      <c r="G30" s="722"/>
      <c r="H30" s="722"/>
      <c r="I30" s="722"/>
      <c r="J30" s="722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</row>
    <row r="31" spans="1:30" x14ac:dyDescent="0.2">
      <c r="A31" s="722"/>
      <c r="B31" s="722"/>
      <c r="C31" s="722"/>
      <c r="D31" s="722"/>
      <c r="E31" s="722"/>
      <c r="F31" s="722"/>
      <c r="G31" s="722"/>
      <c r="H31" s="722"/>
      <c r="I31" s="722"/>
      <c r="J31" s="722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</row>
    <row r="32" spans="1:30" x14ac:dyDescent="0.2">
      <c r="A32" s="722"/>
      <c r="B32" s="722"/>
      <c r="C32" s="722"/>
      <c r="D32" s="722"/>
      <c r="E32" s="722"/>
      <c r="F32" s="722"/>
      <c r="G32" s="722"/>
      <c r="H32" s="722"/>
      <c r="I32" s="722"/>
      <c r="J32" s="722"/>
      <c r="K32" s="476"/>
      <c r="L32" s="476"/>
      <c r="M32" s="476"/>
      <c r="N32" s="476"/>
      <c r="O32" s="476"/>
      <c r="P32" s="476"/>
      <c r="Q32" s="476"/>
      <c r="R32" s="476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</row>
    <row r="33" spans="1:30" x14ac:dyDescent="0.2">
      <c r="A33" s="722"/>
      <c r="B33" s="722"/>
      <c r="C33" s="722"/>
      <c r="D33" s="722"/>
      <c r="E33" s="722"/>
      <c r="F33" s="722"/>
      <c r="G33" s="722"/>
      <c r="H33" s="722"/>
      <c r="I33" s="722"/>
      <c r="J33" s="722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</row>
    <row r="34" spans="1:30" x14ac:dyDescent="0.2">
      <c r="A34" s="722"/>
      <c r="B34" s="722"/>
      <c r="C34" s="722"/>
      <c r="D34" s="722"/>
      <c r="E34" s="722"/>
      <c r="F34" s="722"/>
      <c r="G34" s="722"/>
      <c r="H34" s="722"/>
      <c r="I34" s="722"/>
      <c r="J34" s="722"/>
      <c r="K34" s="476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</row>
    <row r="35" spans="1:30" x14ac:dyDescent="0.2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476"/>
      <c r="L35" s="476"/>
      <c r="M35" s="476"/>
      <c r="N35" s="476"/>
      <c r="O35" s="476"/>
      <c r="P35" s="476"/>
      <c r="Q35" s="476"/>
      <c r="R35" s="476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</row>
    <row r="36" spans="1:30" x14ac:dyDescent="0.2">
      <c r="A36" s="722"/>
      <c r="B36" s="722"/>
      <c r="C36" s="722"/>
      <c r="D36" s="722"/>
      <c r="E36" s="722"/>
      <c r="F36" s="722"/>
      <c r="G36" s="722"/>
      <c r="H36" s="722"/>
      <c r="I36" s="722"/>
      <c r="J36" s="722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  <c r="W36" s="476"/>
      <c r="X36" s="476"/>
      <c r="Y36" s="476"/>
      <c r="Z36" s="476"/>
      <c r="AA36" s="476"/>
      <c r="AB36" s="476"/>
      <c r="AC36" s="476"/>
      <c r="AD36" s="476"/>
    </row>
    <row r="37" spans="1:30" x14ac:dyDescent="0.2">
      <c r="A37" s="722"/>
      <c r="B37" s="722"/>
      <c r="C37" s="722"/>
      <c r="D37" s="722"/>
      <c r="E37" s="722"/>
      <c r="F37" s="722"/>
      <c r="G37" s="722"/>
      <c r="H37" s="722"/>
      <c r="I37" s="722"/>
      <c r="J37" s="722"/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</row>
    <row r="38" spans="1:30" x14ac:dyDescent="0.2">
      <c r="A38" s="722"/>
      <c r="B38" s="722"/>
      <c r="C38" s="722"/>
      <c r="D38" s="722"/>
      <c r="E38" s="722"/>
      <c r="F38" s="722"/>
      <c r="G38" s="722"/>
      <c r="H38" s="722"/>
      <c r="I38" s="722"/>
      <c r="J38" s="722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</row>
    <row r="39" spans="1:30" x14ac:dyDescent="0.2">
      <c r="A39" s="722"/>
      <c r="B39" s="722"/>
      <c r="C39" s="722"/>
      <c r="D39" s="722"/>
      <c r="E39" s="722"/>
      <c r="F39" s="722"/>
      <c r="G39" s="722"/>
      <c r="H39" s="722"/>
      <c r="I39" s="722"/>
      <c r="J39" s="722"/>
      <c r="K39" s="476"/>
      <c r="L39" s="476"/>
      <c r="M39" s="476"/>
      <c r="N39" s="476"/>
      <c r="O39" s="476"/>
      <c r="P39" s="476"/>
      <c r="Q39" s="476"/>
      <c r="R39" s="476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</row>
    <row r="40" spans="1:30" x14ac:dyDescent="0.2">
      <c r="A40" s="722"/>
      <c r="B40" s="722"/>
      <c r="C40" s="722"/>
      <c r="D40" s="722"/>
      <c r="E40" s="722"/>
      <c r="F40" s="722"/>
      <c r="G40" s="722"/>
      <c r="H40" s="722"/>
      <c r="I40" s="722"/>
      <c r="J40" s="722"/>
      <c r="K40" s="476"/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</row>
    <row r="41" spans="1:30" x14ac:dyDescent="0.2">
      <c r="A41" s="722"/>
      <c r="B41" s="722"/>
      <c r="C41" s="722"/>
      <c r="D41" s="722"/>
      <c r="E41" s="722"/>
      <c r="F41" s="722"/>
      <c r="G41" s="722"/>
      <c r="H41" s="722"/>
      <c r="I41" s="722"/>
      <c r="J41" s="722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</row>
    <row r="42" spans="1:30" x14ac:dyDescent="0.2">
      <c r="A42" s="722"/>
      <c r="B42" s="722"/>
      <c r="C42" s="722"/>
      <c r="D42" s="722"/>
      <c r="E42" s="722"/>
      <c r="F42" s="722"/>
      <c r="G42" s="722"/>
      <c r="H42" s="722"/>
      <c r="I42" s="722"/>
      <c r="J42" s="722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</row>
    <row r="43" spans="1:30" x14ac:dyDescent="0.2">
      <c r="A43" s="722"/>
      <c r="B43" s="722"/>
      <c r="C43" s="722"/>
      <c r="D43" s="722"/>
      <c r="E43" s="722"/>
      <c r="F43" s="722"/>
      <c r="G43" s="722"/>
      <c r="H43" s="722"/>
      <c r="I43" s="722"/>
      <c r="J43" s="722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</row>
    <row r="44" spans="1:30" x14ac:dyDescent="0.2">
      <c r="A44" s="722"/>
      <c r="B44" s="722"/>
      <c r="C44" s="722"/>
      <c r="D44" s="722"/>
      <c r="E44" s="722"/>
      <c r="F44" s="722"/>
      <c r="G44" s="722"/>
      <c r="H44" s="722"/>
      <c r="I44" s="722"/>
      <c r="J44" s="722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00FF00"/>
  </sheetPr>
  <dimension ref="A1:AN187"/>
  <sheetViews>
    <sheetView showGridLines="0" view="pageBreakPreview" zoomScaleNormal="100" zoomScaleSheetLayoutView="100" workbookViewId="0"/>
  </sheetViews>
  <sheetFormatPr defaultColWidth="11.140625" defaultRowHeight="15.75" x14ac:dyDescent="0.25"/>
  <cols>
    <col min="1" max="1" width="6.42578125" style="258" customWidth="1"/>
    <col min="2" max="2" width="26.5703125" style="284" customWidth="1"/>
    <col min="3" max="3" width="15.42578125" style="258" customWidth="1"/>
    <col min="4" max="4" width="16" style="258" customWidth="1"/>
    <col min="5" max="5" width="13.140625" style="258" customWidth="1"/>
    <col min="6" max="6" width="15.140625" style="258" customWidth="1"/>
    <col min="7" max="7" width="12.42578125" style="258" customWidth="1"/>
    <col min="8" max="8" width="13.42578125" style="258" customWidth="1"/>
    <col min="9" max="9" width="15.42578125" style="258" customWidth="1"/>
    <col min="10" max="10" width="14.5703125" style="258" customWidth="1"/>
    <col min="11" max="11" width="12.42578125" style="258" customWidth="1"/>
    <col min="12" max="13" width="14.5703125" style="258" customWidth="1"/>
    <col min="14" max="14" width="16" style="258" customWidth="1"/>
    <col min="15" max="15" width="14.42578125" style="258" customWidth="1"/>
    <col min="16" max="16" width="13.42578125" style="258" customWidth="1"/>
    <col min="17" max="23" width="14.5703125" style="258" customWidth="1"/>
    <col min="24" max="24" width="13.5703125" style="258" bestFit="1" customWidth="1"/>
    <col min="25" max="25" width="17.140625" style="258" bestFit="1" customWidth="1"/>
    <col min="26" max="26" width="15.42578125" style="258" bestFit="1" customWidth="1"/>
    <col min="27" max="28" width="13.85546875" style="258" bestFit="1" customWidth="1"/>
    <col min="29" max="29" width="15.42578125" style="258" bestFit="1" customWidth="1"/>
    <col min="30" max="31" width="15.42578125" style="258" customWidth="1"/>
    <col min="32" max="35" width="12.5703125" style="258" hidden="1" customWidth="1"/>
    <col min="36" max="40" width="12.5703125" style="258" customWidth="1"/>
    <col min="41" max="16384" width="11.140625" style="258"/>
  </cols>
  <sheetData>
    <row r="1" spans="1:40" x14ac:dyDescent="0.25">
      <c r="A1" s="255"/>
      <c r="B1" s="256" t="s">
        <v>178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7">
        <f ca="1">NOW()</f>
        <v>42341.622053819447</v>
      </c>
      <c r="O1" s="255"/>
      <c r="Y1" s="259" t="s">
        <v>211</v>
      </c>
      <c r="Z1" s="260"/>
      <c r="AA1" s="261"/>
      <c r="AB1" s="262"/>
      <c r="AC1" s="263"/>
      <c r="AD1" s="263"/>
    </row>
    <row r="2" spans="1:40" x14ac:dyDescent="0.25">
      <c r="A2" s="255"/>
      <c r="B2" s="264"/>
      <c r="C2" s="256"/>
      <c r="D2" s="256"/>
      <c r="E2" s="265"/>
      <c r="F2" s="256"/>
      <c r="G2" s="256"/>
      <c r="H2" s="266" t="s">
        <v>93</v>
      </c>
      <c r="I2" s="256"/>
      <c r="J2" s="256"/>
      <c r="K2" s="256"/>
      <c r="L2" s="256"/>
      <c r="M2" s="256"/>
      <c r="N2" s="267" t="s">
        <v>179</v>
      </c>
      <c r="O2" s="256"/>
      <c r="Y2" s="256" t="s">
        <v>212</v>
      </c>
      <c r="Z2" s="260"/>
      <c r="AA2" s="268" t="s">
        <v>200</v>
      </c>
      <c r="AB2" s="262"/>
      <c r="AC2" s="269"/>
      <c r="AD2" s="263"/>
    </row>
    <row r="3" spans="1:40" x14ac:dyDescent="0.25">
      <c r="A3" s="255"/>
      <c r="B3" s="256"/>
      <c r="C3" s="256"/>
      <c r="D3" s="256"/>
      <c r="E3" s="265"/>
      <c r="F3" s="256"/>
      <c r="G3" s="256"/>
      <c r="H3" s="266" t="s">
        <v>180</v>
      </c>
      <c r="I3" s="256"/>
      <c r="J3" s="256"/>
      <c r="K3" s="256"/>
      <c r="L3" s="265"/>
      <c r="M3" s="256"/>
      <c r="N3" s="256"/>
      <c r="O3" s="256"/>
      <c r="Y3" s="266" t="s">
        <v>201</v>
      </c>
      <c r="Z3" s="260"/>
      <c r="AA3" s="268"/>
      <c r="AB3" s="262"/>
      <c r="AC3" s="270">
        <f t="shared" ref="AC3:AD5" si="0">+F19</f>
        <v>1.3180000000000001</v>
      </c>
      <c r="AD3" s="271">
        <f t="shared" si="0"/>
        <v>1.58</v>
      </c>
    </row>
    <row r="4" spans="1:40" x14ac:dyDescent="0.25">
      <c r="A4" s="255"/>
      <c r="B4" s="256"/>
      <c r="C4" s="256"/>
      <c r="D4" s="256"/>
      <c r="E4" s="272"/>
      <c r="F4" s="256"/>
      <c r="G4" s="256"/>
      <c r="H4" s="266" t="str">
        <f>'Monthly Forecast'!J5</f>
        <v>TEST YEAR ENDING MAY, 31 2017</v>
      </c>
      <c r="I4" s="256"/>
      <c r="J4" s="256"/>
      <c r="K4" s="256"/>
      <c r="L4" s="272"/>
      <c r="M4" s="256"/>
      <c r="N4" s="273"/>
      <c r="O4" s="256"/>
      <c r="Y4" s="266" t="s">
        <v>202</v>
      </c>
      <c r="Z4" s="260"/>
      <c r="AA4" s="268"/>
      <c r="AB4" s="262"/>
      <c r="AC4" s="270">
        <f t="shared" si="0"/>
        <v>0.87999999999999989</v>
      </c>
      <c r="AD4" s="271">
        <f t="shared" si="0"/>
        <v>1.01</v>
      </c>
    </row>
    <row r="5" spans="1:40" x14ac:dyDescent="0.25">
      <c r="A5" s="255"/>
      <c r="B5" s="256"/>
      <c r="C5" s="256"/>
      <c r="D5" s="256"/>
      <c r="E5" s="272"/>
      <c r="F5" s="256"/>
      <c r="G5" s="256"/>
      <c r="H5" s="256"/>
      <c r="I5" s="272"/>
      <c r="J5" s="272"/>
      <c r="K5" s="256"/>
      <c r="L5" s="273"/>
      <c r="M5" s="272"/>
      <c r="N5" s="256"/>
      <c r="O5" s="256"/>
      <c r="Y5" s="266" t="s">
        <v>203</v>
      </c>
      <c r="Z5" s="260"/>
      <c r="AA5" s="273"/>
      <c r="AB5" s="262"/>
      <c r="AC5" s="270">
        <f t="shared" si="0"/>
        <v>0.62</v>
      </c>
      <c r="AD5" s="271">
        <f t="shared" si="0"/>
        <v>0.7228</v>
      </c>
    </row>
    <row r="6" spans="1:40" x14ac:dyDescent="0.25">
      <c r="A6" s="266" t="s">
        <v>12</v>
      </c>
      <c r="B6" s="256"/>
      <c r="C6" s="266"/>
      <c r="D6" s="256"/>
      <c r="E6" s="256"/>
      <c r="F6" s="266" t="s">
        <v>181</v>
      </c>
      <c r="G6" s="266" t="s">
        <v>182</v>
      </c>
      <c r="H6" s="256"/>
      <c r="I6" s="256"/>
      <c r="J6" s="266"/>
      <c r="K6" s="256"/>
      <c r="L6" s="266" t="s">
        <v>230</v>
      </c>
      <c r="M6" s="266"/>
      <c r="N6" s="266" t="s">
        <v>183</v>
      </c>
      <c r="O6" s="266"/>
      <c r="Y6" s="266" t="s">
        <v>207</v>
      </c>
      <c r="Z6" s="273"/>
      <c r="AA6" s="273"/>
      <c r="AB6" s="280"/>
      <c r="AC6" s="270">
        <f>+F27</f>
        <v>0.80770000000000008</v>
      </c>
      <c r="AD6" s="271">
        <f>+G27</f>
        <v>0.89</v>
      </c>
    </row>
    <row r="7" spans="1:40" x14ac:dyDescent="0.25">
      <c r="A7" s="278" t="s">
        <v>17</v>
      </c>
      <c r="B7" s="279" t="s">
        <v>184</v>
      </c>
      <c r="C7" s="278"/>
      <c r="D7" s="278" t="s">
        <v>185</v>
      </c>
      <c r="E7" s="278"/>
      <c r="F7" s="278" t="s">
        <v>6</v>
      </c>
      <c r="G7" s="278" t="s">
        <v>6</v>
      </c>
      <c r="H7" s="278"/>
      <c r="I7" s="279" t="s">
        <v>184</v>
      </c>
      <c r="J7" s="278"/>
      <c r="K7" s="278"/>
      <c r="L7" s="278" t="s">
        <v>186</v>
      </c>
      <c r="M7" s="278" t="s">
        <v>187</v>
      </c>
      <c r="N7" s="278" t="s">
        <v>186</v>
      </c>
      <c r="O7" s="281" t="s">
        <v>187</v>
      </c>
      <c r="Y7" s="266" t="s">
        <v>203</v>
      </c>
      <c r="Z7" s="273"/>
      <c r="AA7" s="273"/>
      <c r="AB7" s="280"/>
      <c r="AC7" s="270">
        <f>+F28</f>
        <v>0.54190000000000005</v>
      </c>
      <c r="AD7" s="271">
        <f>+G28</f>
        <v>0.6</v>
      </c>
    </row>
    <row r="8" spans="1:40" x14ac:dyDescent="0.25">
      <c r="B8" s="256"/>
      <c r="C8" s="266" t="s">
        <v>13</v>
      </c>
      <c r="D8" s="266" t="s">
        <v>14</v>
      </c>
      <c r="E8" s="266" t="s">
        <v>15</v>
      </c>
      <c r="F8" s="266" t="s">
        <v>16</v>
      </c>
      <c r="G8" s="266" t="s">
        <v>108</v>
      </c>
      <c r="H8" s="266" t="s">
        <v>109</v>
      </c>
      <c r="I8" s="266" t="s">
        <v>110</v>
      </c>
      <c r="J8" s="266" t="s">
        <v>111</v>
      </c>
      <c r="K8" s="266" t="s">
        <v>112</v>
      </c>
      <c r="L8" s="266" t="s">
        <v>113</v>
      </c>
      <c r="M8" s="266" t="s">
        <v>114</v>
      </c>
      <c r="N8" s="266" t="s">
        <v>115</v>
      </c>
      <c r="O8" s="274" t="s">
        <v>116</v>
      </c>
      <c r="Y8" s="275"/>
      <c r="Z8" s="260"/>
      <c r="AA8" s="273"/>
      <c r="AB8" s="262"/>
      <c r="AC8" s="276"/>
      <c r="AD8" s="277"/>
    </row>
    <row r="9" spans="1:40" x14ac:dyDescent="0.25">
      <c r="B9" s="360"/>
      <c r="C9" s="360"/>
      <c r="D9" s="360"/>
      <c r="E9" s="360"/>
      <c r="F9" s="360"/>
      <c r="G9" s="360"/>
      <c r="H9" s="360"/>
      <c r="I9" s="360"/>
      <c r="J9" s="393"/>
      <c r="K9" s="360"/>
      <c r="L9" s="360"/>
      <c r="M9" s="360"/>
      <c r="N9" s="360"/>
      <c r="O9" s="360"/>
      <c r="Y9" s="256" t="s">
        <v>214</v>
      </c>
      <c r="Z9" s="273"/>
      <c r="AA9" s="268" t="s">
        <v>205</v>
      </c>
      <c r="AB9" s="280"/>
      <c r="AC9" s="277"/>
      <c r="AD9" s="277"/>
    </row>
    <row r="10" spans="1:40" x14ac:dyDescent="0.25">
      <c r="A10" s="256"/>
      <c r="B10" s="259"/>
      <c r="C10" s="256"/>
      <c r="D10" s="256"/>
      <c r="E10" s="256"/>
      <c r="F10" s="256"/>
      <c r="G10" s="256"/>
      <c r="H10" s="256"/>
      <c r="I10" s="259"/>
      <c r="J10" s="256"/>
      <c r="K10" s="256"/>
      <c r="L10" s="256"/>
      <c r="M10" s="256"/>
      <c r="N10" s="256"/>
      <c r="O10" s="273"/>
      <c r="Q10" s="282"/>
      <c r="Y10" s="256"/>
      <c r="Z10" s="283"/>
      <c r="AA10" s="256"/>
      <c r="AB10" s="255"/>
      <c r="AC10" s="266" t="s">
        <v>181</v>
      </c>
      <c r="AD10" s="266"/>
      <c r="AE10" s="266"/>
      <c r="AF10" s="266"/>
      <c r="AG10" s="284"/>
      <c r="AH10" s="284"/>
      <c r="AI10" s="284"/>
      <c r="AJ10" s="284"/>
      <c r="AK10" s="256" t="s">
        <v>400</v>
      </c>
      <c r="AL10" s="284"/>
    </row>
    <row r="11" spans="1:40" x14ac:dyDescent="0.25">
      <c r="A11" s="256">
        <v>1</v>
      </c>
      <c r="B11" s="259" t="s">
        <v>188</v>
      </c>
      <c r="C11" s="273"/>
      <c r="D11" s="273"/>
      <c r="E11" s="284"/>
      <c r="F11" s="483"/>
      <c r="G11" s="273"/>
      <c r="H11" s="273"/>
      <c r="I11" s="259" t="s">
        <v>189</v>
      </c>
      <c r="J11" s="273"/>
      <c r="K11" s="273"/>
      <c r="L11" s="284"/>
      <c r="M11" s="284"/>
      <c r="N11" s="273"/>
      <c r="O11" s="285"/>
      <c r="P11" s="284" t="s">
        <v>666</v>
      </c>
      <c r="Q11" s="282"/>
      <c r="U11" s="258" t="s">
        <v>680</v>
      </c>
      <c r="V11" s="258" t="s">
        <v>181</v>
      </c>
      <c r="W11" s="258" t="s">
        <v>681</v>
      </c>
      <c r="X11" s="328" t="s">
        <v>224</v>
      </c>
      <c r="Y11" s="279" t="s">
        <v>184</v>
      </c>
      <c r="Z11" s="286"/>
      <c r="AA11" s="278" t="s">
        <v>185</v>
      </c>
      <c r="AB11" s="286"/>
      <c r="AC11" s="278" t="s">
        <v>6</v>
      </c>
      <c r="AD11" s="287" t="s">
        <v>387</v>
      </c>
      <c r="AE11" s="278"/>
      <c r="AF11" s="287" t="s">
        <v>368</v>
      </c>
      <c r="AG11" s="287" t="s">
        <v>379</v>
      </c>
      <c r="AH11" s="287" t="s">
        <v>381</v>
      </c>
      <c r="AI11" s="287" t="s">
        <v>382</v>
      </c>
      <c r="AJ11" s="284"/>
      <c r="AK11" s="287">
        <v>0.71389999999999998</v>
      </c>
      <c r="AL11" s="287">
        <v>2.2471999999999999</v>
      </c>
      <c r="AM11" s="288"/>
      <c r="AN11" s="288"/>
    </row>
    <row r="12" spans="1:40" x14ac:dyDescent="0.25">
      <c r="A12" s="256">
        <v>2</v>
      </c>
      <c r="B12" s="256" t="s">
        <v>190</v>
      </c>
      <c r="C12" s="260"/>
      <c r="D12" s="268" t="s">
        <v>7</v>
      </c>
      <c r="E12" s="289"/>
      <c r="F12" s="263">
        <f>[4]Kentucky!$F$13+'[5]Exhibit A'!$D$9</f>
        <v>18.649999999999999</v>
      </c>
      <c r="G12" s="263">
        <v>18.25</v>
      </c>
      <c r="H12" s="291"/>
      <c r="I12" s="256" t="s">
        <v>191</v>
      </c>
      <c r="J12" s="273"/>
      <c r="K12" s="268"/>
      <c r="L12" s="292">
        <v>34</v>
      </c>
      <c r="M12" s="292">
        <v>44</v>
      </c>
      <c r="N12" s="263">
        <v>34</v>
      </c>
      <c r="O12" s="263">
        <v>44</v>
      </c>
      <c r="P12" s="284"/>
      <c r="Q12" s="293">
        <v>13.5</v>
      </c>
      <c r="R12" s="284">
        <v>13.25</v>
      </c>
      <c r="T12" s="258">
        <v>1.78</v>
      </c>
      <c r="Y12" s="284"/>
      <c r="AA12" s="284"/>
      <c r="AD12" s="294"/>
      <c r="AF12" s="294"/>
      <c r="AG12" s="294"/>
      <c r="AH12" s="294"/>
      <c r="AI12" s="294"/>
      <c r="AK12" s="294"/>
      <c r="AL12" s="294"/>
      <c r="AM12" s="294"/>
      <c r="AN12" s="294"/>
    </row>
    <row r="13" spans="1:40" x14ac:dyDescent="0.25">
      <c r="A13" s="256">
        <v>3</v>
      </c>
      <c r="B13" s="256" t="s">
        <v>192</v>
      </c>
      <c r="C13" s="260"/>
      <c r="D13" s="268" t="s">
        <v>7</v>
      </c>
      <c r="E13" s="289"/>
      <c r="F13" s="574">
        <f>[4]Kentucky!$F$16+'[5]Exhibit A'!$D$10</f>
        <v>48.44</v>
      </c>
      <c r="G13" s="295">
        <v>45</v>
      </c>
      <c r="H13" s="291"/>
      <c r="I13" s="256" t="s">
        <v>231</v>
      </c>
      <c r="J13" s="273"/>
      <c r="K13" s="268"/>
      <c r="L13" s="296">
        <v>23</v>
      </c>
      <c r="M13" s="296">
        <v>28</v>
      </c>
      <c r="N13" s="263">
        <v>23</v>
      </c>
      <c r="O13" s="263">
        <v>28</v>
      </c>
      <c r="P13" s="284"/>
      <c r="Q13" s="293">
        <v>30</v>
      </c>
      <c r="R13" s="284">
        <v>30</v>
      </c>
      <c r="T13" s="258">
        <v>5.7</v>
      </c>
      <c r="Y13" s="259" t="s">
        <v>188</v>
      </c>
      <c r="Z13" s="273"/>
      <c r="AA13" s="273"/>
      <c r="AD13" s="297"/>
      <c r="AF13" s="297"/>
      <c r="AG13" s="297"/>
      <c r="AH13" s="297"/>
      <c r="AI13" s="297"/>
      <c r="AK13" s="297"/>
      <c r="AL13" s="297"/>
      <c r="AM13" s="297"/>
      <c r="AN13" s="297"/>
    </row>
    <row r="14" spans="1:40" x14ac:dyDescent="0.25">
      <c r="A14" s="256">
        <v>4</v>
      </c>
      <c r="B14" s="256" t="s">
        <v>524</v>
      </c>
      <c r="C14" s="260"/>
      <c r="D14" s="268" t="s">
        <v>519</v>
      </c>
      <c r="E14" s="289"/>
      <c r="F14" s="574">
        <f>[4]Kentucky!$F$19+'[5]Exhibit A'!$D$11</f>
        <v>395.56</v>
      </c>
      <c r="G14" s="295">
        <v>375</v>
      </c>
      <c r="H14" s="291"/>
      <c r="I14" s="256" t="s">
        <v>232</v>
      </c>
      <c r="J14" s="273"/>
      <c r="K14" s="268"/>
      <c r="L14" s="296">
        <v>12</v>
      </c>
      <c r="M14" s="296">
        <v>14</v>
      </c>
      <c r="N14" s="263">
        <v>12</v>
      </c>
      <c r="O14" s="263">
        <v>14</v>
      </c>
      <c r="P14" s="284"/>
      <c r="Q14" s="293">
        <v>300</v>
      </c>
      <c r="R14" s="284">
        <v>300</v>
      </c>
      <c r="T14" s="258">
        <v>44.07</v>
      </c>
      <c r="Y14" s="256" t="s">
        <v>190</v>
      </c>
      <c r="Z14" s="260"/>
      <c r="AA14" s="268" t="s">
        <v>7</v>
      </c>
      <c r="AB14" s="262"/>
      <c r="AC14" s="290">
        <v>7.5</v>
      </c>
      <c r="AD14" s="298">
        <f>+$G$12</f>
        <v>18.25</v>
      </c>
      <c r="AE14" s="299"/>
      <c r="AF14" s="300">
        <v>13</v>
      </c>
      <c r="AG14" s="300">
        <v>14</v>
      </c>
      <c r="AH14" s="300">
        <v>14</v>
      </c>
      <c r="AI14" s="300">
        <v>14</v>
      </c>
      <c r="AK14" s="298"/>
      <c r="AL14" s="298"/>
      <c r="AM14" s="298"/>
      <c r="AN14" s="298"/>
    </row>
    <row r="15" spans="1:40" x14ac:dyDescent="0.25">
      <c r="A15" s="256">
        <v>5</v>
      </c>
      <c r="B15" s="256" t="s">
        <v>521</v>
      </c>
      <c r="C15" s="260"/>
      <c r="D15" s="268" t="s">
        <v>520</v>
      </c>
      <c r="E15" s="289"/>
      <c r="F15" s="574">
        <f>[4]Kentucky!$F$25+'[5]Exhibit A'!$D$17</f>
        <v>390.12</v>
      </c>
      <c r="G15" s="295">
        <f>+G14</f>
        <v>375</v>
      </c>
      <c r="H15" s="291"/>
      <c r="I15" s="256" t="s">
        <v>233</v>
      </c>
      <c r="J15" s="273"/>
      <c r="K15" s="268"/>
      <c r="L15" s="296">
        <v>39</v>
      </c>
      <c r="M15" s="296">
        <v>47</v>
      </c>
      <c r="N15" s="263">
        <v>39</v>
      </c>
      <c r="O15" s="263">
        <v>47</v>
      </c>
      <c r="P15" s="284"/>
      <c r="Q15" s="293">
        <v>300</v>
      </c>
      <c r="R15" s="284">
        <v>300</v>
      </c>
      <c r="T15" s="258">
        <v>28.33</v>
      </c>
      <c r="Y15" s="256" t="s">
        <v>192</v>
      </c>
      <c r="Z15" s="260"/>
      <c r="AA15" s="268" t="s">
        <v>193</v>
      </c>
      <c r="AB15" s="262"/>
      <c r="AC15" s="301">
        <v>20</v>
      </c>
      <c r="AD15" s="302">
        <f>+$G$13</f>
        <v>45</v>
      </c>
      <c r="AE15" s="303"/>
      <c r="AF15" s="304">
        <v>35</v>
      </c>
      <c r="AG15" s="304">
        <v>35</v>
      </c>
      <c r="AH15" s="304">
        <v>32</v>
      </c>
      <c r="AI15" s="304">
        <v>32</v>
      </c>
      <c r="AK15" s="302"/>
      <c r="AL15" s="302"/>
      <c r="AM15" s="302"/>
      <c r="AN15" s="302"/>
    </row>
    <row r="16" spans="1:40" x14ac:dyDescent="0.25">
      <c r="A16" s="256">
        <v>6</v>
      </c>
      <c r="B16" s="256" t="s">
        <v>523</v>
      </c>
      <c r="C16" s="260"/>
      <c r="D16" s="268" t="s">
        <v>522</v>
      </c>
      <c r="E16" s="289"/>
      <c r="F16" s="574">
        <f>[4]Kentucky!$F$23+'[5]Exhibit A'!$D$14</f>
        <v>388.79</v>
      </c>
      <c r="G16" s="295">
        <f>+G15</f>
        <v>375</v>
      </c>
      <c r="H16" s="273"/>
      <c r="I16" s="256" t="s">
        <v>234</v>
      </c>
      <c r="J16" s="273"/>
      <c r="K16" s="268"/>
      <c r="L16" s="296">
        <v>65</v>
      </c>
      <c r="M16" s="296">
        <v>73</v>
      </c>
      <c r="N16" s="263">
        <v>65</v>
      </c>
      <c r="O16" s="263">
        <v>73</v>
      </c>
      <c r="P16" s="284"/>
      <c r="Q16" s="273"/>
      <c r="R16" s="284"/>
      <c r="T16" s="258">
        <v>29.24</v>
      </c>
      <c r="Y16" s="256" t="s">
        <v>194</v>
      </c>
      <c r="Z16" s="260"/>
      <c r="AA16" s="268" t="s">
        <v>195</v>
      </c>
      <c r="AB16" s="262"/>
      <c r="AC16" s="305">
        <v>220</v>
      </c>
      <c r="AD16" s="302">
        <f>+$G$14</f>
        <v>375</v>
      </c>
      <c r="AE16" s="306"/>
      <c r="AF16" s="307">
        <v>300</v>
      </c>
      <c r="AG16" s="304">
        <v>300</v>
      </c>
      <c r="AH16" s="304">
        <v>300</v>
      </c>
      <c r="AI16" s="304">
        <v>300</v>
      </c>
      <c r="AK16" s="302"/>
      <c r="AL16" s="302"/>
      <c r="AM16" s="302"/>
      <c r="AN16" s="302"/>
    </row>
    <row r="17" spans="1:40" x14ac:dyDescent="0.25">
      <c r="A17" s="256">
        <v>7</v>
      </c>
      <c r="B17" s="259" t="s">
        <v>198</v>
      </c>
      <c r="D17" s="284"/>
      <c r="E17" s="284" t="s">
        <v>550</v>
      </c>
      <c r="F17" s="574">
        <f>[4]Kentucky!$F$23</f>
        <v>350</v>
      </c>
      <c r="G17" s="308">
        <f>+F17</f>
        <v>350</v>
      </c>
      <c r="H17" s="273"/>
      <c r="I17" s="256" t="s">
        <v>206</v>
      </c>
      <c r="J17" s="273"/>
      <c r="K17" s="268"/>
      <c r="L17" s="309">
        <v>0</v>
      </c>
      <c r="M17" s="309" t="s">
        <v>177</v>
      </c>
      <c r="N17" s="263">
        <f>+L17</f>
        <v>0</v>
      </c>
      <c r="O17" s="310" t="str">
        <f>+M17</f>
        <v>N/A</v>
      </c>
      <c r="P17" s="284"/>
      <c r="Q17" s="273"/>
      <c r="R17" s="284"/>
      <c r="Y17" s="256" t="s">
        <v>196</v>
      </c>
      <c r="Z17" s="260"/>
      <c r="AA17" s="268" t="s">
        <v>197</v>
      </c>
      <c r="AB17" s="262"/>
      <c r="AC17" s="305">
        <v>220</v>
      </c>
      <c r="AD17" s="302">
        <f>+$G$15</f>
        <v>375</v>
      </c>
      <c r="AE17" s="306"/>
      <c r="AF17" s="311">
        <f>+AF16</f>
        <v>300</v>
      </c>
      <c r="AG17" s="304">
        <v>300</v>
      </c>
      <c r="AH17" s="304">
        <v>300</v>
      </c>
      <c r="AI17" s="304">
        <v>300</v>
      </c>
      <c r="AK17" s="302"/>
      <c r="AL17" s="302"/>
      <c r="AM17" s="302"/>
      <c r="AN17" s="302"/>
    </row>
    <row r="18" spans="1:40" x14ac:dyDescent="0.25">
      <c r="A18" s="256">
        <v>8</v>
      </c>
      <c r="B18" s="256" t="s">
        <v>414</v>
      </c>
      <c r="C18" s="260"/>
      <c r="D18" s="268" t="s">
        <v>7</v>
      </c>
      <c r="E18" s="289"/>
      <c r="F18" s="263"/>
      <c r="G18" s="263"/>
      <c r="H18" s="273"/>
      <c r="I18" s="256" t="s">
        <v>235</v>
      </c>
      <c r="J18" s="273"/>
      <c r="K18" s="268"/>
      <c r="L18" s="296">
        <v>20</v>
      </c>
      <c r="M18" s="309" t="s">
        <v>177</v>
      </c>
      <c r="N18" s="263">
        <v>20</v>
      </c>
      <c r="O18" s="310" t="str">
        <f>+M18</f>
        <v>N/A</v>
      </c>
      <c r="P18" s="284"/>
      <c r="Q18" s="273"/>
      <c r="R18" s="284"/>
      <c r="Y18" s="266" t="s">
        <v>356</v>
      </c>
      <c r="Z18" s="260"/>
      <c r="AA18" s="268" t="s">
        <v>355</v>
      </c>
      <c r="AB18" s="262"/>
      <c r="AC18" s="312" t="s">
        <v>354</v>
      </c>
      <c r="AD18" s="313"/>
      <c r="AE18" s="314"/>
      <c r="AF18" s="315" t="s">
        <v>354</v>
      </c>
      <c r="AG18" s="315" t="s">
        <v>354</v>
      </c>
      <c r="AH18" s="316">
        <v>0.6</v>
      </c>
      <c r="AI18" s="316">
        <v>0.61</v>
      </c>
      <c r="AK18" s="313"/>
      <c r="AL18" s="313"/>
      <c r="AM18" s="313"/>
      <c r="AN18" s="313"/>
    </row>
    <row r="19" spans="1:40" x14ac:dyDescent="0.25">
      <c r="A19" s="256">
        <v>9</v>
      </c>
      <c r="B19" s="266" t="s">
        <v>201</v>
      </c>
      <c r="C19" s="260"/>
      <c r="D19" s="284"/>
      <c r="E19" s="289">
        <f>+G19-F19</f>
        <v>0.26200000000000001</v>
      </c>
      <c r="F19" s="317">
        <f>[4]Kentucky!M13*10</f>
        <v>1.3180000000000001</v>
      </c>
      <c r="G19" s="317">
        <v>1.58</v>
      </c>
      <c r="H19" s="273">
        <f>+N52</f>
        <v>-39.315079733729362</v>
      </c>
      <c r="I19" s="256" t="s">
        <v>208</v>
      </c>
      <c r="J19" s="273"/>
      <c r="K19" s="268"/>
      <c r="L19" s="296">
        <v>25</v>
      </c>
      <c r="M19" s="309" t="s">
        <v>177</v>
      </c>
      <c r="N19" s="263">
        <v>25</v>
      </c>
      <c r="O19" s="310" t="str">
        <f>+M19</f>
        <v>N/A</v>
      </c>
      <c r="P19" s="284"/>
      <c r="Q19" s="273"/>
      <c r="R19" s="284"/>
      <c r="U19" s="258">
        <v>4.0834999999999999</v>
      </c>
      <c r="V19" s="549">
        <f>+U19+F19</f>
        <v>5.4015000000000004</v>
      </c>
      <c r="W19" s="549">
        <f>+U19+G19</f>
        <v>5.6635</v>
      </c>
      <c r="X19" s="550">
        <f>+(W19-V19)/V19</f>
        <v>4.8505044894936511E-2</v>
      </c>
      <c r="Y19" s="284"/>
      <c r="AA19" s="284"/>
      <c r="AD19" s="294"/>
      <c r="AF19" s="294"/>
      <c r="AG19" s="294"/>
      <c r="AH19" s="294"/>
      <c r="AI19" s="294"/>
      <c r="AK19" s="294"/>
      <c r="AL19" s="294"/>
      <c r="AM19" s="294"/>
      <c r="AN19" s="294"/>
    </row>
    <row r="20" spans="1:40" x14ac:dyDescent="0.25">
      <c r="A20" s="256">
        <v>10</v>
      </c>
      <c r="B20" s="266" t="s">
        <v>202</v>
      </c>
      <c r="C20" s="260"/>
      <c r="D20" s="268"/>
      <c r="E20" s="289">
        <f t="shared" ref="E20:E21" si="1">+G20-F20</f>
        <v>0.13000000000000012</v>
      </c>
      <c r="F20" s="317">
        <f>[4]Kentucky!M14*10</f>
        <v>0.87999999999999989</v>
      </c>
      <c r="G20" s="317">
        <v>1.01</v>
      </c>
      <c r="H20" s="318"/>
      <c r="I20" s="256" t="s">
        <v>213</v>
      </c>
      <c r="J20" s="273"/>
      <c r="K20" s="268"/>
      <c r="L20" s="319">
        <v>0.05</v>
      </c>
      <c r="M20" s="319">
        <v>0.05</v>
      </c>
      <c r="N20" s="320">
        <f>+L20</f>
        <v>0.05</v>
      </c>
      <c r="O20" s="320">
        <f>+M20</f>
        <v>0.05</v>
      </c>
      <c r="P20" s="284"/>
      <c r="Q20" s="293">
        <v>1.19</v>
      </c>
      <c r="R20" s="284">
        <v>1.21</v>
      </c>
      <c r="U20" s="258">
        <f>+U19</f>
        <v>4.0834999999999999</v>
      </c>
      <c r="V20" s="549">
        <f>+U20+F20</f>
        <v>4.9634999999999998</v>
      </c>
      <c r="W20" s="549">
        <f>+U20+G20</f>
        <v>5.0934999999999997</v>
      </c>
      <c r="X20" s="550">
        <f>+(W20-V20)/V20</f>
        <v>2.6191195728820369E-2</v>
      </c>
      <c r="Y20" s="256" t="s">
        <v>199</v>
      </c>
      <c r="Z20" s="260"/>
      <c r="AA20" s="268" t="s">
        <v>352</v>
      </c>
      <c r="AB20" s="262"/>
      <c r="AC20" s="263"/>
      <c r="AD20" s="321"/>
      <c r="AE20" s="263"/>
      <c r="AF20" s="321"/>
      <c r="AG20" s="321"/>
      <c r="AH20" s="321"/>
      <c r="AI20" s="321"/>
      <c r="AK20" s="321"/>
      <c r="AL20" s="321"/>
      <c r="AM20" s="321"/>
      <c r="AN20" s="321"/>
    </row>
    <row r="21" spans="1:40" x14ac:dyDescent="0.25">
      <c r="A21" s="256">
        <v>11</v>
      </c>
      <c r="B21" s="266" t="s">
        <v>203</v>
      </c>
      <c r="C21" s="260"/>
      <c r="D21" s="273"/>
      <c r="E21" s="289">
        <f t="shared" si="1"/>
        <v>0.1028</v>
      </c>
      <c r="F21" s="317">
        <f>[4]Kentucky!M15*10</f>
        <v>0.62</v>
      </c>
      <c r="G21" s="317">
        <v>0.7228</v>
      </c>
      <c r="H21" s="318"/>
      <c r="I21" s="256" t="s">
        <v>209</v>
      </c>
      <c r="J21" s="273"/>
      <c r="K21" s="273"/>
      <c r="L21" s="296">
        <v>75</v>
      </c>
      <c r="M21" s="309" t="s">
        <v>177</v>
      </c>
      <c r="N21" s="263">
        <v>75</v>
      </c>
      <c r="O21" s="310" t="str">
        <f>+M21</f>
        <v>N/A</v>
      </c>
      <c r="P21" s="284"/>
      <c r="Q21" s="293">
        <v>0.77</v>
      </c>
      <c r="R21" s="284">
        <v>0.79</v>
      </c>
      <c r="U21" s="258">
        <f>+U20</f>
        <v>4.0834999999999999</v>
      </c>
      <c r="V21" s="549">
        <f>+U21+F21</f>
        <v>4.7035</v>
      </c>
      <c r="W21" s="549">
        <f>+U21+G21</f>
        <v>4.8063000000000002</v>
      </c>
      <c r="X21" s="550">
        <f>+(W21-V21)/V21</f>
        <v>2.1856064632720364E-2</v>
      </c>
      <c r="Y21" s="284"/>
      <c r="AA21" s="268" t="s">
        <v>353</v>
      </c>
      <c r="AB21" s="262"/>
      <c r="AC21" s="269"/>
      <c r="AD21" s="321"/>
      <c r="AE21" s="269"/>
      <c r="AF21" s="321"/>
      <c r="AG21" s="321"/>
      <c r="AH21" s="321"/>
      <c r="AI21" s="321"/>
      <c r="AK21" s="321"/>
      <c r="AL21" s="321"/>
      <c r="AM21" s="321"/>
      <c r="AN21" s="321"/>
    </row>
    <row r="22" spans="1:40" x14ac:dyDescent="0.25">
      <c r="A22" s="256">
        <v>12</v>
      </c>
      <c r="B22" s="256" t="s">
        <v>521</v>
      </c>
      <c r="C22" s="260"/>
      <c r="D22" s="268" t="s">
        <v>520</v>
      </c>
      <c r="E22" s="289"/>
      <c r="F22" s="263"/>
      <c r="G22" s="263"/>
      <c r="H22" s="291"/>
      <c r="I22" s="256" t="s">
        <v>210</v>
      </c>
      <c r="J22" s="273"/>
      <c r="K22" s="273"/>
      <c r="L22" s="296">
        <v>175</v>
      </c>
      <c r="M22" s="309" t="s">
        <v>177</v>
      </c>
      <c r="N22" s="263">
        <v>175</v>
      </c>
      <c r="O22" s="310" t="str">
        <f>+M22</f>
        <v>N/A</v>
      </c>
      <c r="P22" s="322"/>
      <c r="Q22" s="293">
        <v>0.49</v>
      </c>
      <c r="R22" s="284">
        <v>0.49149999999999999</v>
      </c>
      <c r="Y22" s="266" t="s">
        <v>201</v>
      </c>
      <c r="Z22" s="260"/>
      <c r="AA22" s="284"/>
      <c r="AB22" s="262"/>
      <c r="AC22" s="323">
        <v>1.19</v>
      </c>
      <c r="AD22" s="313">
        <f>+$G$19</f>
        <v>1.58</v>
      </c>
      <c r="AE22" s="270"/>
      <c r="AF22" s="316">
        <v>0.89</v>
      </c>
      <c r="AG22" s="316">
        <v>0.75</v>
      </c>
      <c r="AH22" s="316">
        <v>1.05</v>
      </c>
      <c r="AI22" s="316">
        <v>1.1299999999999999</v>
      </c>
      <c r="AK22" s="313">
        <f>+AD22-$AC$22+$AK$11</f>
        <v>1.1039000000000001</v>
      </c>
      <c r="AL22" s="313"/>
      <c r="AM22" s="313"/>
      <c r="AN22" s="313"/>
    </row>
    <row r="23" spans="1:40" x14ac:dyDescent="0.25">
      <c r="A23" s="256">
        <v>13</v>
      </c>
      <c r="B23" s="266" t="s">
        <v>201</v>
      </c>
      <c r="C23" s="260"/>
      <c r="D23" s="284"/>
      <c r="E23" s="289"/>
      <c r="F23" s="317">
        <f>[4]Kentucky!K25*10+'[5]Exhibit A'!E18</f>
        <v>1.4401000000000002</v>
      </c>
      <c r="G23" s="317">
        <f>+G19</f>
        <v>1.58</v>
      </c>
      <c r="H23" s="273"/>
      <c r="I23" s="284"/>
      <c r="J23" s="284"/>
      <c r="K23" s="284"/>
      <c r="L23" s="284"/>
      <c r="M23" s="284"/>
      <c r="N23" s="284"/>
      <c r="O23" s="284"/>
      <c r="P23" s="530">
        <f>ROUND([4]Kentucky!K25*10*0.75,4)</f>
        <v>0.98850000000000005</v>
      </c>
      <c r="Q23" s="273"/>
      <c r="R23" s="284"/>
      <c r="T23" s="258">
        <v>9.2999999999999999E-2</v>
      </c>
      <c r="V23" s="549">
        <f>+U23+F23</f>
        <v>1.4401000000000002</v>
      </c>
      <c r="W23" s="549">
        <f>+U23+G23</f>
        <v>1.58</v>
      </c>
      <c r="X23" s="550">
        <f>+(W23-V23)/V23</f>
        <v>9.7146031525588428E-2</v>
      </c>
      <c r="Y23" s="266" t="s">
        <v>202</v>
      </c>
      <c r="Z23" s="260"/>
      <c r="AA23" s="268"/>
      <c r="AB23" s="262"/>
      <c r="AC23" s="323">
        <v>0.65900000000000003</v>
      </c>
      <c r="AD23" s="313">
        <f>+$G$20</f>
        <v>1.01</v>
      </c>
      <c r="AE23" s="270"/>
      <c r="AF23" s="316">
        <v>0.75</v>
      </c>
      <c r="AG23" s="316">
        <v>0.75</v>
      </c>
      <c r="AH23" s="316">
        <v>0.84</v>
      </c>
      <c r="AI23" s="316">
        <v>0.75</v>
      </c>
      <c r="AK23" s="313">
        <f>+AD23-$AC$22+$AK$11</f>
        <v>0.53390000000000004</v>
      </c>
      <c r="AL23" s="313"/>
      <c r="AM23" s="313"/>
      <c r="AN23" s="313"/>
    </row>
    <row r="24" spans="1:40" x14ac:dyDescent="0.25">
      <c r="A24" s="256">
        <v>14</v>
      </c>
      <c r="B24" s="266" t="s">
        <v>202</v>
      </c>
      <c r="C24" s="260"/>
      <c r="D24" s="268"/>
      <c r="E24" s="289"/>
      <c r="F24" s="317">
        <f>[4]Kentucky!K26*10+'[5]Exhibit A'!E19</f>
        <v>0.96149999999999991</v>
      </c>
      <c r="G24" s="317">
        <f>+G20</f>
        <v>1.01</v>
      </c>
      <c r="H24" s="273"/>
      <c r="I24" s="325"/>
      <c r="J24" s="284"/>
      <c r="K24" s="284"/>
      <c r="L24" s="284"/>
      <c r="M24" s="284"/>
      <c r="N24" s="284"/>
      <c r="O24" s="284"/>
      <c r="P24" s="530">
        <f>ROUND([4]Kentucky!K26*10*0.75,4)</f>
        <v>0.66</v>
      </c>
      <c r="Q24" s="273"/>
      <c r="R24" s="284"/>
      <c r="T24" s="258">
        <v>6.5100000000000005E-2</v>
      </c>
      <c r="V24" s="549">
        <f>+U24+F24</f>
        <v>0.96149999999999991</v>
      </c>
      <c r="W24" s="549">
        <f>+U24+G24</f>
        <v>1.01</v>
      </c>
      <c r="X24" s="550">
        <f>+(W24-V24)/V24</f>
        <v>5.0442017680707336E-2</v>
      </c>
      <c r="Y24" s="266" t="s">
        <v>203</v>
      </c>
      <c r="Z24" s="260"/>
      <c r="AA24" s="273"/>
      <c r="AB24" s="262"/>
      <c r="AC24" s="323">
        <v>0.43</v>
      </c>
      <c r="AD24" s="313">
        <f>+$G$21</f>
        <v>0.7228</v>
      </c>
      <c r="AE24" s="270"/>
      <c r="AF24" s="316">
        <v>0.5</v>
      </c>
      <c r="AG24" s="316">
        <v>0.5</v>
      </c>
      <c r="AH24" s="316">
        <v>0.55000000000000004</v>
      </c>
      <c r="AI24" s="316">
        <v>0.53</v>
      </c>
      <c r="AK24" s="313">
        <f>+AD24-$AC$22+$AK$11</f>
        <v>0.24670000000000003</v>
      </c>
      <c r="AL24" s="313"/>
      <c r="AM24" s="313"/>
      <c r="AN24" s="313"/>
    </row>
    <row r="25" spans="1:40" x14ac:dyDescent="0.25">
      <c r="A25" s="256">
        <v>15</v>
      </c>
      <c r="B25" s="266" t="s">
        <v>203</v>
      </c>
      <c r="C25" s="260"/>
      <c r="D25" s="273"/>
      <c r="E25" s="289"/>
      <c r="F25" s="317">
        <f>[4]Kentucky!K27*10+'[5]Exhibit A'!E20</f>
        <v>0.6774</v>
      </c>
      <c r="G25" s="317">
        <f>+G21</f>
        <v>0.7228</v>
      </c>
      <c r="H25" s="291"/>
      <c r="I25" s="284"/>
      <c r="J25" s="284"/>
      <c r="K25" s="284"/>
      <c r="L25" s="284"/>
      <c r="M25" s="284"/>
      <c r="N25" s="284"/>
      <c r="O25" s="284"/>
      <c r="P25" s="530">
        <f>ROUND([4]Kentucky!K27*10*0.75,4)</f>
        <v>0.46500000000000002</v>
      </c>
      <c r="Q25" s="293">
        <v>0.65</v>
      </c>
      <c r="R25" s="284">
        <v>0.65</v>
      </c>
      <c r="T25" s="258">
        <v>4.2299999999999997E-2</v>
      </c>
      <c r="V25" s="549">
        <f>+U25+F25</f>
        <v>0.6774</v>
      </c>
      <c r="W25" s="549">
        <f>+U25+G25</f>
        <v>0.7228</v>
      </c>
      <c r="X25" s="550">
        <f>+(W25-V25)/V25</f>
        <v>6.7020962503690579E-2</v>
      </c>
      <c r="Y25" s="275"/>
      <c r="Z25" s="260"/>
      <c r="AA25" s="273"/>
      <c r="AB25" s="262"/>
      <c r="AC25" s="276"/>
      <c r="AD25" s="324"/>
      <c r="AE25" s="276"/>
      <c r="AF25" s="324"/>
      <c r="AG25" s="324"/>
      <c r="AH25" s="324"/>
      <c r="AI25" s="324"/>
      <c r="AK25" s="324"/>
      <c r="AL25" s="324"/>
      <c r="AM25" s="324"/>
      <c r="AN25" s="324"/>
    </row>
    <row r="26" spans="1:40" x14ac:dyDescent="0.25">
      <c r="A26" s="525">
        <v>16</v>
      </c>
      <c r="B26" s="256" t="s">
        <v>524</v>
      </c>
      <c r="C26" s="273"/>
      <c r="D26" s="268" t="s">
        <v>519</v>
      </c>
      <c r="E26" s="280"/>
      <c r="F26" s="277"/>
      <c r="G26" s="277"/>
      <c r="H26" s="291"/>
      <c r="I26" s="325"/>
      <c r="J26" s="284"/>
      <c r="K26" s="284"/>
      <c r="L26" s="284"/>
      <c r="M26" s="284"/>
      <c r="N26" s="284"/>
      <c r="O26" s="284"/>
      <c r="P26" s="284"/>
      <c r="Q26" s="293"/>
      <c r="R26" s="284"/>
      <c r="Y26" s="275"/>
      <c r="Z26" s="260"/>
      <c r="AA26" s="273"/>
      <c r="AB26" s="262"/>
      <c r="AC26" s="276"/>
      <c r="AD26" s="324"/>
      <c r="AE26" s="276"/>
      <c r="AF26" s="324"/>
      <c r="AG26" s="324"/>
      <c r="AH26" s="324"/>
      <c r="AI26" s="324"/>
      <c r="AK26" s="324"/>
      <c r="AL26" s="324"/>
      <c r="AM26" s="324"/>
      <c r="AN26" s="324"/>
    </row>
    <row r="27" spans="1:40" x14ac:dyDescent="0.25">
      <c r="A27" s="256">
        <v>17</v>
      </c>
      <c r="B27" s="266" t="s">
        <v>207</v>
      </c>
      <c r="C27" s="273"/>
      <c r="D27" s="273"/>
      <c r="E27" s="289">
        <f t="shared" ref="E27:E28" si="2">+G27-F27</f>
        <v>8.2299999999999929E-2</v>
      </c>
      <c r="F27" s="317">
        <f>[4]Kentucky!K19*10+'[5]Exhibit A'!E12</f>
        <v>0.80770000000000008</v>
      </c>
      <c r="G27" s="317">
        <v>0.89</v>
      </c>
      <c r="H27" s="318"/>
      <c r="I27" s="273"/>
      <c r="J27" s="284"/>
      <c r="K27" s="284"/>
      <c r="L27" s="284"/>
      <c r="M27" s="284"/>
      <c r="N27" s="284"/>
      <c r="O27" s="284"/>
      <c r="P27" s="284"/>
      <c r="Q27" s="293">
        <v>0.41</v>
      </c>
      <c r="R27" s="284">
        <v>0.43</v>
      </c>
      <c r="U27" s="258">
        <v>2.7616999999999998</v>
      </c>
      <c r="V27" s="549">
        <f>+U27+F27</f>
        <v>3.5693999999999999</v>
      </c>
      <c r="W27" s="549">
        <f>+U27+G27</f>
        <v>3.6516999999999999</v>
      </c>
      <c r="X27" s="550">
        <f>+(W27-V27)/V27</f>
        <v>2.3057096430772691E-2</v>
      </c>
      <c r="Y27" s="256" t="s">
        <v>204</v>
      </c>
      <c r="Z27" s="273"/>
      <c r="AA27" s="268" t="s">
        <v>205</v>
      </c>
      <c r="AB27" s="280"/>
      <c r="AC27" s="277"/>
      <c r="AD27" s="324"/>
      <c r="AE27" s="277"/>
      <c r="AF27" s="324"/>
      <c r="AG27" s="324"/>
      <c r="AH27" s="324"/>
      <c r="AI27" s="324"/>
      <c r="AK27" s="324"/>
      <c r="AL27" s="324"/>
      <c r="AM27" s="324"/>
      <c r="AN27" s="324"/>
    </row>
    <row r="28" spans="1:40" x14ac:dyDescent="0.25">
      <c r="A28" s="256">
        <v>18</v>
      </c>
      <c r="B28" s="266" t="s">
        <v>203</v>
      </c>
      <c r="C28" s="273"/>
      <c r="D28" s="273"/>
      <c r="E28" s="289">
        <f t="shared" si="2"/>
        <v>5.8099999999999929E-2</v>
      </c>
      <c r="F28" s="317">
        <f>[4]Kentucky!K20*10+'[5]Exhibit A'!E13</f>
        <v>0.54190000000000005</v>
      </c>
      <c r="G28" s="317">
        <v>0.6</v>
      </c>
      <c r="H28" s="318"/>
      <c r="I28" s="326"/>
      <c r="P28" s="284"/>
      <c r="Q28" s="273"/>
      <c r="T28" s="258">
        <v>5.7000000000000002E-2</v>
      </c>
      <c r="U28" s="258">
        <f>+U27</f>
        <v>2.7616999999999998</v>
      </c>
      <c r="V28" s="549">
        <f>+U28+F28</f>
        <v>3.3035999999999999</v>
      </c>
      <c r="W28" s="549">
        <f>+U28+G28</f>
        <v>3.3616999999999999</v>
      </c>
      <c r="X28" s="550">
        <f>+(W28-V28)/V28</f>
        <v>1.758687492432499E-2</v>
      </c>
      <c r="Y28" s="266" t="s">
        <v>207</v>
      </c>
      <c r="Z28" s="273"/>
      <c r="AA28" s="273"/>
      <c r="AB28" s="280"/>
      <c r="AC28" s="323">
        <v>0.53</v>
      </c>
      <c r="AD28" s="313">
        <f>+$G$27</f>
        <v>0.89</v>
      </c>
      <c r="AE28" s="270"/>
      <c r="AF28" s="316">
        <v>0.61</v>
      </c>
      <c r="AG28" s="316">
        <v>0.63</v>
      </c>
      <c r="AH28" s="316">
        <v>0.63</v>
      </c>
      <c r="AI28" s="316">
        <v>0.6</v>
      </c>
      <c r="AK28" s="313">
        <f>+AD28-$AC$28+$AK$11</f>
        <v>1.0739000000000001</v>
      </c>
      <c r="AL28" s="313"/>
      <c r="AM28" s="313"/>
      <c r="AN28" s="313"/>
    </row>
    <row r="29" spans="1:40" x14ac:dyDescent="0.25">
      <c r="A29" s="256">
        <v>19</v>
      </c>
      <c r="B29" s="256" t="s">
        <v>523</v>
      </c>
      <c r="C29" s="273"/>
      <c r="D29" s="268" t="s">
        <v>522</v>
      </c>
      <c r="E29" s="280"/>
      <c r="F29" s="277"/>
      <c r="G29" s="277"/>
      <c r="H29" s="273"/>
      <c r="P29" s="284"/>
      <c r="Q29" s="282"/>
      <c r="T29" s="258">
        <v>5.7000000000000002E-2</v>
      </c>
      <c r="Y29" s="266" t="s">
        <v>203</v>
      </c>
      <c r="Z29" s="273"/>
      <c r="AA29" s="273"/>
      <c r="AB29" s="280"/>
      <c r="AC29" s="323">
        <v>0.35909999999999997</v>
      </c>
      <c r="AD29" s="313">
        <f>+$G$28</f>
        <v>0.6</v>
      </c>
      <c r="AE29" s="270"/>
      <c r="AF29" s="316">
        <v>0.4</v>
      </c>
      <c r="AG29" s="316">
        <v>0.41</v>
      </c>
      <c r="AH29" s="316">
        <v>0.41</v>
      </c>
      <c r="AI29" s="316">
        <v>0.41</v>
      </c>
      <c r="AK29" s="313">
        <f>+AD29-$AC$28+$AK$11</f>
        <v>0.78389999999999993</v>
      </c>
      <c r="AL29" s="313"/>
      <c r="AM29" s="313"/>
      <c r="AN29" s="313"/>
    </row>
    <row r="30" spans="1:40" x14ac:dyDescent="0.25">
      <c r="A30" s="256">
        <v>20</v>
      </c>
      <c r="B30" s="266" t="s">
        <v>207</v>
      </c>
      <c r="C30" s="273"/>
      <c r="D30" s="273"/>
      <c r="E30" s="280"/>
      <c r="F30" s="317">
        <f>[4]Kentucky!K23*10+'[5]Exhibit A'!E15</f>
        <v>0.877</v>
      </c>
      <c r="G30" s="317">
        <f>+G27</f>
        <v>0.89</v>
      </c>
      <c r="P30" s="284"/>
      <c r="Q30" s="282"/>
      <c r="V30" s="549">
        <f>+U30+F30</f>
        <v>0.877</v>
      </c>
      <c r="W30" s="549">
        <f>+U30+G30</f>
        <v>0.89</v>
      </c>
      <c r="X30" s="550">
        <f>+(W30-V30)/V30</f>
        <v>1.4823261117445851E-2</v>
      </c>
      <c r="Y30" s="322"/>
      <c r="Z30" s="282"/>
      <c r="AA30" s="282"/>
      <c r="AB30" s="282"/>
      <c r="AC30" s="282"/>
      <c r="AD30" s="327"/>
      <c r="AE30" s="282"/>
      <c r="AF30" s="327"/>
      <c r="AG30" s="327"/>
      <c r="AH30" s="327"/>
      <c r="AI30" s="327"/>
      <c r="AK30" s="327"/>
      <c r="AL30" s="327"/>
      <c r="AM30" s="327"/>
      <c r="AN30" s="327"/>
    </row>
    <row r="31" spans="1:40" x14ac:dyDescent="0.25">
      <c r="A31" s="256">
        <v>21</v>
      </c>
      <c r="B31" s="266" t="s">
        <v>203</v>
      </c>
      <c r="C31" s="273"/>
      <c r="D31" s="273"/>
      <c r="E31" s="280"/>
      <c r="F31" s="317">
        <f>[4]Kentucky!K24*10+'[5]Exhibit A'!E16</f>
        <v>0.58840000000000003</v>
      </c>
      <c r="G31" s="317">
        <f>+G28</f>
        <v>0.6</v>
      </c>
      <c r="R31" s="117"/>
      <c r="S31" s="328"/>
      <c r="V31" s="549">
        <f>+U31+F31</f>
        <v>0.58840000000000003</v>
      </c>
      <c r="W31" s="549">
        <f>+U31+G31</f>
        <v>0.6</v>
      </c>
      <c r="X31" s="550">
        <f>+(W31-V31)/V31</f>
        <v>1.9714479945615131E-2</v>
      </c>
    </row>
    <row r="32" spans="1:40" x14ac:dyDescent="0.25">
      <c r="A32" s="256">
        <v>22</v>
      </c>
      <c r="B32" s="259" t="s">
        <v>215</v>
      </c>
      <c r="C32" s="273"/>
      <c r="D32" s="273"/>
      <c r="E32" s="284"/>
      <c r="F32" s="277"/>
      <c r="G32" s="277"/>
      <c r="H32" s="273"/>
      <c r="R32" s="117"/>
      <c r="S32" s="328"/>
    </row>
    <row r="33" spans="1:40" x14ac:dyDescent="0.25">
      <c r="A33" s="256">
        <v>23</v>
      </c>
      <c r="B33" s="256" t="s">
        <v>216</v>
      </c>
      <c r="C33" s="260"/>
      <c r="D33" s="268" t="s">
        <v>217</v>
      </c>
      <c r="E33" s="289"/>
      <c r="F33" s="263">
        <f>[4]Kentucky!$G$23</f>
        <v>50</v>
      </c>
      <c r="G33" s="263">
        <v>50</v>
      </c>
      <c r="H33" s="273"/>
      <c r="P33" s="284"/>
      <c r="Q33" s="282"/>
      <c r="R33" s="326"/>
      <c r="Y33" s="329" t="s">
        <v>369</v>
      </c>
      <c r="Z33" s="330"/>
      <c r="AA33" s="330"/>
      <c r="AB33" s="330"/>
      <c r="AC33" s="330"/>
      <c r="AD33" s="331">
        <f>+$N$49</f>
        <v>3307645.677506879</v>
      </c>
      <c r="AE33" s="330"/>
      <c r="AF33" s="332">
        <v>10230823.245412879</v>
      </c>
      <c r="AG33" s="332">
        <v>9976947.6511408687</v>
      </c>
      <c r="AH33" s="332">
        <v>10043812.732589878</v>
      </c>
      <c r="AI33" s="332">
        <v>9933354.6075258628</v>
      </c>
      <c r="AK33" s="331"/>
      <c r="AL33" s="331"/>
      <c r="AM33" s="331"/>
      <c r="AN33" s="331"/>
    </row>
    <row r="34" spans="1:40" x14ac:dyDescent="0.25">
      <c r="A34" s="256">
        <v>24</v>
      </c>
      <c r="B34" s="256" t="s">
        <v>218</v>
      </c>
      <c r="C34" s="260"/>
      <c r="D34" s="268" t="s">
        <v>197</v>
      </c>
      <c r="E34" s="289"/>
      <c r="F34" s="575">
        <v>0.1</v>
      </c>
      <c r="G34" s="295">
        <v>0.1</v>
      </c>
      <c r="H34" s="273"/>
      <c r="P34" s="284"/>
      <c r="R34" s="117"/>
      <c r="Y34" s="256" t="s">
        <v>378</v>
      </c>
      <c r="Z34" s="255"/>
      <c r="AA34" s="255"/>
      <c r="AB34" s="255"/>
      <c r="AC34" s="255"/>
      <c r="AD34" s="333">
        <f>+$R$49</f>
        <v>1.982945624930952E-2</v>
      </c>
      <c r="AE34" s="255"/>
      <c r="AF34" s="334">
        <v>4.5167628786547856E-2</v>
      </c>
      <c r="AG34" s="334">
        <v>4.4046804164229833E-2</v>
      </c>
      <c r="AH34" s="334">
        <v>4.4342003983953555E-2</v>
      </c>
      <c r="AI34" s="334">
        <v>4.3854347079941798E-2</v>
      </c>
      <c r="AK34" s="333"/>
      <c r="AL34" s="333"/>
      <c r="AM34" s="333"/>
      <c r="AN34" s="333"/>
    </row>
    <row r="35" spans="1:40" x14ac:dyDescent="0.25">
      <c r="A35" s="256">
        <v>25</v>
      </c>
      <c r="P35" s="322"/>
      <c r="Q35" s="282"/>
      <c r="Y35" s="256" t="s">
        <v>370</v>
      </c>
      <c r="Z35" s="335"/>
      <c r="AA35" s="335"/>
      <c r="AB35" s="335"/>
      <c r="AC35" s="335"/>
      <c r="AD35" s="336">
        <f>+$N$39</f>
        <v>1958549.7619216815</v>
      </c>
      <c r="AE35" s="335"/>
      <c r="AF35" s="337">
        <v>7129124.5</v>
      </c>
      <c r="AG35" s="337">
        <v>7564330.3999999985</v>
      </c>
      <c r="AH35" s="337">
        <v>6053003.1499999985</v>
      </c>
      <c r="AI35" s="337">
        <v>6153758.299999997</v>
      </c>
      <c r="AK35" s="336"/>
      <c r="AL35" s="336"/>
      <c r="AM35" s="336"/>
      <c r="AN35" s="336"/>
    </row>
    <row r="36" spans="1:40" x14ac:dyDescent="0.25">
      <c r="A36" s="256">
        <v>26</v>
      </c>
      <c r="B36" s="259" t="s">
        <v>219</v>
      </c>
      <c r="C36" s="256"/>
      <c r="D36" s="256"/>
      <c r="E36" s="256"/>
      <c r="F36" s="256"/>
      <c r="G36" s="273"/>
      <c r="H36" s="273"/>
      <c r="I36" s="280"/>
      <c r="J36" s="273"/>
      <c r="K36" s="256"/>
      <c r="L36" s="273"/>
      <c r="M36" s="280"/>
      <c r="N36" s="273"/>
      <c r="O36" s="273"/>
      <c r="P36" s="338"/>
      <c r="Q36" s="339"/>
      <c r="R36" s="339"/>
      <c r="S36" s="339"/>
      <c r="T36" s="339"/>
      <c r="U36" s="339"/>
      <c r="V36" s="339"/>
      <c r="W36" s="339"/>
      <c r="Y36" s="256" t="s">
        <v>371</v>
      </c>
      <c r="Z36" s="255"/>
      <c r="AA36" s="255"/>
      <c r="AB36" s="255"/>
      <c r="AC36" s="255"/>
      <c r="AD36" s="333">
        <f>+$R$39</f>
        <v>2.043923851595305E-2</v>
      </c>
      <c r="AE36" s="255"/>
      <c r="AF36" s="334">
        <v>5.5105470583381375E-2</v>
      </c>
      <c r="AG36" s="340">
        <v>5.8469449697529818E-2</v>
      </c>
      <c r="AH36" s="334">
        <v>4.6787454339370808E-2</v>
      </c>
      <c r="AI36" s="334">
        <v>4.7566254029914726E-2</v>
      </c>
      <c r="AK36" s="333"/>
      <c r="AL36" s="333"/>
      <c r="AM36" s="333"/>
      <c r="AN36" s="333"/>
    </row>
    <row r="37" spans="1:40" ht="16.5" thickBot="1" x14ac:dyDescent="0.3">
      <c r="A37" s="256">
        <v>27</v>
      </c>
      <c r="C37" s="279"/>
      <c r="D37" s="281" t="s">
        <v>220</v>
      </c>
      <c r="E37" s="341"/>
      <c r="F37" s="342"/>
      <c r="G37" s="343" t="s">
        <v>549</v>
      </c>
      <c r="H37" s="344"/>
      <c r="I37" s="279"/>
      <c r="J37" s="281" t="s">
        <v>221</v>
      </c>
      <c r="K37" s="341"/>
      <c r="L37" s="342"/>
      <c r="M37" s="345" t="s">
        <v>222</v>
      </c>
      <c r="N37" s="344"/>
      <c r="O37" s="346"/>
      <c r="P37" s="338"/>
      <c r="Q37" s="338"/>
      <c r="R37" s="338"/>
      <c r="S37" s="339"/>
      <c r="T37" s="347">
        <v>675000</v>
      </c>
      <c r="U37" s="339"/>
      <c r="V37" s="339"/>
      <c r="W37" s="339"/>
      <c r="Y37" s="256" t="s">
        <v>372</v>
      </c>
      <c r="Z37" s="335"/>
      <c r="AA37" s="335"/>
      <c r="AB37" s="335"/>
      <c r="AC37" s="335"/>
      <c r="AD37" s="348">
        <f>+$N$40+$N$42</f>
        <v>721099.31775697274</v>
      </c>
      <c r="AE37" s="335"/>
      <c r="AF37" s="349">
        <v>1999688.3370000019</v>
      </c>
      <c r="AG37" s="349">
        <v>1285688.897000001</v>
      </c>
      <c r="AH37" s="349">
        <v>2194850.3270000005</v>
      </c>
      <c r="AI37" s="349">
        <v>2532064.3770000013</v>
      </c>
      <c r="AK37" s="348"/>
      <c r="AL37" s="348"/>
      <c r="AM37" s="348"/>
      <c r="AN37" s="348"/>
    </row>
    <row r="38" spans="1:40" ht="16.5" thickTop="1" x14ac:dyDescent="0.25">
      <c r="A38" s="256">
        <v>28</v>
      </c>
      <c r="B38" s="350" t="s">
        <v>223</v>
      </c>
      <c r="C38" s="351" t="s">
        <v>181</v>
      </c>
      <c r="D38" s="351" t="s">
        <v>182</v>
      </c>
      <c r="E38" s="352" t="s">
        <v>224</v>
      </c>
      <c r="F38" s="351" t="s">
        <v>181</v>
      </c>
      <c r="G38" s="351" t="s">
        <v>182</v>
      </c>
      <c r="H38" s="352" t="s">
        <v>224</v>
      </c>
      <c r="I38" s="351" t="s">
        <v>181</v>
      </c>
      <c r="J38" s="351" t="s">
        <v>182</v>
      </c>
      <c r="K38" s="352" t="s">
        <v>224</v>
      </c>
      <c r="L38" s="351" t="s">
        <v>181</v>
      </c>
      <c r="M38" s="351" t="s">
        <v>182</v>
      </c>
      <c r="N38" s="352" t="s">
        <v>65</v>
      </c>
      <c r="O38" s="352" t="s">
        <v>224</v>
      </c>
      <c r="P38" s="353"/>
      <c r="Q38" s="353" t="s">
        <v>307</v>
      </c>
      <c r="R38" s="338" t="s">
        <v>308</v>
      </c>
      <c r="S38" s="339"/>
      <c r="T38" s="339"/>
      <c r="U38" s="338" t="s">
        <v>508</v>
      </c>
      <c r="V38" s="338" t="s">
        <v>509</v>
      </c>
      <c r="W38" s="338"/>
      <c r="Y38" s="256" t="s">
        <v>373</v>
      </c>
      <c r="Z38" s="255"/>
      <c r="AA38" s="255"/>
      <c r="AB38" s="255"/>
      <c r="AC38" s="255"/>
      <c r="AD38" s="333">
        <f>+$R$40</f>
        <v>1.3386811053523127E-2</v>
      </c>
      <c r="AE38" s="255"/>
      <c r="AF38" s="334">
        <v>3.4866254004931846E-2</v>
      </c>
      <c r="AG38" s="334">
        <v>2.4769712590795918E-2</v>
      </c>
      <c r="AH38" s="334">
        <v>3.6090455361835264E-2</v>
      </c>
      <c r="AI38" s="334">
        <v>4.1040061779749996E-2</v>
      </c>
      <c r="AK38" s="333"/>
      <c r="AL38" s="333"/>
      <c r="AM38" s="333"/>
      <c r="AN38" s="333"/>
    </row>
    <row r="39" spans="1:40" x14ac:dyDescent="0.25">
      <c r="A39" s="256">
        <v>29</v>
      </c>
      <c r="B39" s="256" t="s">
        <v>94</v>
      </c>
      <c r="C39" s="44">
        <f>+'Test Year Monthly - (Pres)'!Q13</f>
        <v>34950790.049999997</v>
      </c>
      <c r="D39" s="44">
        <f>+'Test Year Monthly - (Prop)'!Q13</f>
        <v>34201175</v>
      </c>
      <c r="E39" s="160">
        <f t="shared" ref="E39:E46" si="3">+(D39-C39)/C39</f>
        <v>-2.1447728332538711E-2</v>
      </c>
      <c r="F39" s="354">
        <f>+'Test Year Monthly - (Pres)'!S17</f>
        <v>0</v>
      </c>
      <c r="G39" s="355"/>
      <c r="H39" s="160"/>
      <c r="I39" s="30">
        <f>+'Test Year Monthly - (Pres)'!Q14+'Test Year Monthly - (Pres)'!Q15+'Test Year Monthly - (Pres)'!Q16</f>
        <v>13623516.18807832</v>
      </c>
      <c r="J39" s="12">
        <f>+'Test Year Monthly - (Prop)'!Q14+'Test Year Monthly - (Prop)'!Q15+'Test Year Monthly - (Prop)'!Q16</f>
        <v>16331681</v>
      </c>
      <c r="K39" s="160">
        <f t="shared" ref="K39:K46" si="4">+(J39-I39)/I39</f>
        <v>0.19878603838644415</v>
      </c>
      <c r="L39" s="30">
        <f t="shared" ref="L39:M45" si="5">+C39+F39+I39</f>
        <v>48574306.238078319</v>
      </c>
      <c r="M39" s="30">
        <f t="shared" si="5"/>
        <v>50532856</v>
      </c>
      <c r="N39" s="34">
        <f t="shared" ref="N39:N45" si="6">+M39-L39</f>
        <v>1958549.7619216815</v>
      </c>
      <c r="O39" s="160">
        <f t="shared" ref="O39:O46" si="7">+(M39-L39)/L39</f>
        <v>4.0320694490667518E-2</v>
      </c>
      <c r="P39" s="356">
        <f>+'Test Year Monthly - (Pres)'!Q17</f>
        <v>48574306.238078319</v>
      </c>
      <c r="Q39" s="34">
        <f>+'Test Year Monthly - (Prop)'!P19</f>
        <v>47248723.58727511</v>
      </c>
      <c r="R39" s="160">
        <f t="shared" ref="R39:R45" si="8">+N39/(Q39+L39)</f>
        <v>2.043923851595305E-2</v>
      </c>
      <c r="S39" s="160">
        <f t="shared" ref="S39:S45" si="9">+M39/$M$46</f>
        <v>0.56921767667821932</v>
      </c>
      <c r="T39" s="34">
        <f t="shared" ref="T39:T45" si="10">+$T$37*S39</f>
        <v>384221.93175779807</v>
      </c>
      <c r="U39" s="357">
        <f>+T39/L68</f>
        <v>2.46028396509438</v>
      </c>
      <c r="V39" s="358">
        <f t="shared" ref="V39:V44" si="11">+U39/12</f>
        <v>0.20502366375786499</v>
      </c>
      <c r="W39" s="358"/>
      <c r="Y39" s="256" t="s">
        <v>374</v>
      </c>
      <c r="Z39" s="335"/>
      <c r="AA39" s="335"/>
      <c r="AB39" s="335"/>
      <c r="AC39" s="335"/>
      <c r="AD39" s="348">
        <f>+$N$41+$N$43</f>
        <v>130619.38893150911</v>
      </c>
      <c r="AE39" s="335"/>
      <c r="AF39" s="349">
        <v>40602.56754047994</v>
      </c>
      <c r="AG39" s="349">
        <v>9177.544668479939</v>
      </c>
      <c r="AH39" s="349">
        <v>124142.77991747996</v>
      </c>
      <c r="AI39" s="349">
        <v>102133.51625347999</v>
      </c>
      <c r="AK39" s="348"/>
      <c r="AL39" s="348"/>
      <c r="AM39" s="348"/>
      <c r="AN39" s="348"/>
    </row>
    <row r="40" spans="1:40" x14ac:dyDescent="0.25">
      <c r="A40" s="256">
        <v>30</v>
      </c>
      <c r="B40" s="256" t="s">
        <v>97</v>
      </c>
      <c r="C40" s="44">
        <f>+'Test Year Monthly - (Pres)'!Q22</f>
        <v>10068544.639999999</v>
      </c>
      <c r="D40" s="44">
        <f>+'Test Year Monthly - (Prop)'!Q22</f>
        <v>9353520</v>
      </c>
      <c r="E40" s="160">
        <f t="shared" si="3"/>
        <v>-7.1015689512799227E-2</v>
      </c>
      <c r="F40" s="354">
        <f>+'Test Year Monthly - (Pres)'!S26</f>
        <v>0</v>
      </c>
      <c r="G40" s="44"/>
      <c r="H40" s="160"/>
      <c r="I40" s="12">
        <f>+'Test Year Monthly - (Pres)'!Q23+'Test Year Monthly - (Pres)'!Q24+'Test Year Monthly - (Pres)'!Q25</f>
        <v>6424996.2409867626</v>
      </c>
      <c r="J40" s="12">
        <f>+'Test Year Monthly - (Prop)'!Q23+'Test Year Monthly - (Prop)'!Q24+'Test Year Monthly - (Prop)'!Q25</f>
        <v>7672768</v>
      </c>
      <c r="K40" s="160">
        <f t="shared" si="4"/>
        <v>0.19420583486934498</v>
      </c>
      <c r="L40" s="30">
        <f t="shared" ref="L40:M42" si="12">+C40+F40+I40</f>
        <v>16493540.880986761</v>
      </c>
      <c r="M40" s="30">
        <f t="shared" si="12"/>
        <v>17026288</v>
      </c>
      <c r="N40" s="34">
        <f t="shared" si="6"/>
        <v>532747.1190132387</v>
      </c>
      <c r="O40" s="160">
        <f t="shared" si="7"/>
        <v>3.2300348533853815E-2</v>
      </c>
      <c r="P40" s="356">
        <f>+'Test Year Monthly - (Pres)'!Q26</f>
        <v>16493540.880986761</v>
      </c>
      <c r="Q40" s="34">
        <f>+'Test Year Monthly - (Prop)'!P28</f>
        <v>23302876.419833422</v>
      </c>
      <c r="R40" s="160">
        <f t="shared" si="8"/>
        <v>1.3386811053523127E-2</v>
      </c>
      <c r="S40" s="160">
        <f t="shared" si="9"/>
        <v>0.19178935973486727</v>
      </c>
      <c r="T40" s="34">
        <f t="shared" si="10"/>
        <v>129457.81782103541</v>
      </c>
      <c r="U40" s="357">
        <f>+T40/L69</f>
        <v>7.4738944935552736</v>
      </c>
      <c r="V40" s="358">
        <f t="shared" si="11"/>
        <v>0.62282454112960617</v>
      </c>
      <c r="W40" s="358"/>
      <c r="Y40" s="329" t="s">
        <v>376</v>
      </c>
      <c r="Z40" s="255"/>
      <c r="AA40" s="255"/>
      <c r="AB40" s="359"/>
      <c r="AC40" s="255"/>
      <c r="AD40" s="333">
        <f>+$X$47</f>
        <v>2.6406121988740667E-2</v>
      </c>
      <c r="AE40" s="255"/>
      <c r="AF40" s="334">
        <v>3.0265883083828611E-3</v>
      </c>
      <c r="AG40" s="334">
        <v>6.8411066284392204E-4</v>
      </c>
      <c r="AH40" s="334">
        <v>9.2538257806922472E-3</v>
      </c>
      <c r="AI40" s="334">
        <v>7.6132157376163695E-3</v>
      </c>
      <c r="AK40" s="333"/>
      <c r="AL40" s="333"/>
      <c r="AM40" s="333"/>
      <c r="AN40" s="333"/>
    </row>
    <row r="41" spans="1:40" x14ac:dyDescent="0.25">
      <c r="A41" s="256">
        <v>31</v>
      </c>
      <c r="B41" s="256" t="s">
        <v>98</v>
      </c>
      <c r="C41" s="44">
        <f>+'Test Year Monthly - (Pres)'!Q31</f>
        <v>114609.04</v>
      </c>
      <c r="D41" s="44">
        <f>+'Test Year Monthly - (Prop)'!Q31</f>
        <v>106470</v>
      </c>
      <c r="E41" s="160">
        <f t="shared" si="3"/>
        <v>-7.1015689512799282E-2</v>
      </c>
      <c r="F41" s="354"/>
      <c r="G41" s="44"/>
      <c r="H41" s="160"/>
      <c r="I41" s="12">
        <f>+'Test Year Monthly - (Pres)'!Q32+'Test Year Monthly - (Pres)'!Q33+'Test Year Monthly - (Pres)'!Q34</f>
        <v>653779.14986009081</v>
      </c>
      <c r="J41" s="30">
        <f>+'Test Year Monthly - (Prop)'!Q32+'Test Year Monthly - (Prop)'!Q33+'Test Year Monthly - (Prop)'!Q34</f>
        <v>768868</v>
      </c>
      <c r="K41" s="160">
        <f t="shared" si="4"/>
        <v>0.17603628100489024</v>
      </c>
      <c r="L41" s="30">
        <f t="shared" si="12"/>
        <v>768388.18986009085</v>
      </c>
      <c r="M41" s="30">
        <f t="shared" si="12"/>
        <v>875338</v>
      </c>
      <c r="N41" s="34">
        <f t="shared" si="6"/>
        <v>106949.81013990915</v>
      </c>
      <c r="O41" s="160">
        <f t="shared" si="7"/>
        <v>0.13918721233779338</v>
      </c>
      <c r="P41" s="356">
        <f>+'Test Year Monthly - (Pres)'!Q35</f>
        <v>768388.18986009085</v>
      </c>
      <c r="Q41" s="34">
        <f>+'Test Year Monthly - (Prop)'!P37</f>
        <v>2770014.0965174083</v>
      </c>
      <c r="R41" s="160">
        <f t="shared" si="8"/>
        <v>3.0225452473749356E-2</v>
      </c>
      <c r="S41" s="160">
        <f t="shared" si="9"/>
        <v>9.8600772271442393E-3</v>
      </c>
      <c r="T41" s="34">
        <f t="shared" si="10"/>
        <v>6655.5521283223616</v>
      </c>
      <c r="U41" s="357">
        <f>+T41/L70</f>
        <v>33.755970219724574</v>
      </c>
      <c r="V41" s="358">
        <f t="shared" si="11"/>
        <v>2.812997518310381</v>
      </c>
      <c r="W41" s="358"/>
      <c r="Y41" s="329" t="s">
        <v>375</v>
      </c>
      <c r="Z41" s="335"/>
      <c r="AA41" s="335"/>
      <c r="AB41" s="330"/>
      <c r="AC41" s="335"/>
      <c r="AD41" s="348">
        <f>+$N$44+$N$45</f>
        <v>475940.02290643938</v>
      </c>
      <c r="AE41" s="335"/>
      <c r="AF41" s="349">
        <v>967158.4103723811</v>
      </c>
      <c r="AG41" s="349">
        <v>1023501.3789723804</v>
      </c>
      <c r="AH41" s="349">
        <v>1577567.0451723794</v>
      </c>
      <c r="AI41" s="349">
        <v>1051148.9837723812</v>
      </c>
      <c r="AK41" s="348"/>
      <c r="AL41" s="348"/>
      <c r="AM41" s="348"/>
      <c r="AN41" s="348"/>
    </row>
    <row r="42" spans="1:40" x14ac:dyDescent="0.25">
      <c r="A42" s="256">
        <v>32</v>
      </c>
      <c r="B42" s="256" t="s">
        <v>305</v>
      </c>
      <c r="C42" s="44">
        <f>+'Test Year Monthly - (Pres)'!Q40</f>
        <v>903260.67999999993</v>
      </c>
      <c r="D42" s="45">
        <f>+'Test Year Monthly - (Prop)'!Q40</f>
        <v>839115</v>
      </c>
      <c r="E42" s="160">
        <f t="shared" si="3"/>
        <v>-7.1015689512799268E-2</v>
      </c>
      <c r="F42" s="354">
        <f>+'Test Year Monthly - (Pres)'!S44</f>
        <v>0</v>
      </c>
      <c r="G42" s="44"/>
      <c r="H42" s="160"/>
      <c r="I42" s="45">
        <f>+'Test Year Monthly - (Pres)'!Q41+'Test Year Monthly - (Pres)'!Q42+'Test Year Monthly - (Pres)'!Q43</f>
        <v>1324471.121256266</v>
      </c>
      <c r="J42" s="44">
        <f>+'Test Year Monthly - (Prop)'!Q41+'Test Year Monthly - (Prop)'!Q42+'Test Year Monthly - (Prop)'!Q43</f>
        <v>1576969</v>
      </c>
      <c r="K42" s="160">
        <f t="shared" si="4"/>
        <v>0.19064053167443828</v>
      </c>
      <c r="L42" s="30">
        <f t="shared" si="12"/>
        <v>2227731.801256266</v>
      </c>
      <c r="M42" s="30">
        <f t="shared" si="12"/>
        <v>2416084</v>
      </c>
      <c r="N42" s="34">
        <f t="shared" si="6"/>
        <v>188352.19874373404</v>
      </c>
      <c r="O42" s="160">
        <f t="shared" si="7"/>
        <v>8.4548866536590342E-2</v>
      </c>
      <c r="P42" s="356">
        <f>+'Test Year Monthly - (Pres)'!Q44</f>
        <v>2227731.801256266</v>
      </c>
      <c r="Q42" s="34">
        <f>+'Test Year Monthly - (Prop)'!P46</f>
        <v>4961877.2427125741</v>
      </c>
      <c r="R42" s="160">
        <f t="shared" si="8"/>
        <v>2.6197836014704778E-2</v>
      </c>
      <c r="S42" s="160">
        <f t="shared" si="9"/>
        <v>2.7215515409210571E-2</v>
      </c>
      <c r="T42" s="34">
        <f t="shared" si="10"/>
        <v>18370.472901217134</v>
      </c>
      <c r="U42" s="357">
        <f>+T42/L71</f>
        <v>11.822045091146329</v>
      </c>
      <c r="V42" s="358">
        <f t="shared" si="11"/>
        <v>0.98517042426219403</v>
      </c>
      <c r="W42" s="358"/>
      <c r="X42" s="339"/>
      <c r="Y42" s="360" t="s">
        <v>377</v>
      </c>
      <c r="Z42" s="255"/>
      <c r="AA42" s="255"/>
      <c r="AB42" s="255"/>
      <c r="AC42" s="255"/>
      <c r="AD42" s="333">
        <f>+$X$48</f>
        <v>2.7812690456024667E-2</v>
      </c>
      <c r="AE42" s="255"/>
      <c r="AF42" s="334">
        <v>0.10217904852483992</v>
      </c>
      <c r="AG42" s="334">
        <v>0.10813161106358292</v>
      </c>
      <c r="AH42" s="340">
        <v>0.16666793974090852</v>
      </c>
      <c r="AI42" s="334">
        <v>0.11105254513411142</v>
      </c>
      <c r="AK42" s="333"/>
      <c r="AL42" s="333"/>
      <c r="AM42" s="333"/>
      <c r="AN42" s="333"/>
    </row>
    <row r="43" spans="1:40" x14ac:dyDescent="0.25">
      <c r="A43" s="256">
        <v>33</v>
      </c>
      <c r="B43" s="256" t="s">
        <v>306</v>
      </c>
      <c r="C43" s="44">
        <f>+'Test Year Monthly - (Pres)'!Q49+'Test Year Monthly - (Pres)'!Q57</f>
        <v>54191.72</v>
      </c>
      <c r="D43" s="44">
        <f>+'Test Year Monthly - (Prop)'!Q49+'Test Year Monthly - (Prop)'!Q57</f>
        <v>51375</v>
      </c>
      <c r="E43" s="160">
        <f t="shared" si="3"/>
        <v>-5.1976944079280031E-2</v>
      </c>
      <c r="F43" s="44"/>
      <c r="G43" s="44"/>
      <c r="H43" s="160"/>
      <c r="I43" s="30">
        <f>+'Test Year Monthly - (Pres)'!Q50+'Test Year Monthly - (Pres)'!Q51+'Test Year Monthly - (Pres)'!Q58+'Test Year Monthly - (Pres)'!Q59</f>
        <v>259277.70120840002</v>
      </c>
      <c r="J43" s="44">
        <f>+'Test Year Monthly - (Prop)'!Q50+'Test Year Monthly - (Prop)'!Q51+'Test Year Monthly - (Prop)'!Q58+'Test Year Monthly - (Prop)'!Q59</f>
        <v>285764</v>
      </c>
      <c r="K43" s="160">
        <f t="shared" si="4"/>
        <v>0.10215417163973949</v>
      </c>
      <c r="L43" s="12">
        <f t="shared" si="5"/>
        <v>313469.42120840005</v>
      </c>
      <c r="M43" s="12">
        <f t="shared" si="5"/>
        <v>337139</v>
      </c>
      <c r="N43" s="34">
        <f t="shared" si="6"/>
        <v>23669.578791599954</v>
      </c>
      <c r="O43" s="160">
        <f t="shared" si="7"/>
        <v>7.5508413868107402E-2</v>
      </c>
      <c r="P43" s="356">
        <f>+'Test Year Monthly - (Pres)'!Q52+'Test Year Monthly - (Pres)'!Q60</f>
        <v>313469.42120840005</v>
      </c>
      <c r="Q43" s="34">
        <f>+'Test Year Monthly - (Pres)'!P54+'Test Year Monthly - (Pres)'!P62</f>
        <v>1094685.3441161278</v>
      </c>
      <c r="R43" s="160">
        <f t="shared" si="8"/>
        <v>1.6808932778170152E-2</v>
      </c>
      <c r="S43" s="160">
        <f t="shared" si="9"/>
        <v>3.7976376854222962E-3</v>
      </c>
      <c r="T43" s="34">
        <f t="shared" si="10"/>
        <v>2563.4054376600498</v>
      </c>
      <c r="U43" s="357">
        <f>+T43/L72</f>
        <v>224.53186315270506</v>
      </c>
      <c r="V43" s="358">
        <f t="shared" si="11"/>
        <v>18.710988596058755</v>
      </c>
      <c r="W43" s="358"/>
      <c r="X43" s="339"/>
      <c r="Y43" s="360" t="s">
        <v>380</v>
      </c>
      <c r="Z43" s="361"/>
      <c r="AA43" s="361"/>
      <c r="AB43" s="361"/>
      <c r="AC43" s="362">
        <v>0.55790490477485088</v>
      </c>
      <c r="AD43" s="363">
        <f>+$J$46/$M$49</f>
        <v>0.47331169870535511</v>
      </c>
      <c r="AE43" s="363"/>
      <c r="AF43" s="362">
        <v>0.40116413804349604</v>
      </c>
      <c r="AG43" s="362">
        <v>0.36778764100971173</v>
      </c>
      <c r="AH43" s="362">
        <v>0.38016645422294532</v>
      </c>
      <c r="AI43" s="362">
        <v>0.37902179503396488</v>
      </c>
      <c r="AK43" s="363"/>
      <c r="AL43" s="363"/>
      <c r="AM43" s="363"/>
      <c r="AN43" s="363"/>
    </row>
    <row r="44" spans="1:40" x14ac:dyDescent="0.25">
      <c r="A44" s="256">
        <v>34</v>
      </c>
      <c r="B44" s="256" t="s">
        <v>70</v>
      </c>
      <c r="C44" s="44">
        <f>+'Test Year Monthly - (Pres)'!Q65+'Test Year Monthly - (Pres)'!Q81</f>
        <v>907066.2</v>
      </c>
      <c r="D44" s="44">
        <f>+'Test Year Monthly - (Prop)'!Q65+'Test Year Monthly - (Prop)'!Q81</f>
        <v>873000</v>
      </c>
      <c r="E44" s="160">
        <f t="shared" si="3"/>
        <v>-3.7556465007735879E-2</v>
      </c>
      <c r="F44" s="44">
        <f>+'Test Year Monthly - (Pres)'!Q66+'Test Year Monthly - (Pres)'!Q67+'Test Year Monthly - (Pres)'!Q68+'Test Year Monthly - (Pres)'!Q82+'Test Year Monthly - (Pres)'!Q83+'Test Year Monthly - (Pres)'!Q84</f>
        <v>233596.5</v>
      </c>
      <c r="G44" s="30">
        <f>+'Test Year Monthly - (Prop)'!Q66+'Test Year Monthly - (Prop)'!Q67+'Test Year Monthly - (Prop)'!Q68+'Test Year Monthly - (Prop)'!Q82+'Test Year Monthly - (Prop)'!Q83+'Test Year Monthly - (Prop)'!Q84</f>
        <v>233596.5</v>
      </c>
      <c r="H44" s="160">
        <f>+(G44-F44)/F44</f>
        <v>0</v>
      </c>
      <c r="I44" s="30">
        <f>'Test Year Monthly - (Pres)'!Q69+'Test Year Monthly - (Pres)'!Q70+'Test Year Monthly - (Pres)'!Q71+'Test Year Monthly - (Pres)'!Q85+'Test Year Monthly - (Pres)'!Q86+'Test Year Monthly - (Pres)'!Q76+'Test Year Monthly - (Pres)'!Q77</f>
        <v>13352942.32149356</v>
      </c>
      <c r="J44" s="30">
        <f>+'Test Year Monthly - (Prop)'!Q69+'Test Year Monthly - (Prop)'!Q70+'Test Year Monthly - (Prop)'!Q71+'Test Year Monthly - (Prop)'!Q85+'Test Year Monthly - (Prop)'!Q86+'Test Year Monthly - (Prop)'!Q76+'Test Year Monthly - (Prop)'!Q77</f>
        <v>13862948.544399999</v>
      </c>
      <c r="K44" s="160">
        <f t="shared" si="4"/>
        <v>3.8194295356575252E-2</v>
      </c>
      <c r="L44" s="12">
        <f t="shared" si="5"/>
        <v>14493605.02149356</v>
      </c>
      <c r="M44" s="12">
        <f t="shared" si="5"/>
        <v>14969545.044399999</v>
      </c>
      <c r="N44" s="34">
        <f t="shared" si="6"/>
        <v>475940.02290643938</v>
      </c>
      <c r="O44" s="160">
        <f t="shared" si="7"/>
        <v>3.2837932467501031E-2</v>
      </c>
      <c r="P44" s="356">
        <f>+'Test Year Monthly - (Pres)'!Q72+'Test Year Monthly - (Pres)'!Q87+'Test Year Monthly - (Pres)'!Q78</f>
        <v>14493605.02149356</v>
      </c>
      <c r="Q44" s="34">
        <v>0</v>
      </c>
      <c r="R44" s="160">
        <f t="shared" si="8"/>
        <v>3.2837932467501031E-2</v>
      </c>
      <c r="S44" s="160">
        <f t="shared" si="9"/>
        <v>0.16862157268734859</v>
      </c>
      <c r="T44" s="34">
        <f t="shared" si="10"/>
        <v>113819.56156396031</v>
      </c>
      <c r="U44" s="357">
        <f>(+T44+T45)/L73</f>
        <v>639.86038255486562</v>
      </c>
      <c r="V44" s="358">
        <f t="shared" si="11"/>
        <v>53.3216985462388</v>
      </c>
      <c r="W44" s="358"/>
      <c r="X44" s="339"/>
      <c r="Y44" s="338"/>
      <c r="AJ44" s="282"/>
    </row>
    <row r="45" spans="1:40" x14ac:dyDescent="0.25">
      <c r="A45" s="256">
        <v>35</v>
      </c>
      <c r="B45" s="256" t="s">
        <v>53</v>
      </c>
      <c r="C45" s="364">
        <f>'Test Year Monthly - (Pres)'!Q90</f>
        <v>63000</v>
      </c>
      <c r="D45" s="364">
        <f>'Test Year Monthly - (Prop)'!Q90</f>
        <v>63000</v>
      </c>
      <c r="E45" s="160">
        <f t="shared" si="3"/>
        <v>0</v>
      </c>
      <c r="F45" s="364">
        <f>+'Test Year Monthly - (Pres)'!Q91+'Test Year Monthly - (Pres)'!Q92+'Test Year Monthly - (Pres)'!Q93</f>
        <v>109202.6</v>
      </c>
      <c r="G45" s="365">
        <f>+'Test Year Monthly - (Prop)'!Q91+'Test Year Monthly - (Prop)'!Q92+'Test Year Monthly - (Prop)'!Q93</f>
        <v>109202.6</v>
      </c>
      <c r="H45" s="160">
        <f>+(G45-F45)/F45</f>
        <v>0</v>
      </c>
      <c r="I45" s="365">
        <f>+'Test Year Monthly - (Pres)'!P95</f>
        <v>2446525.4575</v>
      </c>
      <c r="J45" s="365">
        <f>+'Test Year Monthly - (Prop)'!P95</f>
        <v>2446525.4575</v>
      </c>
      <c r="K45" s="160">
        <f t="shared" si="4"/>
        <v>0</v>
      </c>
      <c r="L45" s="365">
        <f t="shared" si="5"/>
        <v>2618728.0575000001</v>
      </c>
      <c r="M45" s="365">
        <f t="shared" si="5"/>
        <v>2618728.0575000001</v>
      </c>
      <c r="N45" s="366">
        <f t="shared" si="6"/>
        <v>0</v>
      </c>
      <c r="O45" s="367">
        <f t="shared" si="7"/>
        <v>0</v>
      </c>
      <c r="P45" s="356">
        <f>+'Test Year Monthly - (Pres)'!Q96</f>
        <v>2618728.0575000001</v>
      </c>
      <c r="Q45" s="45">
        <v>0</v>
      </c>
      <c r="R45" s="160">
        <f t="shared" si="8"/>
        <v>0</v>
      </c>
      <c r="S45" s="160">
        <f t="shared" si="9"/>
        <v>2.9498160577787577E-2</v>
      </c>
      <c r="T45" s="34">
        <f t="shared" si="10"/>
        <v>19911.258390006613</v>
      </c>
      <c r="U45" s="357"/>
      <c r="V45" s="160"/>
      <c r="W45" s="160"/>
      <c r="X45" s="368">
        <f>+R39</f>
        <v>2.043923851595305E-2</v>
      </c>
      <c r="Y45" s="338" t="s">
        <v>364</v>
      </c>
    </row>
    <row r="46" spans="1:40" x14ac:dyDescent="0.25">
      <c r="A46" s="256">
        <v>36</v>
      </c>
      <c r="B46" s="369" t="s">
        <v>225</v>
      </c>
      <c r="C46" s="30">
        <f>SUM(C39:C45)</f>
        <v>47061462.329999998</v>
      </c>
      <c r="D46" s="30">
        <f>SUM(D39:D45)</f>
        <v>45487655</v>
      </c>
      <c r="E46" s="160">
        <f t="shared" si="3"/>
        <v>-3.3441530544977401E-2</v>
      </c>
      <c r="F46" s="30">
        <f>SUM(F39:F45)</f>
        <v>342799.1</v>
      </c>
      <c r="G46" s="30">
        <f>SUM(G39:G45)</f>
        <v>342799.1</v>
      </c>
      <c r="H46" s="160">
        <f>+(G46-F46)/F46</f>
        <v>0</v>
      </c>
      <c r="I46" s="30">
        <f>SUM(I39:I45)</f>
        <v>38085508.180383407</v>
      </c>
      <c r="J46" s="30">
        <f>SUM(J39:J45)</f>
        <v>42945524.001900002</v>
      </c>
      <c r="K46" s="160">
        <f t="shared" si="4"/>
        <v>0.12760800770986772</v>
      </c>
      <c r="L46" s="30">
        <f>SUM(L39:L45)</f>
        <v>85489769.610383391</v>
      </c>
      <c r="M46" s="30">
        <f>SUM(M39:M45)</f>
        <v>88775978.101900011</v>
      </c>
      <c r="N46" s="30">
        <f>SUM(N39:N45)</f>
        <v>3286208.4915166032</v>
      </c>
      <c r="O46" s="160">
        <f t="shared" si="7"/>
        <v>3.8439786497184388E-2</v>
      </c>
      <c r="P46" s="338"/>
      <c r="Q46" s="338"/>
      <c r="U46" s="357"/>
      <c r="X46" s="370">
        <f>+(N40+N42)/(L40+Q40+L42+Q42)</f>
        <v>1.5347101550266466E-2</v>
      </c>
      <c r="Y46" s="338" t="s">
        <v>365</v>
      </c>
      <c r="AJ46" s="282"/>
    </row>
    <row r="47" spans="1:40" x14ac:dyDescent="0.25">
      <c r="A47" s="256">
        <v>37</v>
      </c>
      <c r="C47" s="44"/>
      <c r="D47" s="44"/>
      <c r="E47" s="44"/>
      <c r="F47" s="30"/>
      <c r="G47" s="30"/>
      <c r="H47" s="44"/>
      <c r="I47" s="30"/>
      <c r="J47" s="30"/>
      <c r="K47" s="44"/>
      <c r="L47" s="30"/>
      <c r="M47" s="30"/>
      <c r="N47" s="30"/>
      <c r="O47" s="44"/>
      <c r="P47" s="338"/>
      <c r="Q47" s="338"/>
      <c r="R47" s="339"/>
      <c r="S47" s="339"/>
      <c r="T47" s="339"/>
      <c r="U47" s="339"/>
      <c r="V47" s="339"/>
      <c r="W47" s="339"/>
      <c r="X47" s="370">
        <f>+(N41+N43)/(L41+Q41+L43+Q43)</f>
        <v>2.6406121988740667E-2</v>
      </c>
      <c r="Y47" s="338" t="s">
        <v>366</v>
      </c>
    </row>
    <row r="48" spans="1:40" ht="16.5" thickBot="1" x14ac:dyDescent="0.3">
      <c r="A48" s="256">
        <v>38</v>
      </c>
      <c r="B48" s="360" t="s">
        <v>226</v>
      </c>
      <c r="C48" s="44"/>
      <c r="D48" s="44"/>
      <c r="E48" s="44"/>
      <c r="F48" s="44"/>
      <c r="G48" s="30"/>
      <c r="H48" s="44"/>
      <c r="I48" s="44"/>
      <c r="J48" s="44"/>
      <c r="K48" s="44"/>
      <c r="L48" s="364">
        <f>+'Test Year Monthly - (Pres)'!P99+'Test Year Monthly - (Pres)'!P100</f>
        <v>1936712.1789956738</v>
      </c>
      <c r="M48" s="364">
        <f>+'Test Year Monthly - (Prop)'!P99+'Test Year Monthly - (Prop)'!P100</f>
        <v>1958149.3649859296</v>
      </c>
      <c r="N48" s="49">
        <f>+M48-L48</f>
        <v>21437.185990255792</v>
      </c>
      <c r="O48" s="367">
        <f>+(M48-L48)/L48</f>
        <v>1.1068854847276549E-2</v>
      </c>
      <c r="P48" s="338"/>
      <c r="Q48" s="338"/>
      <c r="R48" s="371"/>
      <c r="S48" s="371"/>
      <c r="T48" s="371"/>
      <c r="U48" s="371"/>
      <c r="V48" s="371"/>
      <c r="W48" s="371"/>
      <c r="X48" s="370">
        <f>+(N44+N45)/(L44+Q44+L45+Q45)</f>
        <v>2.7812690456024667E-2</v>
      </c>
      <c r="Y48" s="338" t="s">
        <v>367</v>
      </c>
    </row>
    <row r="49" spans="1:28" ht="16.5" thickBot="1" x14ac:dyDescent="0.3">
      <c r="A49" s="256">
        <v>39</v>
      </c>
      <c r="B49" s="369" t="s">
        <v>96</v>
      </c>
      <c r="C49" s="44"/>
      <c r="D49" s="44"/>
      <c r="E49" s="44"/>
      <c r="F49" s="44"/>
      <c r="G49" s="36"/>
      <c r="H49" s="44"/>
      <c r="I49" s="44"/>
      <c r="J49" s="36"/>
      <c r="K49" s="44"/>
      <c r="L49" s="356">
        <f>+L46+L48</f>
        <v>87426481.78937906</v>
      </c>
      <c r="M49" s="356">
        <f>+M48+M46</f>
        <v>90734127.466885939</v>
      </c>
      <c r="N49" s="372">
        <f>+M49-L49</f>
        <v>3307645.677506879</v>
      </c>
      <c r="O49" s="160">
        <f>+(M49-L49)/L49</f>
        <v>3.7833452860145923E-2</v>
      </c>
      <c r="P49" s="338"/>
      <c r="Q49" s="356">
        <f>SUM(Q39:Q45)</f>
        <v>79378176.690454647</v>
      </c>
      <c r="R49" s="160">
        <f>+N49/(Q49+L49)</f>
        <v>1.982945624930952E-2</v>
      </c>
      <c r="S49" s="160"/>
      <c r="T49" s="160"/>
      <c r="U49" s="160"/>
      <c r="V49" s="160"/>
      <c r="W49" s="160"/>
      <c r="X49" s="339"/>
      <c r="Y49" s="338"/>
    </row>
    <row r="50" spans="1:28" x14ac:dyDescent="0.25">
      <c r="A50" s="256">
        <v>40</v>
      </c>
      <c r="X50" s="370">
        <f>+(N41+N43+N44+N45)/(L41+L43+L44+L45+Q41+Q43+Q44+Q45)</f>
        <v>2.7497276981941324E-2</v>
      </c>
      <c r="Y50" s="284" t="s">
        <v>383</v>
      </c>
    </row>
    <row r="51" spans="1:28" ht="16.5" thickBot="1" x14ac:dyDescent="0.3">
      <c r="A51" s="256">
        <v>41</v>
      </c>
      <c r="B51" s="284" t="s">
        <v>551</v>
      </c>
      <c r="C51" s="373">
        <f>C46/L49</f>
        <v>0.53829756575789856</v>
      </c>
      <c r="D51" s="373">
        <f>D46/M49</f>
        <v>0.50132906184170933</v>
      </c>
      <c r="X51" s="339"/>
      <c r="Y51" s="339"/>
    </row>
    <row r="52" spans="1:28" ht="16.5" thickBot="1" x14ac:dyDescent="0.3">
      <c r="A52" s="255">
        <f t="shared" ref="A52:A57" si="13">+A51+1</f>
        <v>42</v>
      </c>
      <c r="L52" s="532" t="s">
        <v>669</v>
      </c>
      <c r="M52" s="117">
        <v>90734166.781965673</v>
      </c>
      <c r="N52" s="372">
        <f>+M49-M52</f>
        <v>-39.315079733729362</v>
      </c>
    </row>
    <row r="53" spans="1:28" ht="13.5" customHeight="1" x14ac:dyDescent="0.25">
      <c r="A53" s="255">
        <f t="shared" si="13"/>
        <v>43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56"/>
      <c r="M53" s="356"/>
      <c r="N53" s="374"/>
      <c r="O53" s="360"/>
      <c r="P53" s="338"/>
      <c r="Q53" s="338"/>
      <c r="X53" s="339"/>
      <c r="Y53" s="339"/>
    </row>
    <row r="54" spans="1:28" ht="16.5" thickBot="1" x14ac:dyDescent="0.3">
      <c r="A54" s="255">
        <f t="shared" si="13"/>
        <v>44</v>
      </c>
      <c r="C54" s="279"/>
      <c r="D54" s="281"/>
      <c r="E54" s="375"/>
      <c r="F54" s="342"/>
      <c r="G54" s="343"/>
      <c r="H54" s="375"/>
      <c r="I54" s="279"/>
      <c r="J54" s="281"/>
      <c r="K54" s="375"/>
      <c r="L54" s="533">
        <f>+L39/L46</f>
        <v>0.56818852664422892</v>
      </c>
      <c r="M54" s="534">
        <f>+M52-L49</f>
        <v>3307684.9925866127</v>
      </c>
      <c r="N54" s="533">
        <f>+N39/N46</f>
        <v>0.59599071908483814</v>
      </c>
      <c r="O54" s="375"/>
      <c r="P54" s="338"/>
      <c r="Q54" s="338"/>
      <c r="X54" s="338"/>
      <c r="Y54" s="338"/>
      <c r="Z54" s="338"/>
      <c r="AA54" s="338"/>
      <c r="AB54" s="338"/>
    </row>
    <row r="55" spans="1:28" ht="16.5" thickTop="1" x14ac:dyDescent="0.25">
      <c r="A55" s="255">
        <f t="shared" si="13"/>
        <v>45</v>
      </c>
      <c r="B55" s="350"/>
      <c r="C55" s="351"/>
      <c r="D55" s="351"/>
      <c r="E55" s="376"/>
      <c r="F55" s="351"/>
      <c r="G55" s="351"/>
      <c r="H55" s="376"/>
      <c r="I55" s="351"/>
      <c r="J55" s="351"/>
      <c r="K55" s="376"/>
      <c r="L55" s="351"/>
      <c r="M55" s="535">
        <f>+M54*L54</f>
        <v>1879388.6625410148</v>
      </c>
      <c r="N55" s="376">
        <v>0.98</v>
      </c>
      <c r="O55" s="376"/>
      <c r="P55" s="338"/>
      <c r="Q55" s="377"/>
      <c r="AA55" s="338"/>
      <c r="AB55" s="338"/>
    </row>
    <row r="56" spans="1:28" x14ac:dyDescent="0.25">
      <c r="A56" s="255">
        <f t="shared" si="13"/>
        <v>46</v>
      </c>
      <c r="B56" s="256"/>
      <c r="C56" s="378">
        <f>+C39/L39</f>
        <v>0.71953245978840996</v>
      </c>
      <c r="D56" s="378">
        <f>+D39/M39</f>
        <v>0.67681064771007604</v>
      </c>
      <c r="E56" s="379"/>
      <c r="F56" s="380"/>
      <c r="G56" s="381"/>
      <c r="H56" s="160"/>
      <c r="I56" s="380"/>
      <c r="J56" s="381"/>
      <c r="K56" s="160"/>
      <c r="L56" s="382"/>
      <c r="M56" s="382"/>
      <c r="N56" s="383"/>
      <c r="O56" s="160"/>
      <c r="P56" s="338"/>
      <c r="Q56" s="338"/>
    </row>
    <row r="57" spans="1:28" x14ac:dyDescent="0.25">
      <c r="A57" s="255">
        <f t="shared" si="13"/>
        <v>47</v>
      </c>
      <c r="B57" s="256"/>
      <c r="C57" s="378">
        <f t="shared" ref="C57:C62" si="14">+C40/L40</f>
        <v>0.61045379598305072</v>
      </c>
      <c r="D57" s="378">
        <f t="shared" ref="D57:D62" si="15">+D40/M40</f>
        <v>0.54935755814773013</v>
      </c>
      <c r="E57" s="379"/>
      <c r="F57" s="384"/>
      <c r="G57" s="384"/>
      <c r="H57" s="160"/>
      <c r="I57" s="384"/>
      <c r="J57" s="384"/>
      <c r="K57" s="160"/>
      <c r="L57" s="138"/>
      <c r="M57" s="138"/>
      <c r="N57" s="357"/>
      <c r="O57" s="160"/>
      <c r="P57" s="338"/>
      <c r="Q57" s="338"/>
    </row>
    <row r="58" spans="1:28" x14ac:dyDescent="0.25">
      <c r="A58" s="255"/>
      <c r="B58" s="256"/>
      <c r="C58" s="378">
        <f t="shared" si="14"/>
        <v>0.14915512954574192</v>
      </c>
      <c r="D58" s="378">
        <f t="shared" si="15"/>
        <v>0.1216330149039571</v>
      </c>
      <c r="E58" s="379"/>
      <c r="F58" s="384"/>
      <c r="G58" s="384"/>
      <c r="H58" s="160"/>
      <c r="I58" s="384"/>
      <c r="J58" s="384"/>
      <c r="K58" s="160"/>
      <c r="L58" s="12"/>
      <c r="M58" s="12"/>
      <c r="N58" s="357"/>
      <c r="O58" s="160"/>
      <c r="P58" s="338"/>
      <c r="Q58" s="338"/>
    </row>
    <row r="59" spans="1:28" x14ac:dyDescent="0.25">
      <c r="A59" s="255"/>
      <c r="B59" s="256"/>
      <c r="C59" s="378">
        <f t="shared" si="14"/>
        <v>0.40546203968118233</v>
      </c>
      <c r="D59" s="378">
        <f t="shared" si="15"/>
        <v>0.34730373612837967</v>
      </c>
      <c r="E59" s="379"/>
      <c r="F59" s="384"/>
      <c r="G59" s="385"/>
      <c r="H59" s="160"/>
      <c r="I59" s="384"/>
      <c r="J59" s="385"/>
      <c r="K59" s="160"/>
      <c r="L59" s="12"/>
      <c r="M59" s="12"/>
      <c r="N59" s="357"/>
      <c r="O59" s="160"/>
      <c r="P59" s="338"/>
      <c r="Q59" s="338"/>
      <c r="AA59" s="353"/>
      <c r="AB59" s="338"/>
    </row>
    <row r="60" spans="1:28" x14ac:dyDescent="0.25">
      <c r="A60" s="255"/>
      <c r="B60" s="256"/>
      <c r="C60" s="378">
        <f t="shared" si="14"/>
        <v>0.17287721332146264</v>
      </c>
      <c r="D60" s="378">
        <f t="shared" si="15"/>
        <v>0.15238521796647672</v>
      </c>
      <c r="E60" s="379"/>
      <c r="F60" s="44"/>
      <c r="G60" s="30"/>
      <c r="H60" s="30"/>
      <c r="I60" s="30"/>
      <c r="J60" s="30"/>
      <c r="K60" s="386"/>
      <c r="L60" s="30"/>
      <c r="M60" s="30"/>
      <c r="N60" s="387"/>
      <c r="O60" s="386"/>
      <c r="P60" s="338"/>
      <c r="Q60" s="338"/>
      <c r="AA60" s="338"/>
      <c r="AB60" s="338"/>
    </row>
    <row r="61" spans="1:28" x14ac:dyDescent="0.25">
      <c r="A61" s="255"/>
      <c r="B61" s="256"/>
      <c r="C61" s="378">
        <f t="shared" si="14"/>
        <v>6.2583891216495088E-2</v>
      </c>
      <c r="D61" s="378">
        <f t="shared" si="15"/>
        <v>5.8318405630275523E-2</v>
      </c>
      <c r="E61" s="379"/>
      <c r="F61" s="44"/>
      <c r="G61" s="30"/>
      <c r="H61" s="30"/>
      <c r="I61" s="30"/>
      <c r="J61" s="30"/>
      <c r="K61" s="386"/>
      <c r="L61" s="30"/>
      <c r="M61" s="30"/>
      <c r="N61" s="387"/>
      <c r="O61" s="386"/>
      <c r="P61" s="338"/>
      <c r="Q61" s="338"/>
      <c r="AA61" s="338"/>
      <c r="AB61" s="338"/>
    </row>
    <row r="62" spans="1:28" x14ac:dyDescent="0.25">
      <c r="A62" s="255"/>
      <c r="B62" s="369"/>
      <c r="C62" s="378">
        <f t="shared" si="14"/>
        <v>2.4057480813851173E-2</v>
      </c>
      <c r="D62" s="378">
        <f t="shared" si="15"/>
        <v>2.4057480813851173E-2</v>
      </c>
      <c r="E62" s="379"/>
      <c r="F62" s="30"/>
      <c r="G62" s="30"/>
      <c r="H62" s="386"/>
      <c r="I62" s="30"/>
      <c r="J62" s="30"/>
      <c r="K62" s="386"/>
      <c r="L62" s="30"/>
      <c r="M62" s="30"/>
      <c r="N62" s="30"/>
      <c r="O62" s="386"/>
      <c r="P62" s="338"/>
      <c r="Q62" s="338"/>
      <c r="AA62" s="338"/>
      <c r="AB62" s="338"/>
    </row>
    <row r="63" spans="1:28" x14ac:dyDescent="0.25">
      <c r="A63" s="255"/>
      <c r="C63" s="44"/>
      <c r="D63" s="378"/>
      <c r="E63" s="44"/>
      <c r="F63" s="30"/>
      <c r="G63" s="30"/>
      <c r="H63" s="30"/>
      <c r="I63" s="30"/>
      <c r="J63" s="30"/>
      <c r="K63" s="44"/>
      <c r="L63" s="30"/>
      <c r="M63" s="30"/>
      <c r="N63" s="30"/>
      <c r="O63" s="30"/>
      <c r="P63" s="356"/>
      <c r="Q63" s="338"/>
      <c r="AA63" s="338"/>
      <c r="AB63" s="338"/>
    </row>
    <row r="64" spans="1:28" x14ac:dyDescent="0.25">
      <c r="A64" s="360"/>
      <c r="B64" s="360"/>
      <c r="C64" s="44"/>
      <c r="D64" s="44"/>
      <c r="E64" s="44"/>
      <c r="F64" s="44"/>
      <c r="G64" s="30"/>
      <c r="H64" s="44"/>
      <c r="I64" s="44"/>
      <c r="J64" s="44"/>
      <c r="K64" s="30"/>
      <c r="L64" s="44"/>
      <c r="M64" s="44"/>
      <c r="N64" s="387"/>
      <c r="O64" s="386"/>
      <c r="P64" s="338"/>
      <c r="Q64" s="338"/>
      <c r="AA64" s="338"/>
      <c r="AB64" s="338"/>
    </row>
    <row r="65" spans="1:28" x14ac:dyDescent="0.25">
      <c r="A65" s="360"/>
      <c r="B65" s="369"/>
      <c r="C65" s="44"/>
      <c r="D65" s="44"/>
      <c r="E65" s="44"/>
      <c r="F65" s="44"/>
      <c r="G65" s="36"/>
      <c r="H65" s="44"/>
      <c r="I65" s="44"/>
      <c r="J65" s="36"/>
      <c r="K65" s="36"/>
      <c r="L65" s="356"/>
      <c r="M65" s="356"/>
      <c r="N65" s="387"/>
      <c r="O65" s="386"/>
      <c r="P65" s="338"/>
      <c r="Q65" s="338"/>
      <c r="AA65" s="338"/>
      <c r="AB65" s="338"/>
    </row>
    <row r="66" spans="1:28" x14ac:dyDescent="0.25">
      <c r="A66" s="360"/>
      <c r="B66" s="256"/>
      <c r="C66" s="255"/>
      <c r="D66" s="255"/>
      <c r="E66" s="255"/>
      <c r="F66" s="255"/>
      <c r="G66" s="255"/>
      <c r="H66" s="360"/>
      <c r="I66" s="360"/>
      <c r="J66" s="360"/>
      <c r="K66" s="360"/>
      <c r="L66" s="360"/>
      <c r="Q66" s="338"/>
      <c r="AA66" s="338"/>
      <c r="AB66" s="338"/>
    </row>
    <row r="67" spans="1:28" x14ac:dyDescent="0.25">
      <c r="A67" s="360"/>
      <c r="B67" s="256"/>
      <c r="C67" s="266" t="s">
        <v>388</v>
      </c>
      <c r="D67" s="266" t="s">
        <v>389</v>
      </c>
      <c r="E67" s="266" t="s">
        <v>390</v>
      </c>
      <c r="F67" s="266" t="s">
        <v>391</v>
      </c>
      <c r="G67" s="266" t="s">
        <v>95</v>
      </c>
      <c r="H67" s="266" t="s">
        <v>392</v>
      </c>
      <c r="I67" s="264" t="s">
        <v>21</v>
      </c>
      <c r="J67" s="360"/>
      <c r="K67" s="360"/>
      <c r="L67" s="360"/>
      <c r="O67" s="360"/>
      <c r="P67" s="388" t="s">
        <v>556</v>
      </c>
      <c r="Q67" s="338"/>
      <c r="R67" s="388" t="s">
        <v>558</v>
      </c>
      <c r="AA67" s="338"/>
      <c r="AB67" s="338"/>
    </row>
    <row r="68" spans="1:28" x14ac:dyDescent="0.25">
      <c r="A68" s="360"/>
      <c r="B68" s="256" t="s">
        <v>94</v>
      </c>
      <c r="C68" s="374">
        <f>+L39+Q39</f>
        <v>95823029.825353429</v>
      </c>
      <c r="D68" s="374">
        <f>+M39+Q39</f>
        <v>97781579.587275118</v>
      </c>
      <c r="E68" s="374">
        <f>+D68-C68</f>
        <v>1958549.7619216889</v>
      </c>
      <c r="F68" s="160">
        <f t="shared" ref="F68:F77" si="16">+E68/C68</f>
        <v>2.0439238515953126E-2</v>
      </c>
      <c r="G68" s="34">
        <f>+'Test Year Monthly - (Pres)'!P13/12</f>
        <v>156169.75</v>
      </c>
      <c r="H68" s="389">
        <f t="shared" ref="H68:H76" si="17">+E68/(G68*12)</f>
        <v>1.0450966346564603</v>
      </c>
      <c r="I68" s="390">
        <f>+'Test Year Monthly - (Prop)'!P17</f>
        <v>10336506.97122786</v>
      </c>
      <c r="J68" s="390"/>
      <c r="K68" s="360"/>
      <c r="L68" s="390">
        <f>+G68</f>
        <v>156169.75</v>
      </c>
      <c r="M68" s="350" t="s">
        <v>223</v>
      </c>
      <c r="N68" s="360"/>
      <c r="O68" s="391" t="s">
        <v>555</v>
      </c>
      <c r="P68" s="392" t="s">
        <v>557</v>
      </c>
      <c r="Q68" s="338"/>
      <c r="R68" s="392" t="s">
        <v>432</v>
      </c>
      <c r="AA68" s="338"/>
      <c r="AB68" s="338"/>
    </row>
    <row r="69" spans="1:28" x14ac:dyDescent="0.25">
      <c r="A69" s="360"/>
      <c r="B69" s="256" t="s">
        <v>393</v>
      </c>
      <c r="C69" s="374">
        <f>+L40+Q40</f>
        <v>39796417.300820187</v>
      </c>
      <c r="D69" s="374">
        <f>+M40+Q40</f>
        <v>40329164.419833422</v>
      </c>
      <c r="E69" s="374">
        <f>+D69-C69</f>
        <v>532747.11901323497</v>
      </c>
      <c r="F69" s="160">
        <f t="shared" si="16"/>
        <v>1.3386811053523033E-2</v>
      </c>
      <c r="G69" s="34">
        <f>+'Test Year Monthly - (Pres)'!P22/12</f>
        <v>17321.333333333332</v>
      </c>
      <c r="H69" s="389">
        <f t="shared" si="17"/>
        <v>2.5630586512452611</v>
      </c>
      <c r="I69" s="390">
        <f>+'Test Year Monthly - (Prop)'!P26</f>
        <v>5092466.8380000005</v>
      </c>
      <c r="J69" s="390"/>
      <c r="K69" s="360"/>
      <c r="L69" s="30">
        <f>+G69</f>
        <v>17321.333333333332</v>
      </c>
      <c r="M69" s="256" t="s">
        <v>94</v>
      </c>
      <c r="N69" s="393"/>
      <c r="O69" s="374">
        <v>33845619.600000001</v>
      </c>
      <c r="P69" s="374">
        <f>+'Test Year Monthly - (Pres)'!Y13</f>
        <v>0</v>
      </c>
      <c r="Q69" s="374">
        <f t="shared" ref="Q69:Q74" si="18">+O69+P69</f>
        <v>33845619.600000001</v>
      </c>
      <c r="R69" s="374">
        <f t="shared" ref="R69:R76" si="19">+L39</f>
        <v>48574306.238078319</v>
      </c>
      <c r="AA69" s="338"/>
      <c r="AB69" s="338"/>
    </row>
    <row r="70" spans="1:28" x14ac:dyDescent="0.25">
      <c r="A70" s="360"/>
      <c r="B70" s="256" t="s">
        <v>394</v>
      </c>
      <c r="C70" s="374">
        <f>+'Test Year Monthly - (Pres)'!P54+'Test Year Monthly - (Pres)'!Q52</f>
        <v>66028.865891965674</v>
      </c>
      <c r="D70" s="374">
        <f>+'Test Year Monthly - (Prop)'!Q52+'Test Year Monthly - (Prop)'!P54</f>
        <v>66473.075173375677</v>
      </c>
      <c r="E70" s="374">
        <f>+D70-C70</f>
        <v>444.20928141000331</v>
      </c>
      <c r="F70" s="160">
        <f t="shared" si="16"/>
        <v>6.7275013043053685E-3</v>
      </c>
      <c r="G70" s="34">
        <f>+'Test Year Monthly - (Pres)'!P49/12</f>
        <v>2.5833333333333335</v>
      </c>
      <c r="H70" s="389">
        <f t="shared" si="17"/>
        <v>14.329331658387204</v>
      </c>
      <c r="I70" s="390">
        <f>+'Test Year Monthly - (Prop)'!P52</f>
        <v>13141.869699999999</v>
      </c>
      <c r="J70" s="394"/>
      <c r="K70" s="360"/>
      <c r="L70" s="393">
        <f>+G72</f>
        <v>197.16666666666666</v>
      </c>
      <c r="M70" s="256" t="s">
        <v>97</v>
      </c>
      <c r="N70" s="360"/>
      <c r="O70" s="374">
        <v>11206759.190000001</v>
      </c>
      <c r="P70" s="374">
        <f>+'Test Year Monthly - (Pres)'!Y22</f>
        <v>0</v>
      </c>
      <c r="Q70" s="374">
        <f t="shared" si="18"/>
        <v>11206759.190000001</v>
      </c>
      <c r="R70" s="374">
        <f t="shared" si="19"/>
        <v>16493540.880986761</v>
      </c>
      <c r="AA70" s="338"/>
      <c r="AB70" s="338"/>
    </row>
    <row r="71" spans="1:28" x14ac:dyDescent="0.25">
      <c r="A71" s="360"/>
      <c r="B71" s="256" t="s">
        <v>395</v>
      </c>
      <c r="C71" s="374">
        <f>+C69+C70</f>
        <v>39862446.16671215</v>
      </c>
      <c r="D71" s="374">
        <f>+D69+D70</f>
        <v>40395637.4950068</v>
      </c>
      <c r="E71" s="374">
        <f>+E69+E70</f>
        <v>533191.32829464495</v>
      </c>
      <c r="F71" s="160">
        <f t="shared" si="16"/>
        <v>1.3375780454233537E-2</v>
      </c>
      <c r="G71" s="374">
        <f>+G69+G70</f>
        <v>17323.916666666664</v>
      </c>
      <c r="H71" s="389">
        <f t="shared" si="17"/>
        <v>2.5648132316818515</v>
      </c>
      <c r="I71" s="539">
        <f>+I69+I70</f>
        <v>5105608.7077000001</v>
      </c>
      <c r="J71" s="264"/>
      <c r="K71" s="264"/>
      <c r="L71" s="395">
        <f>+G75</f>
        <v>1553.9166666666667</v>
      </c>
      <c r="M71" s="256" t="s">
        <v>98</v>
      </c>
      <c r="N71" s="264"/>
      <c r="O71" s="374">
        <v>561233.76812900009</v>
      </c>
      <c r="P71" s="374">
        <f>+'Test Year Monthly - (Pres)'!Y31</f>
        <v>0</v>
      </c>
      <c r="Q71" s="374">
        <f t="shared" si="18"/>
        <v>561233.76812900009</v>
      </c>
      <c r="R71" s="374">
        <f t="shared" si="19"/>
        <v>768388.18986009085</v>
      </c>
    </row>
    <row r="72" spans="1:28" x14ac:dyDescent="0.25">
      <c r="A72" s="360"/>
      <c r="B72" s="256" t="s">
        <v>396</v>
      </c>
      <c r="C72" s="374">
        <f>+L41+Q41</f>
        <v>3538402.2863774989</v>
      </c>
      <c r="D72" s="374">
        <f>+M41+Q41</f>
        <v>3645352.0965174083</v>
      </c>
      <c r="E72" s="374">
        <f t="shared" ref="E72:E77" si="20">+D72-C72</f>
        <v>106949.81013990939</v>
      </c>
      <c r="F72" s="160">
        <f t="shared" si="16"/>
        <v>3.0225452473749422E-2</v>
      </c>
      <c r="G72" s="34">
        <f>+'Test Year Monthly - (Pres)'!P31/12</f>
        <v>197.16666666666666</v>
      </c>
      <c r="H72" s="389">
        <f t="shared" si="17"/>
        <v>45.20279380385012</v>
      </c>
      <c r="I72" s="539">
        <f>+'Test Year Monthly - (Prop)'!P35</f>
        <v>606047.66950000008</v>
      </c>
      <c r="J72" s="393"/>
      <c r="K72" s="360"/>
      <c r="L72" s="356">
        <f>+G70+G73</f>
        <v>11.416666666666668</v>
      </c>
      <c r="M72" s="256" t="s">
        <v>305</v>
      </c>
      <c r="N72" s="360"/>
      <c r="O72" s="374">
        <v>1778836.8</v>
      </c>
      <c r="P72" s="374">
        <f>+'Test Year Monthly - (Pres)'!Y40</f>
        <v>0</v>
      </c>
      <c r="Q72" s="374">
        <f t="shared" si="18"/>
        <v>1778836.8</v>
      </c>
      <c r="R72" s="374">
        <f t="shared" si="19"/>
        <v>2227731.801256266</v>
      </c>
    </row>
    <row r="73" spans="1:28" x14ac:dyDescent="0.25">
      <c r="A73" s="360"/>
      <c r="B73" s="256" t="s">
        <v>397</v>
      </c>
      <c r="C73" s="374">
        <f>+'Test Year Monthly - (Pres)'!Q60+'Test Year Monthly - (Pres)'!P62</f>
        <v>1342125.8994325623</v>
      </c>
      <c r="D73" s="374">
        <f>+'Test Year Monthly - (Prop)'!Q60+'Test Year Monthly - (Prop)'!P62</f>
        <v>1365351.2689427522</v>
      </c>
      <c r="E73" s="374">
        <f t="shared" si="20"/>
        <v>23225.369510189863</v>
      </c>
      <c r="F73" s="160">
        <f t="shared" si="16"/>
        <v>1.7304911200960598E-2</v>
      </c>
      <c r="G73" s="34">
        <f>+'Test Year Monthly - (Pres)'!P57/12</f>
        <v>8.8333333333333339</v>
      </c>
      <c r="H73" s="389">
        <f t="shared" si="17"/>
        <v>219.10725953009305</v>
      </c>
      <c r="I73" s="539">
        <f>+'Test Year Monthly - (Prop)'!P60</f>
        <v>315639.12829999998</v>
      </c>
      <c r="J73" s="264"/>
      <c r="K73" s="264"/>
      <c r="L73" s="356">
        <f>+G76</f>
        <v>209</v>
      </c>
      <c r="M73" s="256" t="s">
        <v>306</v>
      </c>
      <c r="N73" s="264"/>
      <c r="O73" s="374">
        <v>196998.14708900001</v>
      </c>
      <c r="P73" s="374">
        <f>+'Test Year Monthly - (Pres)'!Y49+'Test Year Monthly - (Pres)'!Y50+'Test Year Monthly - (Pres)'!Y51+'Test Year Monthly - (Pres)'!Y57+'Test Year Monthly - (Pres)'!Y58+'Test Year Monthly - (Pres)'!Y59</f>
        <v>0</v>
      </c>
      <c r="Q73" s="374">
        <f t="shared" si="18"/>
        <v>196998.14708900001</v>
      </c>
      <c r="R73" s="374">
        <f t="shared" si="19"/>
        <v>313469.42120840005</v>
      </c>
    </row>
    <row r="74" spans="1:28" x14ac:dyDescent="0.25">
      <c r="A74" s="360"/>
      <c r="B74" s="256" t="s">
        <v>398</v>
      </c>
      <c r="C74" s="374">
        <f>+C72+C73</f>
        <v>4880528.1858100612</v>
      </c>
      <c r="D74" s="374">
        <f>+D72+D73</f>
        <v>5010703.3654601602</v>
      </c>
      <c r="E74" s="374">
        <f t="shared" si="20"/>
        <v>130175.17965009902</v>
      </c>
      <c r="F74" s="160">
        <f t="shared" si="16"/>
        <v>2.6672354854660629E-2</v>
      </c>
      <c r="G74" s="374">
        <f>+G72+G73</f>
        <v>206</v>
      </c>
      <c r="H74" s="389">
        <f t="shared" si="17"/>
        <v>52.659862318001217</v>
      </c>
      <c r="I74" s="539">
        <f>+I72+I73</f>
        <v>921686.79780000006</v>
      </c>
      <c r="J74" s="264"/>
      <c r="K74" s="264"/>
      <c r="L74" s="264"/>
      <c r="M74" s="256" t="s">
        <v>70</v>
      </c>
      <c r="N74" s="264"/>
      <c r="O74" s="374">
        <v>8279335.287800001</v>
      </c>
      <c r="P74" s="374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Q74" s="374">
        <f t="shared" si="18"/>
        <v>8279335.287800001</v>
      </c>
      <c r="R74" s="374">
        <f t="shared" si="19"/>
        <v>14493605.02149356</v>
      </c>
    </row>
    <row r="75" spans="1:28" x14ac:dyDescent="0.25">
      <c r="A75" s="264"/>
      <c r="B75" s="360" t="s">
        <v>384</v>
      </c>
      <c r="C75" s="374">
        <f>+L42+Q42</f>
        <v>7189609.0439688396</v>
      </c>
      <c r="D75" s="374">
        <f>+M42+Q42</f>
        <v>7377961.2427125741</v>
      </c>
      <c r="E75" s="374">
        <f t="shared" si="20"/>
        <v>188352.19874373451</v>
      </c>
      <c r="F75" s="160">
        <f t="shared" si="16"/>
        <v>2.619783601470484E-2</v>
      </c>
      <c r="G75" s="34">
        <f>+'Test Year Monthly - (Pres)'!P40/12</f>
        <v>1553.9166666666667</v>
      </c>
      <c r="H75" s="389">
        <f t="shared" si="17"/>
        <v>10.100938421394032</v>
      </c>
      <c r="I75" s="539">
        <f>+'Test Year Monthly - (Prop)'!P44</f>
        <v>1084704.2238</v>
      </c>
      <c r="J75" s="390"/>
      <c r="K75" s="360"/>
      <c r="L75" s="360"/>
      <c r="M75" s="256" t="s">
        <v>53</v>
      </c>
      <c r="N75" s="360"/>
      <c r="O75" s="374">
        <v>1382302.7999999998</v>
      </c>
      <c r="P75" s="374"/>
      <c r="Q75" s="374">
        <f>+O75</f>
        <v>1382302.7999999998</v>
      </c>
      <c r="R75" s="374">
        <f t="shared" si="19"/>
        <v>2618728.0575000001</v>
      </c>
    </row>
    <row r="76" spans="1:28" x14ac:dyDescent="0.25">
      <c r="A76" s="264"/>
      <c r="B76" s="256" t="s">
        <v>399</v>
      </c>
      <c r="C76" s="374">
        <f>+L45+L44+Q45+Q44</f>
        <v>17112333.078993559</v>
      </c>
      <c r="D76" s="374">
        <f>+M45+M44+Q45+Q44</f>
        <v>17588273.1019</v>
      </c>
      <c r="E76" s="374">
        <f t="shared" si="20"/>
        <v>475940.02290644124</v>
      </c>
      <c r="F76" s="160">
        <f t="shared" si="16"/>
        <v>2.7812690456024778E-2</v>
      </c>
      <c r="G76" s="34">
        <f>(+'Test Year Monthly - (Pres)'!P65+'Test Year Monthly - (Pres)'!P81+'Test Year Monthly - (Pres)'!P90)/12</f>
        <v>209</v>
      </c>
      <c r="H76" s="389">
        <f t="shared" si="17"/>
        <v>189.7687491652477</v>
      </c>
      <c r="I76" s="539">
        <f>+'Test Year Monthly - (Prop)'!P72+'Test Year Monthly - (Prop)'!P78+'Test Year Monthly - (Prop)'!P87+'Test Year Monthly - (Prop)'!P94</f>
        <v>30001563.59</v>
      </c>
      <c r="J76" s="360"/>
      <c r="K76" s="360"/>
      <c r="L76" s="360"/>
      <c r="M76" s="369" t="s">
        <v>225</v>
      </c>
      <c r="N76" s="360"/>
      <c r="O76" s="374">
        <v>57251085.593017995</v>
      </c>
      <c r="P76" s="374"/>
      <c r="Q76" s="374">
        <f>SUM(Q69:Q75)</f>
        <v>57251085.593017995</v>
      </c>
      <c r="R76" s="374">
        <f t="shared" si="19"/>
        <v>85489769.610383391</v>
      </c>
    </row>
    <row r="77" spans="1:28" x14ac:dyDescent="0.25">
      <c r="A77" s="360"/>
      <c r="B77" s="360" t="s">
        <v>386</v>
      </c>
      <c r="C77" s="395">
        <f>+L48</f>
        <v>1936712.1789956738</v>
      </c>
      <c r="D77" s="395">
        <f>+M48</f>
        <v>1958149.3649859296</v>
      </c>
      <c r="E77" s="374">
        <f t="shared" si="20"/>
        <v>21437.185990255792</v>
      </c>
      <c r="F77" s="160">
        <f t="shared" si="16"/>
        <v>1.1068854847276549E-2</v>
      </c>
      <c r="G77" s="34"/>
      <c r="H77" s="389"/>
      <c r="I77" s="360"/>
      <c r="J77" s="360"/>
      <c r="K77" s="360"/>
      <c r="L77" s="360"/>
      <c r="M77" s="284"/>
      <c r="N77" s="360"/>
      <c r="O77" s="360"/>
      <c r="P77" s="374"/>
      <c r="Q77" s="374"/>
      <c r="R77" s="374"/>
    </row>
    <row r="78" spans="1:28" x14ac:dyDescent="0.25">
      <c r="A78" s="360"/>
      <c r="B78" s="360"/>
      <c r="C78" s="360"/>
      <c r="D78" s="360"/>
      <c r="E78" s="360"/>
      <c r="F78" s="360"/>
      <c r="G78" s="360"/>
      <c r="H78" s="264"/>
      <c r="I78" s="264"/>
      <c r="J78" s="264"/>
      <c r="K78" s="264"/>
      <c r="L78" s="36"/>
      <c r="M78" s="360" t="s">
        <v>226</v>
      </c>
      <c r="N78" s="393"/>
      <c r="O78" s="30">
        <v>2490421.8826681441</v>
      </c>
      <c r="P78" s="374"/>
      <c r="Q78" s="374"/>
      <c r="R78" s="374">
        <f>+L48</f>
        <v>1936712.1789956738</v>
      </c>
    </row>
    <row r="79" spans="1:28" x14ac:dyDescent="0.25">
      <c r="A79" s="360"/>
      <c r="B79" s="360" t="s">
        <v>19</v>
      </c>
      <c r="C79" s="356">
        <f>SUM(C68:C78)-C71-C74</f>
        <v>166804658.47983369</v>
      </c>
      <c r="D79" s="356">
        <f>SUM(D68:D78)-D71-D74</f>
        <v>170112304.15734062</v>
      </c>
      <c r="E79" s="356">
        <f>+D79-C79</f>
        <v>3307645.6775069237</v>
      </c>
      <c r="F79" s="160">
        <f>+E79/C79</f>
        <v>1.982945624930979E-2</v>
      </c>
      <c r="G79" s="356">
        <f>SUM(G68:G78)-G71-G74</f>
        <v>175462.58333333334</v>
      </c>
      <c r="H79" s="389">
        <f>+E79/(G79*12)</f>
        <v>1.5709169132008314</v>
      </c>
      <c r="I79" s="390">
        <f>+I68+I69+I70+I72+I73+I75+I76</f>
        <v>47450070.290527865</v>
      </c>
      <c r="J79" s="390"/>
      <c r="K79" s="360"/>
      <c r="L79" s="360"/>
      <c r="M79" s="369" t="s">
        <v>96</v>
      </c>
      <c r="N79" s="360"/>
      <c r="O79" s="356">
        <v>59741507.47568614</v>
      </c>
      <c r="P79" s="374"/>
      <c r="Q79" s="374"/>
      <c r="R79" s="374">
        <f>+R76+R78</f>
        <v>87426481.78937906</v>
      </c>
    </row>
    <row r="80" spans="1:28" x14ac:dyDescent="0.25">
      <c r="A80" s="360"/>
      <c r="B80" s="360"/>
      <c r="C80" s="360"/>
      <c r="D80" s="360"/>
      <c r="E80" s="360"/>
      <c r="F80" s="360"/>
      <c r="G80" s="360"/>
      <c r="H80" s="360"/>
      <c r="I80" s="264" t="s">
        <v>672</v>
      </c>
      <c r="J80" s="360" t="s">
        <v>673</v>
      </c>
      <c r="K80" s="360"/>
      <c r="L80" s="44"/>
      <c r="M80" s="396"/>
      <c r="N80" s="393"/>
      <c r="O80" s="30"/>
      <c r="P80" s="338"/>
      <c r="Q80" s="338"/>
      <c r="R80" s="326"/>
      <c r="S80" s="326"/>
      <c r="T80" s="326"/>
      <c r="U80" s="326"/>
      <c r="V80" s="326"/>
      <c r="W80" s="326"/>
    </row>
    <row r="81" spans="1:26" x14ac:dyDescent="0.25">
      <c r="A81" s="360"/>
      <c r="B81" s="256" t="s">
        <v>94</v>
      </c>
      <c r="C81" s="374">
        <f>+C68</f>
        <v>95823029.825353429</v>
      </c>
      <c r="D81" s="374">
        <f>+D68</f>
        <v>97781579.587275118</v>
      </c>
      <c r="E81" s="374">
        <f>+D81-C81</f>
        <v>1958549.7619216889</v>
      </c>
      <c r="F81" s="379">
        <f>+E81/C81</f>
        <v>2.0439238515953126E-2</v>
      </c>
      <c r="G81" s="374">
        <f>+G68</f>
        <v>156169.75</v>
      </c>
      <c r="H81" s="389">
        <f>+E81/(G81*12)</f>
        <v>1.0450966346564603</v>
      </c>
      <c r="I81" s="541">
        <f>ROUND((+I68/G68/12),1)</f>
        <v>5.5</v>
      </c>
      <c r="J81" s="540">
        <f>+C81/G81/12</f>
        <v>51.131877239005114</v>
      </c>
      <c r="K81" s="378">
        <f t="shared" ref="K81" si="21">+H81/J81</f>
        <v>2.0439238515953126E-2</v>
      </c>
      <c r="L81" s="543">
        <f>+D81/G81/12</f>
        <v>52.176973873661574</v>
      </c>
      <c r="M81" s="396"/>
      <c r="N81" s="393"/>
      <c r="O81" s="30"/>
      <c r="P81" s="338"/>
      <c r="Q81" s="338"/>
    </row>
    <row r="82" spans="1:26" x14ac:dyDescent="0.25">
      <c r="A82" s="360"/>
      <c r="B82" s="360" t="s">
        <v>401</v>
      </c>
      <c r="C82" s="356">
        <f>+C74+C76</f>
        <v>21992861.264803618</v>
      </c>
      <c r="D82" s="356">
        <f>+D74+D76</f>
        <v>22598976.467360161</v>
      </c>
      <c r="E82" s="356">
        <f>+E74+E76</f>
        <v>606115.20255654026</v>
      </c>
      <c r="F82" s="379">
        <f>+E82/C82</f>
        <v>2.755963379474137E-2</v>
      </c>
      <c r="G82" s="356">
        <f>+G74+G76</f>
        <v>415</v>
      </c>
      <c r="H82" s="389">
        <f>+E82/(G82*12)</f>
        <v>121.70988003143378</v>
      </c>
      <c r="I82" s="356">
        <f>ROUND((+(I74+I76)/(G74+G76)/12),0)</f>
        <v>6209</v>
      </c>
      <c r="J82" s="540">
        <f t="shared" ref="J82:J83" si="22">+C82/G82/12</f>
        <v>4416.2372017677944</v>
      </c>
      <c r="K82" s="378">
        <f>+H82/J82</f>
        <v>2.7559633794741373E-2</v>
      </c>
      <c r="L82" s="543">
        <f t="shared" ref="L82:L83" si="23">+D82/G82/12</f>
        <v>4537.9470817992287</v>
      </c>
      <c r="M82" s="396"/>
      <c r="N82" s="393"/>
      <c r="O82" s="30"/>
      <c r="P82" s="338"/>
      <c r="Q82" s="338"/>
      <c r="R82" s="371"/>
      <c r="S82" s="371"/>
      <c r="T82" s="371"/>
      <c r="U82" s="371"/>
      <c r="V82" s="371"/>
      <c r="W82" s="371"/>
    </row>
    <row r="83" spans="1:26" x14ac:dyDescent="0.25">
      <c r="A83" s="360"/>
      <c r="B83" s="360" t="s">
        <v>403</v>
      </c>
      <c r="C83" s="374">
        <f>+C71+C75</f>
        <v>47052055.210680991</v>
      </c>
      <c r="D83" s="374">
        <f>+D71+D75</f>
        <v>47773598.737719372</v>
      </c>
      <c r="E83" s="374">
        <f>+D83-C83</f>
        <v>721543.5270383805</v>
      </c>
      <c r="F83" s="379">
        <f>+E83/C83</f>
        <v>1.5335005533925911E-2</v>
      </c>
      <c r="G83" s="374">
        <f>+G71+G75</f>
        <v>18877.833333333332</v>
      </c>
      <c r="H83" s="389">
        <f>+E83/(G83*12)</f>
        <v>3.1851445126929314</v>
      </c>
      <c r="I83" s="542">
        <f>ROUND((+(I71+I75)/(G71+G75)/12),1)</f>
        <v>27.3</v>
      </c>
      <c r="J83" s="540">
        <f t="shared" si="22"/>
        <v>207.70416454342833</v>
      </c>
      <c r="K83" s="378">
        <f t="shared" ref="K83" si="24">+H83/J83</f>
        <v>1.5335005533925911E-2</v>
      </c>
      <c r="L83" s="543">
        <f t="shared" si="23"/>
        <v>210.88930905612128</v>
      </c>
      <c r="M83" s="56"/>
      <c r="N83" s="393"/>
      <c r="O83" s="30"/>
      <c r="P83" s="338"/>
      <c r="Q83" s="338"/>
      <c r="R83" s="371"/>
      <c r="S83" s="371"/>
      <c r="T83" s="371"/>
      <c r="U83" s="371"/>
      <c r="V83" s="371"/>
      <c r="W83" s="371"/>
    </row>
    <row r="84" spans="1:26" x14ac:dyDescent="0.25">
      <c r="A84" s="360"/>
      <c r="B84" s="360" t="s">
        <v>386</v>
      </c>
      <c r="C84" s="374">
        <f>+C77</f>
        <v>1936712.1789956738</v>
      </c>
      <c r="D84" s="374">
        <f>+D77</f>
        <v>1958149.3649859296</v>
      </c>
      <c r="E84" s="374">
        <f>+D84-C84</f>
        <v>21437.185990255792</v>
      </c>
      <c r="F84" s="379">
        <f>+E84/C84</f>
        <v>1.1068854847276549E-2</v>
      </c>
      <c r="G84" s="374"/>
      <c r="H84" s="389"/>
      <c r="I84" s="397"/>
      <c r="J84" s="393"/>
      <c r="K84" s="360"/>
      <c r="L84" s="44"/>
      <c r="M84" s="56"/>
      <c r="N84" s="393"/>
      <c r="O84" s="30"/>
      <c r="P84" s="338"/>
      <c r="Q84" s="338"/>
      <c r="R84" s="371"/>
      <c r="S84" s="371"/>
      <c r="T84" s="371"/>
      <c r="U84" s="371"/>
      <c r="V84" s="371"/>
      <c r="W84" s="371"/>
      <c r="Y84" s="371"/>
      <c r="Z84" s="353"/>
    </row>
    <row r="85" spans="1:26" x14ac:dyDescent="0.25">
      <c r="A85" s="360"/>
      <c r="B85" s="360"/>
      <c r="C85" s="360"/>
      <c r="D85" s="360"/>
      <c r="E85" s="360"/>
      <c r="F85" s="398"/>
      <c r="G85" s="360"/>
      <c r="H85" s="360"/>
      <c r="I85" s="360"/>
      <c r="J85" s="360"/>
      <c r="K85" s="360"/>
      <c r="L85" s="360"/>
      <c r="M85" s="360"/>
      <c r="N85" s="360"/>
      <c r="O85" s="360"/>
      <c r="P85" s="338"/>
      <c r="Q85" s="338"/>
    </row>
    <row r="86" spans="1:26" x14ac:dyDescent="0.25">
      <c r="A86" s="360"/>
      <c r="B86" s="360"/>
      <c r="C86" s="356">
        <f>SUM(C81:C85)</f>
        <v>166804658.47983372</v>
      </c>
      <c r="D86" s="356">
        <f>SUM(D81:D85)</f>
        <v>170112304.15734059</v>
      </c>
      <c r="E86" s="356">
        <f>SUM(E81:E85)</f>
        <v>3307645.6775068655</v>
      </c>
      <c r="F86" s="379">
        <f>+E86/C86</f>
        <v>1.982945624930944E-2</v>
      </c>
      <c r="G86" s="356">
        <f>SUM(G81:G85)</f>
        <v>175462.58333333334</v>
      </c>
      <c r="H86" s="389">
        <f>+E86/(G86*12)</f>
        <v>1.5709169132008036</v>
      </c>
      <c r="I86" s="360"/>
      <c r="J86" s="360"/>
      <c r="K86" s="360"/>
      <c r="L86" s="44"/>
      <c r="M86" s="396"/>
      <c r="N86" s="393"/>
      <c r="O86" s="30"/>
      <c r="P86" s="338"/>
      <c r="Q86" s="338"/>
      <c r="R86" s="371"/>
      <c r="S86" s="371"/>
      <c r="T86" s="371"/>
      <c r="U86" s="371"/>
      <c r="V86" s="371"/>
      <c r="W86" s="371"/>
      <c r="X86" s="282"/>
      <c r="Y86" s="282"/>
      <c r="Z86" s="282"/>
    </row>
    <row r="87" spans="1:26" x14ac:dyDescent="0.25">
      <c r="A87" s="360"/>
      <c r="B87" s="360"/>
      <c r="C87" s="360"/>
      <c r="D87" s="360"/>
      <c r="E87" s="360"/>
      <c r="F87" s="360"/>
      <c r="G87" s="360"/>
      <c r="H87" s="360"/>
      <c r="I87" s="360"/>
      <c r="J87" s="360"/>
      <c r="K87" s="360"/>
      <c r="L87" s="44"/>
      <c r="M87" s="396"/>
      <c r="N87" s="393"/>
      <c r="O87" s="30"/>
      <c r="P87" s="338"/>
      <c r="Q87" s="338"/>
      <c r="R87" s="371"/>
      <c r="S87" s="371"/>
      <c r="T87" s="371"/>
      <c r="U87" s="371"/>
      <c r="V87" s="371"/>
      <c r="W87" s="371"/>
      <c r="X87" s="338"/>
      <c r="Y87" s="338"/>
      <c r="Z87" s="338"/>
    </row>
    <row r="88" spans="1:26" x14ac:dyDescent="0.25">
      <c r="A88" s="360"/>
      <c r="B88" s="360" t="s">
        <v>94</v>
      </c>
      <c r="C88" s="360"/>
      <c r="D88" s="360"/>
      <c r="E88" s="360"/>
      <c r="F88" s="360"/>
      <c r="G88" s="360"/>
      <c r="H88" s="360"/>
      <c r="I88" s="360"/>
      <c r="J88" s="360"/>
      <c r="K88" s="360"/>
      <c r="L88" s="44"/>
      <c r="M88" s="396"/>
      <c r="N88" s="393"/>
      <c r="O88" s="30"/>
      <c r="P88" s="338"/>
      <c r="Q88" s="338"/>
      <c r="R88" s="371"/>
      <c r="S88" s="371"/>
      <c r="T88" s="371"/>
      <c r="U88" s="371"/>
      <c r="V88" s="371"/>
      <c r="W88" s="371"/>
      <c r="X88" s="338"/>
      <c r="Y88" s="338"/>
      <c r="Z88" s="338"/>
    </row>
    <row r="89" spans="1:26" x14ac:dyDescent="0.25">
      <c r="A89" s="360"/>
      <c r="B89" s="360" t="s">
        <v>677</v>
      </c>
      <c r="C89" s="546">
        <f>+F12</f>
        <v>18.649999999999999</v>
      </c>
      <c r="D89" s="546">
        <f>+G12</f>
        <v>18.25</v>
      </c>
      <c r="E89" s="360"/>
      <c r="F89" s="360"/>
      <c r="G89" s="360"/>
      <c r="H89" s="393"/>
      <c r="I89" s="360"/>
      <c r="J89" s="393"/>
      <c r="K89" s="360"/>
      <c r="L89" s="390"/>
      <c r="M89" s="396"/>
      <c r="N89" s="393"/>
      <c r="O89" s="30"/>
      <c r="P89" s="338"/>
      <c r="Q89" s="338"/>
      <c r="R89" s="371"/>
      <c r="S89" s="371"/>
      <c r="T89" s="371"/>
      <c r="U89" s="371"/>
      <c r="V89" s="371"/>
      <c r="W89" s="371"/>
      <c r="X89" s="338"/>
      <c r="Y89" s="338"/>
      <c r="Z89" s="338"/>
    </row>
    <row r="90" spans="1:26" x14ac:dyDescent="0.25">
      <c r="A90" s="360"/>
      <c r="B90" s="360" t="s">
        <v>675</v>
      </c>
      <c r="C90" s="545">
        <f>+F19</f>
        <v>1.3180000000000001</v>
      </c>
      <c r="D90" s="545">
        <f>+G19</f>
        <v>1.58</v>
      </c>
      <c r="E90" s="360"/>
      <c r="F90" s="360"/>
      <c r="G90" s="360"/>
      <c r="H90" s="393"/>
      <c r="I90" s="360"/>
      <c r="J90" s="393"/>
      <c r="K90" s="360"/>
      <c r="L90" s="390"/>
      <c r="M90" s="396"/>
      <c r="N90" s="393"/>
      <c r="O90" s="30"/>
      <c r="P90" s="338"/>
      <c r="Q90" s="338"/>
      <c r="R90" s="371"/>
      <c r="S90" s="371"/>
      <c r="T90" s="371"/>
      <c r="U90" s="371"/>
      <c r="V90" s="371"/>
      <c r="W90" s="371"/>
      <c r="X90" s="338"/>
      <c r="Y90" s="338"/>
      <c r="Z90" s="338"/>
    </row>
    <row r="91" spans="1:26" x14ac:dyDescent="0.25">
      <c r="A91" s="360"/>
      <c r="B91" s="360" t="s">
        <v>674</v>
      </c>
      <c r="C91" s="541">
        <f>+I81</f>
        <v>5.5</v>
      </c>
      <c r="D91" s="541">
        <f>+C91</f>
        <v>5.5</v>
      </c>
      <c r="E91" s="360"/>
      <c r="F91" s="360"/>
      <c r="G91" s="360"/>
      <c r="H91" s="393"/>
      <c r="I91" s="360"/>
      <c r="J91" s="393"/>
      <c r="K91" s="360"/>
      <c r="L91" s="393"/>
      <c r="M91" s="399"/>
      <c r="N91" s="393"/>
      <c r="O91" s="30"/>
      <c r="P91" s="338"/>
      <c r="Q91" s="338"/>
      <c r="R91" s="371"/>
      <c r="S91" s="371"/>
      <c r="T91" s="371"/>
      <c r="U91" s="371"/>
      <c r="V91" s="371"/>
      <c r="W91" s="371"/>
    </row>
    <row r="92" spans="1:26" x14ac:dyDescent="0.25">
      <c r="A92" s="360"/>
      <c r="B92" s="360" t="s">
        <v>676</v>
      </c>
      <c r="C92" s="546">
        <f>ROUND((+C90*C91),2)</f>
        <v>7.25</v>
      </c>
      <c r="D92" s="546">
        <f>ROUND((+D90*D91),2)</f>
        <v>8.69</v>
      </c>
      <c r="E92" s="360"/>
      <c r="F92" s="360"/>
      <c r="G92" s="360"/>
      <c r="H92" s="393"/>
      <c r="I92" s="360"/>
      <c r="J92" s="393"/>
      <c r="K92" s="360"/>
      <c r="L92" s="393"/>
      <c r="M92" s="399"/>
      <c r="N92" s="393"/>
      <c r="O92" s="30"/>
      <c r="P92" s="338"/>
      <c r="Q92" s="338"/>
      <c r="R92" s="371"/>
      <c r="S92" s="371"/>
      <c r="T92" s="371"/>
      <c r="U92" s="371"/>
      <c r="V92" s="371"/>
      <c r="W92" s="371"/>
      <c r="X92" s="353"/>
      <c r="Y92" s="353"/>
      <c r="Z92" s="353"/>
    </row>
    <row r="93" spans="1:26" x14ac:dyDescent="0.25">
      <c r="A93" s="360"/>
      <c r="B93" s="360" t="s">
        <v>678</v>
      </c>
      <c r="C93" s="545">
        <v>4.0834999999999999</v>
      </c>
      <c r="D93" s="545">
        <f>+C93</f>
        <v>4.0834999999999999</v>
      </c>
      <c r="E93" s="360"/>
      <c r="F93" s="360"/>
      <c r="G93" s="360"/>
      <c r="H93" s="393"/>
      <c r="I93" s="360"/>
      <c r="J93" s="393"/>
      <c r="K93" s="360"/>
      <c r="L93" s="393"/>
      <c r="M93" s="399"/>
      <c r="N93" s="393"/>
      <c r="O93" s="30"/>
      <c r="P93" s="338"/>
      <c r="Q93" s="338"/>
      <c r="R93" s="371"/>
      <c r="S93" s="371"/>
      <c r="T93" s="371"/>
      <c r="U93" s="371"/>
      <c r="V93" s="371"/>
      <c r="W93" s="371"/>
      <c r="X93" s="338"/>
      <c r="Y93" s="338"/>
      <c r="Z93" s="338"/>
    </row>
    <row r="94" spans="1:26" ht="16.5" thickBot="1" x14ac:dyDescent="0.3">
      <c r="A94" s="360"/>
      <c r="B94" s="360" t="s">
        <v>679</v>
      </c>
      <c r="C94" s="547">
        <f>ROUND((+C91*C93),2)</f>
        <v>22.46</v>
      </c>
      <c r="D94" s="547">
        <f>ROUND((+D91*D93),2)</f>
        <v>22.46</v>
      </c>
      <c r="E94" s="360"/>
      <c r="F94" s="360"/>
      <c r="G94" s="360"/>
      <c r="H94" s="393"/>
      <c r="I94" s="360"/>
      <c r="J94" s="393"/>
      <c r="K94" s="360"/>
      <c r="L94" s="393"/>
      <c r="M94" s="399"/>
      <c r="N94" s="393"/>
      <c r="O94" s="30"/>
      <c r="P94" s="338"/>
      <c r="Q94" s="338"/>
      <c r="R94" s="371"/>
      <c r="S94" s="371"/>
      <c r="T94" s="371"/>
      <c r="U94" s="371"/>
      <c r="V94" s="371"/>
      <c r="W94" s="371"/>
      <c r="X94" s="338"/>
      <c r="Y94" s="338"/>
      <c r="Z94" s="338"/>
    </row>
    <row r="95" spans="1:26" ht="16.5" thickBot="1" x14ac:dyDescent="0.3">
      <c r="A95" s="360"/>
      <c r="B95" s="360" t="s">
        <v>19</v>
      </c>
      <c r="C95" s="548">
        <f>+C89+C92+C94</f>
        <v>48.36</v>
      </c>
      <c r="D95" s="548">
        <f>+D89+D92+D94</f>
        <v>49.4</v>
      </c>
      <c r="E95" s="544">
        <f>+D95-C95</f>
        <v>1.0399999999999991</v>
      </c>
      <c r="F95" s="74">
        <f>+E95/C95</f>
        <v>2.1505376344086002E-2</v>
      </c>
      <c r="G95" s="360"/>
      <c r="H95" s="393"/>
      <c r="I95" s="360"/>
      <c r="J95" s="393"/>
      <c r="K95" s="360"/>
      <c r="L95" s="393"/>
      <c r="M95" s="399"/>
      <c r="N95" s="393"/>
      <c r="O95" s="30"/>
      <c r="P95" s="338"/>
      <c r="Q95" s="338"/>
      <c r="R95" s="371"/>
      <c r="S95" s="371"/>
      <c r="T95" s="371"/>
      <c r="U95" s="371"/>
      <c r="V95" s="371"/>
      <c r="W95" s="371"/>
      <c r="X95" s="353"/>
      <c r="Y95" s="338"/>
      <c r="Z95" s="338"/>
    </row>
    <row r="96" spans="1:26" x14ac:dyDescent="0.25">
      <c r="A96" s="360"/>
      <c r="B96" s="360"/>
      <c r="C96" s="360"/>
      <c r="D96" s="360"/>
      <c r="E96" s="360"/>
      <c r="F96" s="360"/>
      <c r="G96" s="360"/>
      <c r="H96" s="393"/>
      <c r="I96" s="360"/>
      <c r="J96" s="393"/>
      <c r="K96" s="360"/>
      <c r="L96" s="393"/>
      <c r="M96" s="399"/>
      <c r="N96" s="393"/>
      <c r="O96" s="30"/>
      <c r="P96" s="338"/>
      <c r="Q96" s="338"/>
      <c r="R96" s="371"/>
      <c r="S96" s="371"/>
      <c r="T96" s="371"/>
      <c r="U96" s="371"/>
      <c r="V96" s="371"/>
      <c r="W96" s="371"/>
      <c r="X96" s="353"/>
      <c r="Y96" s="338"/>
      <c r="Z96" s="338"/>
    </row>
    <row r="97" spans="1:26" x14ac:dyDescent="0.25">
      <c r="A97" s="360"/>
      <c r="B97" s="360"/>
      <c r="C97" s="360">
        <v>48.35</v>
      </c>
      <c r="D97" s="360">
        <v>49.4</v>
      </c>
      <c r="E97" s="360">
        <f>+D97-C97</f>
        <v>1.0499999999999972</v>
      </c>
      <c r="F97" s="74">
        <f>+E97/C97</f>
        <v>2.1716649431230552E-2</v>
      </c>
      <c r="G97" s="360"/>
      <c r="H97" s="393"/>
      <c r="I97" s="360"/>
      <c r="J97" s="393"/>
      <c r="K97" s="360"/>
      <c r="L97" s="393"/>
      <c r="M97" s="399"/>
      <c r="N97" s="393"/>
      <c r="O97" s="30"/>
      <c r="P97" s="338"/>
      <c r="Q97" s="338"/>
      <c r="R97" s="371"/>
      <c r="S97" s="371"/>
      <c r="T97" s="371"/>
      <c r="U97" s="371"/>
      <c r="V97" s="371"/>
      <c r="W97" s="371"/>
      <c r="X97" s="338"/>
      <c r="Y97" s="338"/>
      <c r="Z97" s="338"/>
    </row>
    <row r="98" spans="1:26" x14ac:dyDescent="0.25">
      <c r="A98" s="360"/>
      <c r="B98" s="360"/>
      <c r="C98" s="360"/>
      <c r="D98" s="360"/>
      <c r="E98" s="360"/>
      <c r="F98" s="360"/>
      <c r="G98" s="360"/>
      <c r="H98" s="393"/>
      <c r="I98" s="360"/>
      <c r="J98" s="393"/>
      <c r="K98" s="360"/>
      <c r="L98" s="393"/>
      <c r="M98" s="399"/>
      <c r="N98" s="393"/>
      <c r="O98" s="30"/>
      <c r="P98" s="338"/>
      <c r="Q98" s="338"/>
      <c r="R98" s="371"/>
      <c r="S98" s="371"/>
      <c r="T98" s="371"/>
      <c r="U98" s="371"/>
      <c r="V98" s="371"/>
      <c r="W98" s="371"/>
      <c r="X98" s="338"/>
      <c r="Y98" s="338"/>
      <c r="Z98" s="338"/>
    </row>
    <row r="99" spans="1:26" x14ac:dyDescent="0.25">
      <c r="A99" s="360"/>
    </row>
    <row r="100" spans="1:26" x14ac:dyDescent="0.25">
      <c r="A100" s="360"/>
    </row>
    <row r="101" spans="1:26" x14ac:dyDescent="0.25">
      <c r="A101" s="360"/>
    </row>
    <row r="102" spans="1:26" x14ac:dyDescent="0.25">
      <c r="A102" s="360"/>
    </row>
    <row r="103" spans="1:26" x14ac:dyDescent="0.25">
      <c r="A103" s="360"/>
    </row>
    <row r="104" spans="1:26" x14ac:dyDescent="0.25">
      <c r="A104" s="360"/>
    </row>
    <row r="105" spans="1:26" x14ac:dyDescent="0.25">
      <c r="A105" s="360"/>
    </row>
    <row r="106" spans="1:26" x14ac:dyDescent="0.25">
      <c r="A106" s="360"/>
    </row>
    <row r="107" spans="1:26" x14ac:dyDescent="0.25">
      <c r="A107" s="360"/>
    </row>
    <row r="108" spans="1:26" x14ac:dyDescent="0.25">
      <c r="A108" s="360"/>
    </row>
    <row r="109" spans="1:26" x14ac:dyDescent="0.25">
      <c r="A109" s="360"/>
    </row>
    <row r="110" spans="1:26" x14ac:dyDescent="0.25">
      <c r="A110" s="360"/>
    </row>
    <row r="111" spans="1:26" x14ac:dyDescent="0.25">
      <c r="A111" s="360"/>
    </row>
    <row r="112" spans="1:26" x14ac:dyDescent="0.25">
      <c r="A112" s="360"/>
    </row>
    <row r="113" spans="1:26" x14ac:dyDescent="0.25">
      <c r="A113" s="360"/>
    </row>
    <row r="114" spans="1:26" x14ac:dyDescent="0.25">
      <c r="A114" s="360"/>
    </row>
    <row r="115" spans="1:26" x14ac:dyDescent="0.25">
      <c r="A115" s="360"/>
    </row>
    <row r="116" spans="1:26" x14ac:dyDescent="0.25">
      <c r="A116" s="360"/>
    </row>
    <row r="117" spans="1:26" x14ac:dyDescent="0.25">
      <c r="A117" s="360"/>
    </row>
    <row r="118" spans="1:26" x14ac:dyDescent="0.25">
      <c r="A118" s="360"/>
    </row>
    <row r="119" spans="1:26" x14ac:dyDescent="0.25">
      <c r="A119" s="360"/>
    </row>
    <row r="120" spans="1:26" x14ac:dyDescent="0.25">
      <c r="A120" s="360"/>
    </row>
    <row r="121" spans="1:26" x14ac:dyDescent="0.25">
      <c r="A121" s="264"/>
      <c r="B121" s="360"/>
      <c r="C121" s="360"/>
      <c r="D121" s="360"/>
      <c r="E121" s="360"/>
      <c r="F121" s="360"/>
      <c r="G121" s="360"/>
      <c r="H121" s="393"/>
      <c r="I121" s="360"/>
      <c r="J121" s="393"/>
      <c r="K121" s="360"/>
      <c r="L121" s="393"/>
      <c r="M121" s="399"/>
      <c r="N121" s="393"/>
      <c r="O121" s="30"/>
      <c r="P121" s="338"/>
      <c r="Q121" s="338"/>
      <c r="R121" s="371"/>
      <c r="S121" s="371"/>
      <c r="T121" s="371"/>
      <c r="U121" s="371"/>
      <c r="V121" s="371"/>
      <c r="W121" s="371"/>
      <c r="X121" s="353"/>
      <c r="Y121" s="338"/>
      <c r="Z121" s="338"/>
    </row>
    <row r="122" spans="1:26" x14ac:dyDescent="0.25">
      <c r="A122" s="264"/>
      <c r="B122" s="360"/>
      <c r="C122" s="360"/>
      <c r="D122" s="360"/>
      <c r="E122" s="360"/>
      <c r="F122" s="360"/>
      <c r="G122" s="360"/>
      <c r="H122" s="393"/>
      <c r="I122" s="360"/>
      <c r="J122" s="393"/>
      <c r="K122" s="360"/>
      <c r="L122" s="393"/>
      <c r="M122" s="399"/>
      <c r="N122" s="393"/>
      <c r="O122" s="30"/>
      <c r="P122" s="338"/>
      <c r="Q122" s="338"/>
      <c r="R122" s="371"/>
      <c r="S122" s="371"/>
      <c r="T122" s="371"/>
      <c r="U122" s="371"/>
      <c r="V122" s="371"/>
      <c r="W122" s="371"/>
      <c r="X122" s="353"/>
      <c r="Y122" s="338"/>
      <c r="Z122" s="338"/>
    </row>
    <row r="123" spans="1:26" x14ac:dyDescent="0.25">
      <c r="A123" s="360"/>
      <c r="B123" s="360"/>
      <c r="C123" s="360"/>
      <c r="D123" s="360"/>
      <c r="E123" s="360"/>
      <c r="F123" s="360"/>
      <c r="G123" s="360"/>
      <c r="H123" s="393"/>
      <c r="I123" s="400"/>
      <c r="J123" s="393"/>
      <c r="K123" s="360"/>
      <c r="L123" s="393"/>
      <c r="M123" s="399"/>
      <c r="N123" s="393"/>
      <c r="O123" s="30"/>
      <c r="P123" s="338"/>
      <c r="Q123" s="338"/>
      <c r="R123" s="371"/>
      <c r="S123" s="371"/>
      <c r="T123" s="371"/>
      <c r="U123" s="371"/>
      <c r="V123" s="371"/>
      <c r="W123" s="371"/>
      <c r="X123" s="338"/>
      <c r="Y123" s="338"/>
      <c r="Z123" s="338"/>
    </row>
    <row r="124" spans="1:26" x14ac:dyDescent="0.25">
      <c r="A124" s="360"/>
      <c r="B124" s="360"/>
      <c r="C124" s="360"/>
      <c r="D124" s="360"/>
      <c r="E124" s="360"/>
      <c r="F124" s="360"/>
      <c r="G124" s="360"/>
      <c r="H124" s="393"/>
      <c r="I124" s="400"/>
      <c r="J124" s="393"/>
      <c r="K124" s="360"/>
      <c r="L124" s="393"/>
      <c r="M124" s="399"/>
      <c r="N124" s="393"/>
      <c r="O124" s="30"/>
      <c r="P124" s="338"/>
      <c r="Q124" s="338"/>
      <c r="R124" s="371"/>
      <c r="S124" s="371"/>
      <c r="T124" s="371"/>
      <c r="U124" s="371"/>
      <c r="V124" s="371"/>
      <c r="W124" s="371"/>
      <c r="X124" s="338"/>
      <c r="Y124" s="338"/>
      <c r="Z124" s="338"/>
    </row>
    <row r="125" spans="1:26" x14ac:dyDescent="0.25">
      <c r="A125" s="360"/>
      <c r="B125" s="360"/>
      <c r="C125" s="360"/>
      <c r="D125" s="360"/>
      <c r="E125" s="360"/>
      <c r="F125" s="360"/>
      <c r="G125" s="360"/>
      <c r="H125" s="393"/>
      <c r="I125" s="400"/>
      <c r="J125" s="393"/>
      <c r="K125" s="360"/>
      <c r="L125" s="393"/>
      <c r="M125" s="399"/>
      <c r="N125" s="393"/>
      <c r="O125" s="30"/>
      <c r="P125" s="338"/>
      <c r="Q125" s="338"/>
      <c r="R125" s="371"/>
      <c r="S125" s="371"/>
      <c r="T125" s="371"/>
      <c r="U125" s="371"/>
      <c r="V125" s="371"/>
      <c r="W125" s="371"/>
      <c r="X125" s="353"/>
      <c r="Y125" s="338"/>
      <c r="Z125" s="338"/>
    </row>
    <row r="126" spans="1:26" x14ac:dyDescent="0.25">
      <c r="A126" s="255"/>
      <c r="B126" s="360"/>
      <c r="C126" s="360"/>
      <c r="D126" s="360"/>
      <c r="E126" s="360"/>
      <c r="F126" s="360"/>
      <c r="G126" s="360"/>
      <c r="H126" s="393"/>
      <c r="I126" s="400"/>
      <c r="J126" s="393"/>
      <c r="K126" s="360"/>
      <c r="L126" s="393"/>
      <c r="M126" s="399"/>
      <c r="N126" s="393"/>
      <c r="O126" s="30"/>
      <c r="P126" s="338"/>
      <c r="Q126" s="338"/>
      <c r="R126" s="371"/>
      <c r="S126" s="371"/>
      <c r="T126" s="371"/>
      <c r="U126" s="371"/>
      <c r="V126" s="371"/>
      <c r="W126" s="371"/>
      <c r="X126" s="353"/>
      <c r="Y126" s="338"/>
      <c r="Z126" s="338"/>
    </row>
    <row r="127" spans="1:26" x14ac:dyDescent="0.25">
      <c r="A127" s="255"/>
      <c r="B127" s="360"/>
      <c r="C127" s="360"/>
      <c r="D127" s="360"/>
      <c r="E127" s="360"/>
      <c r="F127" s="360"/>
      <c r="G127" s="360"/>
      <c r="H127" s="360"/>
      <c r="I127" s="360"/>
      <c r="J127" s="393"/>
      <c r="K127" s="360"/>
      <c r="L127" s="393"/>
      <c r="M127" s="399"/>
      <c r="N127" s="393"/>
      <c r="O127" s="30"/>
      <c r="P127" s="338"/>
      <c r="Q127" s="338"/>
      <c r="R127" s="371"/>
      <c r="S127" s="371"/>
      <c r="T127" s="371"/>
      <c r="U127" s="371"/>
      <c r="V127" s="371"/>
      <c r="W127" s="371"/>
      <c r="X127" s="338"/>
      <c r="Y127" s="338"/>
      <c r="Z127" s="338"/>
    </row>
    <row r="128" spans="1:26" x14ac:dyDescent="0.25">
      <c r="A128" s="255"/>
      <c r="B128" s="360"/>
      <c r="C128" s="360"/>
      <c r="D128" s="360"/>
      <c r="E128" s="360"/>
      <c r="F128" s="360"/>
      <c r="G128" s="360"/>
      <c r="H128" s="360"/>
      <c r="I128" s="360"/>
      <c r="J128" s="393"/>
      <c r="K128" s="360"/>
      <c r="L128" s="393"/>
      <c r="M128" s="399"/>
      <c r="N128" s="393"/>
      <c r="O128" s="30"/>
      <c r="P128" s="338"/>
      <c r="Q128" s="338"/>
      <c r="R128" s="371"/>
      <c r="S128" s="371"/>
      <c r="T128" s="371"/>
      <c r="U128" s="371"/>
      <c r="V128" s="371"/>
      <c r="W128" s="371"/>
      <c r="X128" s="338"/>
      <c r="Y128" s="338"/>
      <c r="Z128" s="338"/>
    </row>
    <row r="129" spans="1:26" x14ac:dyDescent="0.25">
      <c r="A129" s="255"/>
      <c r="B129" s="360"/>
      <c r="C129" s="360"/>
      <c r="D129" s="360"/>
      <c r="E129" s="360"/>
      <c r="F129" s="360"/>
      <c r="G129" s="360"/>
      <c r="H129" s="360"/>
      <c r="I129" s="360"/>
      <c r="J129" s="393"/>
      <c r="K129" s="360"/>
      <c r="L129" s="393"/>
      <c r="M129" s="399"/>
      <c r="N129" s="393"/>
      <c r="O129" s="30"/>
      <c r="P129" s="338"/>
      <c r="Q129" s="338"/>
      <c r="R129" s="371"/>
      <c r="S129" s="371"/>
      <c r="T129" s="371"/>
      <c r="U129" s="371"/>
      <c r="V129" s="371"/>
      <c r="W129" s="371"/>
      <c r="X129" s="353"/>
      <c r="Y129" s="338"/>
      <c r="Z129" s="338"/>
    </row>
    <row r="130" spans="1:26" x14ac:dyDescent="0.25">
      <c r="A130" s="255"/>
      <c r="B130" s="360"/>
      <c r="C130" s="360"/>
      <c r="D130" s="360"/>
      <c r="E130" s="360"/>
      <c r="F130" s="360"/>
      <c r="G130" s="360"/>
      <c r="H130" s="360"/>
      <c r="I130" s="360"/>
      <c r="J130" s="393"/>
      <c r="K130" s="360"/>
      <c r="L130" s="393"/>
      <c r="M130" s="399"/>
      <c r="N130" s="393"/>
      <c r="O130" s="393"/>
      <c r="P130" s="338"/>
      <c r="Q130" s="338"/>
      <c r="R130" s="338"/>
      <c r="S130" s="338"/>
      <c r="T130" s="338"/>
      <c r="U130" s="338"/>
      <c r="V130" s="338"/>
      <c r="W130" s="338"/>
      <c r="X130" s="353"/>
      <c r="Y130" s="338"/>
      <c r="Z130" s="338"/>
    </row>
    <row r="131" spans="1:26" x14ac:dyDescent="0.25">
      <c r="A131" s="255"/>
      <c r="B131" s="360"/>
      <c r="C131" s="360"/>
      <c r="D131" s="360"/>
      <c r="E131" s="360"/>
      <c r="F131" s="360"/>
      <c r="G131" s="360"/>
      <c r="H131" s="360"/>
      <c r="I131" s="360"/>
      <c r="J131" s="393"/>
      <c r="K131" s="360"/>
      <c r="L131" s="393"/>
      <c r="M131" s="399"/>
      <c r="N131" s="393"/>
      <c r="O131" s="393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 spans="1:26" x14ac:dyDescent="0.25">
      <c r="A132" s="255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0"/>
      <c r="P132" s="338"/>
      <c r="Q132" s="338"/>
      <c r="X132" s="338"/>
      <c r="Y132" s="338"/>
      <c r="Z132" s="338"/>
    </row>
    <row r="133" spans="1:26" x14ac:dyDescent="0.25">
      <c r="A133" s="255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38"/>
      <c r="Q133" s="338"/>
      <c r="X133" s="338"/>
      <c r="Y133" s="338"/>
      <c r="Z133" s="338"/>
    </row>
    <row r="134" spans="1:26" x14ac:dyDescent="0.25">
      <c r="A134" s="255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401"/>
      <c r="O134" s="360"/>
      <c r="P134" s="338"/>
      <c r="Q134" s="338"/>
      <c r="X134" s="338"/>
      <c r="Y134" s="338"/>
      <c r="Z134" s="338"/>
    </row>
    <row r="135" spans="1:26" x14ac:dyDescent="0.25">
      <c r="A135" s="255"/>
      <c r="B135" s="360"/>
      <c r="C135" s="360"/>
      <c r="D135" s="360"/>
      <c r="E135" s="402"/>
      <c r="F135" s="360"/>
      <c r="G135" s="360"/>
      <c r="H135" s="264"/>
      <c r="I135" s="360"/>
      <c r="J135" s="360"/>
      <c r="K135" s="360"/>
      <c r="L135" s="360"/>
      <c r="M135" s="360"/>
      <c r="N135" s="388"/>
      <c r="O135" s="360"/>
      <c r="P135" s="338"/>
      <c r="Q135" s="338"/>
      <c r="X135" s="338"/>
      <c r="Y135" s="338"/>
      <c r="Z135" s="338"/>
    </row>
    <row r="136" spans="1:26" x14ac:dyDescent="0.25">
      <c r="A136" s="255"/>
      <c r="B136" s="360"/>
      <c r="C136" s="360"/>
      <c r="D136" s="360"/>
      <c r="E136" s="402"/>
      <c r="F136" s="360"/>
      <c r="G136" s="360"/>
      <c r="H136" s="264"/>
      <c r="I136" s="360"/>
      <c r="J136" s="360"/>
      <c r="K136" s="360"/>
      <c r="L136" s="402"/>
      <c r="M136" s="360"/>
      <c r="N136" s="360"/>
      <c r="O136" s="360"/>
      <c r="P136" s="338"/>
      <c r="Q136" s="338"/>
      <c r="X136" s="338"/>
      <c r="Y136" s="338"/>
      <c r="Z136" s="338"/>
    </row>
    <row r="137" spans="1:26" x14ac:dyDescent="0.25">
      <c r="A137" s="255"/>
      <c r="B137" s="360"/>
      <c r="C137" s="360"/>
      <c r="D137" s="360"/>
      <c r="E137" s="394"/>
      <c r="F137" s="360"/>
      <c r="G137" s="360"/>
      <c r="H137" s="264"/>
      <c r="I137" s="360"/>
      <c r="J137" s="360"/>
      <c r="K137" s="360"/>
      <c r="L137" s="394"/>
      <c r="M137" s="360"/>
      <c r="N137" s="393"/>
      <c r="O137" s="360"/>
      <c r="P137" s="338"/>
      <c r="Q137" s="338"/>
      <c r="X137" s="338"/>
      <c r="Y137" s="338"/>
      <c r="Z137" s="338"/>
    </row>
    <row r="138" spans="1:26" x14ac:dyDescent="0.25">
      <c r="A138" s="255"/>
      <c r="B138" s="360"/>
      <c r="C138" s="360"/>
      <c r="D138" s="360"/>
      <c r="E138" s="394"/>
      <c r="F138" s="360"/>
      <c r="G138" s="360"/>
      <c r="H138" s="360"/>
      <c r="I138" s="394"/>
      <c r="J138" s="394"/>
      <c r="K138" s="360"/>
      <c r="L138" s="393"/>
      <c r="M138" s="394"/>
      <c r="N138" s="360"/>
      <c r="O138" s="360"/>
      <c r="P138" s="338"/>
      <c r="Q138" s="338"/>
    </row>
    <row r="139" spans="1:26" x14ac:dyDescent="0.25">
      <c r="A139" s="255"/>
      <c r="B139" s="360"/>
      <c r="C139" s="264"/>
      <c r="D139" s="360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403"/>
      <c r="P139" s="338"/>
      <c r="Q139" s="338"/>
    </row>
    <row r="140" spans="1:26" x14ac:dyDescent="0.25">
      <c r="A140" s="255"/>
      <c r="B140" s="360"/>
      <c r="C140" s="360"/>
      <c r="D140" s="360"/>
      <c r="E140" s="360"/>
      <c r="F140" s="360"/>
      <c r="G140" s="360"/>
      <c r="H140" s="360"/>
      <c r="I140" s="360"/>
      <c r="J140" s="393"/>
      <c r="K140" s="360"/>
      <c r="L140" s="360"/>
      <c r="M140" s="360"/>
      <c r="N140" s="360"/>
      <c r="O140" s="360"/>
      <c r="P140" s="338"/>
      <c r="Q140" s="338"/>
    </row>
    <row r="141" spans="1:26" x14ac:dyDescent="0.25">
      <c r="A141" s="255"/>
      <c r="B141" s="360"/>
      <c r="C141" s="264"/>
      <c r="D141" s="360"/>
      <c r="E141" s="264"/>
      <c r="F141" s="264"/>
      <c r="G141" s="404"/>
      <c r="H141" s="351"/>
      <c r="I141" s="264"/>
      <c r="J141" s="404"/>
      <c r="K141" s="264"/>
      <c r="L141" s="264"/>
      <c r="M141" s="360"/>
      <c r="N141" s="264"/>
      <c r="O141" s="264"/>
      <c r="P141" s="338"/>
      <c r="Q141" s="338"/>
    </row>
    <row r="142" spans="1:26" x14ac:dyDescent="0.25">
      <c r="A142" s="255"/>
      <c r="B142" s="360"/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360"/>
      <c r="N142" s="264"/>
      <c r="O142" s="264"/>
      <c r="P142" s="338"/>
      <c r="Q142" s="338"/>
    </row>
    <row r="143" spans="1:26" x14ac:dyDescent="0.25">
      <c r="A143" s="255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38"/>
      <c r="Q143" s="338"/>
    </row>
    <row r="144" spans="1:26" x14ac:dyDescent="0.25">
      <c r="A144" s="255"/>
      <c r="C144" s="255"/>
      <c r="D144" s="255"/>
      <c r="E144" s="255"/>
      <c r="F144" s="255"/>
      <c r="G144" s="255"/>
      <c r="H144" s="255"/>
      <c r="I144" s="405"/>
      <c r="J144" s="405"/>
      <c r="K144" s="255"/>
      <c r="L144" s="255"/>
      <c r="M144" s="255"/>
      <c r="N144" s="255"/>
      <c r="O144" s="255"/>
    </row>
    <row r="145" spans="1:15" x14ac:dyDescent="0.25">
      <c r="A145" s="255"/>
      <c r="C145" s="255"/>
      <c r="D145" s="255"/>
      <c r="E145" s="34"/>
      <c r="F145" s="255"/>
      <c r="G145" s="374"/>
      <c r="H145" s="255"/>
      <c r="I145" s="255"/>
      <c r="J145" s="383"/>
      <c r="K145" s="406"/>
      <c r="L145" s="255"/>
      <c r="M145" s="255"/>
      <c r="N145" s="237"/>
      <c r="O145" s="256"/>
    </row>
    <row r="146" spans="1:15" x14ac:dyDescent="0.25">
      <c r="C146" s="255"/>
      <c r="D146" s="255"/>
      <c r="E146" s="34"/>
      <c r="F146" s="255"/>
      <c r="G146" s="374"/>
      <c r="H146" s="255"/>
      <c r="I146" s="255"/>
      <c r="J146" s="357"/>
      <c r="K146" s="407"/>
      <c r="L146" s="255"/>
      <c r="M146" s="255"/>
      <c r="N146" s="237"/>
      <c r="O146" s="256"/>
    </row>
    <row r="147" spans="1:15" x14ac:dyDescent="0.25">
      <c r="C147" s="255"/>
      <c r="D147" s="255"/>
      <c r="E147" s="34"/>
      <c r="F147" s="255"/>
      <c r="G147" s="374"/>
      <c r="H147" s="255"/>
      <c r="I147" s="255"/>
      <c r="J147" s="357"/>
      <c r="K147" s="407"/>
      <c r="L147" s="255"/>
      <c r="M147" s="255"/>
      <c r="N147" s="237"/>
      <c r="O147" s="256"/>
    </row>
    <row r="148" spans="1:15" x14ac:dyDescent="0.25">
      <c r="C148" s="255"/>
      <c r="D148" s="255"/>
      <c r="E148" s="34"/>
      <c r="F148" s="255"/>
      <c r="G148" s="374"/>
      <c r="H148" s="255"/>
      <c r="I148" s="255"/>
      <c r="J148" s="357"/>
      <c r="K148" s="407"/>
      <c r="L148" s="255"/>
      <c r="M148" s="255"/>
      <c r="N148" s="237"/>
      <c r="O148" s="256"/>
    </row>
    <row r="149" spans="1:15" x14ac:dyDescent="0.25">
      <c r="C149" s="255"/>
      <c r="D149" s="255"/>
      <c r="E149" s="34"/>
      <c r="F149" s="255"/>
      <c r="G149" s="374"/>
      <c r="H149" s="255"/>
      <c r="I149" s="255"/>
      <c r="J149" s="357"/>
      <c r="K149" s="407"/>
      <c r="L149" s="255"/>
      <c r="M149" s="255"/>
      <c r="N149" s="237"/>
      <c r="O149" s="256"/>
    </row>
    <row r="150" spans="1:15" x14ac:dyDescent="0.25">
      <c r="C150" s="255"/>
      <c r="D150" s="255"/>
      <c r="E150" s="34"/>
      <c r="F150" s="255"/>
      <c r="G150" s="374"/>
      <c r="H150" s="255"/>
      <c r="I150" s="255"/>
      <c r="J150" s="357"/>
      <c r="K150" s="407"/>
      <c r="L150" s="255"/>
      <c r="M150" s="255"/>
      <c r="N150" s="237"/>
      <c r="O150" s="256"/>
    </row>
    <row r="151" spans="1:15" x14ac:dyDescent="0.25">
      <c r="C151" s="255"/>
      <c r="D151" s="255"/>
      <c r="E151" s="34"/>
      <c r="F151" s="255"/>
      <c r="G151" s="374"/>
      <c r="H151" s="255"/>
      <c r="I151" s="255"/>
      <c r="J151" s="357"/>
      <c r="K151" s="407"/>
      <c r="L151" s="255"/>
      <c r="M151" s="255"/>
      <c r="N151" s="237"/>
      <c r="O151" s="256"/>
    </row>
    <row r="152" spans="1:15" x14ac:dyDescent="0.25">
      <c r="C152" s="255"/>
      <c r="D152" s="255"/>
      <c r="E152" s="34"/>
      <c r="F152" s="255"/>
      <c r="G152" s="374"/>
      <c r="H152" s="255"/>
      <c r="I152" s="255"/>
      <c r="J152" s="357"/>
      <c r="K152" s="407"/>
      <c r="L152" s="255"/>
      <c r="M152" s="255"/>
      <c r="N152" s="237"/>
      <c r="O152" s="256"/>
    </row>
    <row r="153" spans="1:15" x14ac:dyDescent="0.25">
      <c r="C153" s="255"/>
      <c r="D153" s="255"/>
      <c r="E153" s="34"/>
      <c r="F153" s="255"/>
      <c r="G153" s="374"/>
      <c r="H153" s="255"/>
      <c r="I153" s="255"/>
      <c r="J153" s="357"/>
      <c r="K153" s="407"/>
      <c r="L153" s="255"/>
      <c r="M153" s="255"/>
      <c r="N153" s="237"/>
      <c r="O153" s="256"/>
    </row>
    <row r="154" spans="1:15" x14ac:dyDescent="0.25">
      <c r="C154" s="255"/>
      <c r="D154" s="255"/>
      <c r="E154" s="34"/>
      <c r="F154" s="255"/>
      <c r="G154" s="374"/>
      <c r="H154" s="255"/>
      <c r="I154" s="255"/>
      <c r="J154" s="357"/>
      <c r="K154" s="407"/>
      <c r="L154" s="255"/>
      <c r="M154" s="255"/>
      <c r="N154" s="237"/>
      <c r="O154" s="256"/>
    </row>
    <row r="155" spans="1:15" x14ac:dyDescent="0.25">
      <c r="C155" s="255"/>
      <c r="D155" s="255"/>
      <c r="E155" s="34"/>
      <c r="F155" s="255"/>
      <c r="G155" s="374"/>
      <c r="H155" s="255"/>
      <c r="I155" s="255"/>
      <c r="J155" s="357"/>
      <c r="K155" s="407"/>
      <c r="L155" s="255"/>
      <c r="M155" s="255"/>
      <c r="N155" s="237"/>
      <c r="O155" s="256"/>
    </row>
    <row r="156" spans="1:15" x14ac:dyDescent="0.25">
      <c r="C156" s="255"/>
      <c r="D156" s="255"/>
      <c r="E156" s="408"/>
      <c r="F156" s="255"/>
      <c r="G156" s="408"/>
      <c r="H156" s="408"/>
      <c r="I156" s="255"/>
      <c r="J156" s="357"/>
      <c r="K156" s="407"/>
      <c r="L156" s="255"/>
      <c r="M156" s="255"/>
      <c r="N156" s="237"/>
      <c r="O156" s="256"/>
    </row>
    <row r="157" spans="1:15" x14ac:dyDescent="0.25">
      <c r="C157" s="255"/>
      <c r="D157" s="255"/>
      <c r="E157" s="34"/>
      <c r="F157" s="255"/>
      <c r="G157" s="374"/>
      <c r="H157" s="409"/>
      <c r="I157" s="255"/>
      <c r="J157" s="357"/>
      <c r="K157" s="409"/>
      <c r="L157" s="255"/>
      <c r="M157" s="255"/>
      <c r="N157" s="237"/>
      <c r="O157" s="256"/>
    </row>
    <row r="158" spans="1:15" x14ac:dyDescent="0.25">
      <c r="C158" s="255"/>
      <c r="D158" s="255"/>
      <c r="E158" s="34"/>
      <c r="F158" s="255"/>
      <c r="G158" s="374"/>
      <c r="H158" s="409"/>
      <c r="I158" s="255"/>
      <c r="J158" s="357"/>
      <c r="K158" s="409"/>
      <c r="L158" s="255"/>
      <c r="M158" s="255"/>
      <c r="N158" s="237"/>
      <c r="O158" s="256"/>
    </row>
    <row r="159" spans="1:15" x14ac:dyDescent="0.25">
      <c r="C159" s="255"/>
      <c r="D159" s="255"/>
      <c r="E159" s="34"/>
      <c r="F159" s="255"/>
      <c r="G159" s="374"/>
      <c r="H159" s="409"/>
      <c r="I159" s="255"/>
      <c r="J159" s="357"/>
      <c r="K159" s="409"/>
      <c r="L159" s="255"/>
      <c r="M159" s="255"/>
      <c r="N159" s="237"/>
      <c r="O159" s="256"/>
    </row>
    <row r="160" spans="1:15" x14ac:dyDescent="0.25">
      <c r="C160" s="255"/>
      <c r="D160" s="255"/>
      <c r="E160" s="34"/>
      <c r="F160" s="255"/>
      <c r="G160" s="255"/>
      <c r="H160" s="255"/>
      <c r="I160" s="255"/>
      <c r="J160" s="357"/>
      <c r="K160" s="407"/>
      <c r="L160" s="255"/>
      <c r="M160" s="255"/>
      <c r="N160" s="237"/>
      <c r="O160" s="256"/>
    </row>
    <row r="161" spans="3:15" x14ac:dyDescent="0.25">
      <c r="C161" s="255"/>
      <c r="D161" s="255"/>
      <c r="E161" s="34"/>
      <c r="F161" s="255"/>
      <c r="G161" s="255"/>
      <c r="H161" s="255"/>
      <c r="I161" s="255"/>
      <c r="J161" s="357"/>
      <c r="K161" s="407"/>
      <c r="L161" s="255"/>
      <c r="M161" s="255"/>
      <c r="N161" s="237"/>
      <c r="O161" s="256"/>
    </row>
    <row r="162" spans="3:15" x14ac:dyDescent="0.25">
      <c r="C162" s="255"/>
      <c r="D162" s="255"/>
      <c r="E162" s="34"/>
      <c r="F162" s="255"/>
      <c r="G162" s="255"/>
      <c r="H162" s="255"/>
      <c r="I162" s="255"/>
      <c r="J162" s="357"/>
      <c r="K162" s="409"/>
      <c r="L162" s="255"/>
      <c r="M162" s="255"/>
      <c r="N162" s="237"/>
      <c r="O162" s="256"/>
    </row>
    <row r="163" spans="3:15" x14ac:dyDescent="0.25"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405"/>
      <c r="O163" s="256"/>
    </row>
    <row r="164" spans="3:15" x14ac:dyDescent="0.25">
      <c r="O164" s="284"/>
    </row>
    <row r="165" spans="3:15" x14ac:dyDescent="0.25">
      <c r="O165" s="284"/>
    </row>
    <row r="166" spans="3:15" x14ac:dyDescent="0.25">
      <c r="O166" s="284"/>
    </row>
    <row r="167" spans="3:15" x14ac:dyDescent="0.25">
      <c r="O167" s="284"/>
    </row>
    <row r="168" spans="3:15" x14ac:dyDescent="0.25">
      <c r="O168" s="284"/>
    </row>
    <row r="169" spans="3:15" x14ac:dyDescent="0.25">
      <c r="O169" s="284"/>
    </row>
    <row r="170" spans="3:15" x14ac:dyDescent="0.25">
      <c r="O170" s="284"/>
    </row>
    <row r="171" spans="3:15" x14ac:dyDescent="0.25">
      <c r="O171" s="284"/>
    </row>
    <row r="172" spans="3:15" x14ac:dyDescent="0.25">
      <c r="O172" s="284"/>
    </row>
    <row r="173" spans="3:15" x14ac:dyDescent="0.25">
      <c r="O173" s="284"/>
    </row>
    <row r="174" spans="3:15" x14ac:dyDescent="0.25">
      <c r="O174" s="284"/>
    </row>
    <row r="175" spans="3:15" x14ac:dyDescent="0.25">
      <c r="O175" s="284"/>
    </row>
    <row r="176" spans="3:15" x14ac:dyDescent="0.25">
      <c r="O176" s="284"/>
    </row>
    <row r="177" spans="15:15" x14ac:dyDescent="0.25">
      <c r="O177" s="284"/>
    </row>
    <row r="178" spans="15:15" x14ac:dyDescent="0.25">
      <c r="O178" s="284"/>
    </row>
    <row r="179" spans="15:15" x14ac:dyDescent="0.25">
      <c r="O179" s="284"/>
    </row>
    <row r="180" spans="15:15" x14ac:dyDescent="0.25">
      <c r="O180" s="284"/>
    </row>
    <row r="181" spans="15:15" x14ac:dyDescent="0.25">
      <c r="O181" s="284"/>
    </row>
    <row r="182" spans="15:15" x14ac:dyDescent="0.25">
      <c r="O182" s="284"/>
    </row>
    <row r="183" spans="15:15" x14ac:dyDescent="0.25">
      <c r="O183" s="284"/>
    </row>
    <row r="184" spans="15:15" x14ac:dyDescent="0.25">
      <c r="O184" s="284"/>
    </row>
    <row r="185" spans="15:15" x14ac:dyDescent="0.25">
      <c r="O185" s="284"/>
    </row>
    <row r="186" spans="15:15" x14ac:dyDescent="0.25">
      <c r="O186" s="284"/>
    </row>
    <row r="187" spans="15:15" x14ac:dyDescent="0.25">
      <c r="O187" s="284"/>
    </row>
  </sheetData>
  <phoneticPr fontId="15" type="noConversion"/>
  <pageMargins left="0.39" right="0" top="0.45" bottom="0.3" header="0.25" footer="0.25"/>
  <pageSetup scale="45" fitToHeight="2" orientation="landscape" horizontalDpi="300" verticalDpi="300" r:id="rId1"/>
  <headerFooter alignWithMargins="0">
    <oddFooter>&amp;A&amp;RPage &amp;P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9">
    <tabColor rgb="FF00FF00"/>
  </sheetPr>
  <dimension ref="A1:CK4259"/>
  <sheetViews>
    <sheetView showGridLines="0" view="pageBreakPreview" zoomScale="115" zoomScaleNormal="100" zoomScaleSheetLayoutView="115" workbookViewId="0">
      <pane xSplit="3" ySplit="9" topLeftCell="D10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1" bestFit="1" customWidth="1"/>
    <col min="2" max="2" width="29.5703125" style="1" customWidth="1"/>
    <col min="3" max="3" width="8.5703125" style="2" customWidth="1"/>
    <col min="4" max="20" width="10.5703125" style="2" customWidth="1"/>
    <col min="21" max="50" width="10.5703125" style="17" customWidth="1"/>
    <col min="51" max="64" width="10.5703125" style="2" customWidth="1"/>
    <col min="65" max="65" width="10.140625" style="2" bestFit="1" customWidth="1"/>
    <col min="66" max="90" width="10.5703125" style="2" customWidth="1"/>
    <col min="91" max="16384" width="12.5703125" style="2"/>
  </cols>
  <sheetData>
    <row r="1" spans="1:87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C2" s="1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/>
      <c r="BH2" s="537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s="1" customFormat="1" x14ac:dyDescent="0.2">
      <c r="A3" s="7"/>
      <c r="C3" s="146"/>
      <c r="D3" s="18"/>
      <c r="E3" s="18"/>
      <c r="F3" s="18"/>
      <c r="G3" s="18"/>
      <c r="H3" s="18"/>
      <c r="I3" s="18"/>
      <c r="J3" s="4" t="s">
        <v>93</v>
      </c>
      <c r="K3" s="18"/>
      <c r="L3" s="18"/>
      <c r="M3" s="18"/>
      <c r="N3" s="18"/>
      <c r="O3" s="18"/>
      <c r="P3" s="71"/>
      <c r="Q3" s="71"/>
      <c r="R3" s="19"/>
      <c r="S3" s="72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</row>
    <row r="4" spans="1:87" s="1" customFormat="1" x14ac:dyDescent="0.2">
      <c r="A4" s="7"/>
      <c r="B4" s="203"/>
      <c r="C4" s="19"/>
      <c r="D4" s="18"/>
      <c r="E4" s="18"/>
      <c r="F4" s="18"/>
      <c r="G4" s="18"/>
      <c r="H4" s="18"/>
      <c r="I4" s="18"/>
      <c r="J4" s="4" t="s">
        <v>236</v>
      </c>
      <c r="K4" s="18"/>
      <c r="L4" s="18"/>
      <c r="M4" s="18"/>
      <c r="N4" s="18"/>
      <c r="O4" s="18"/>
      <c r="P4" s="18"/>
      <c r="Q4" s="18"/>
      <c r="R4" s="19"/>
      <c r="S4" s="18"/>
      <c r="U4" s="16"/>
      <c r="V4" s="16"/>
      <c r="W4" s="16"/>
      <c r="X4" s="1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85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</row>
    <row r="5" spans="1:87" s="1" customFormat="1" x14ac:dyDescent="0.2">
      <c r="A5" s="7"/>
      <c r="B5" s="18"/>
      <c r="C5" s="73"/>
      <c r="D5" s="18"/>
      <c r="E5" s="18"/>
      <c r="F5" s="18"/>
      <c r="G5" s="18"/>
      <c r="H5" s="18"/>
      <c r="I5" s="18"/>
      <c r="J5" s="4" t="str">
        <f>'Test Year Revenue Present'!G6</f>
        <v>TEST YEAR ENDING MAY, 31 2017</v>
      </c>
      <c r="K5" s="18"/>
      <c r="L5" s="18"/>
      <c r="M5" s="7"/>
      <c r="N5" s="18"/>
      <c r="O5" s="18"/>
      <c r="P5" s="18"/>
      <c r="Q5" s="18"/>
      <c r="R5" s="73"/>
      <c r="S5" s="18"/>
      <c r="U5" s="16"/>
      <c r="V5" s="16"/>
      <c r="W5" s="16"/>
      <c r="X5" s="16"/>
      <c r="Y5" s="22"/>
      <c r="Z5" s="16"/>
      <c r="AA5" s="22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</row>
    <row r="6" spans="1:87" s="1" customFormat="1" x14ac:dyDescent="0.2"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</row>
    <row r="7" spans="1:87" s="1" customFormat="1" x14ac:dyDescent="0.2">
      <c r="A7" s="7" t="s">
        <v>12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4"/>
      <c r="S7" s="4"/>
      <c r="T7" s="15"/>
      <c r="U7" s="15"/>
      <c r="V7" s="16"/>
      <c r="W7" s="15"/>
      <c r="X7" s="15"/>
      <c r="Y7" s="15"/>
      <c r="Z7" s="15"/>
      <c r="AA7" s="15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</row>
    <row r="8" spans="1:87" s="1" customFormat="1" x14ac:dyDescent="0.2">
      <c r="A8" s="8" t="s">
        <v>17</v>
      </c>
      <c r="B8" s="9" t="s">
        <v>27</v>
      </c>
      <c r="C8" s="10" t="s">
        <v>6</v>
      </c>
      <c r="D8" s="217">
        <f>WNA!C10</f>
        <v>41912</v>
      </c>
      <c r="E8" s="218">
        <f>WNA!D10</f>
        <v>41943</v>
      </c>
      <c r="F8" s="218">
        <f>WNA!E10</f>
        <v>41973</v>
      </c>
      <c r="G8" s="218">
        <f>WNA!F10</f>
        <v>42004</v>
      </c>
      <c r="H8" s="218">
        <f>WNA!G10</f>
        <v>42035</v>
      </c>
      <c r="I8" s="218">
        <f>WNA!H10</f>
        <v>42063</v>
      </c>
      <c r="J8" s="218">
        <f>WNA!I10</f>
        <v>42094</v>
      </c>
      <c r="K8" s="218">
        <f>WNA!J10</f>
        <v>42124</v>
      </c>
      <c r="L8" s="218">
        <f>WNA!K10</f>
        <v>42155</v>
      </c>
      <c r="M8" s="218">
        <f>WNA!L10</f>
        <v>42185</v>
      </c>
      <c r="N8" s="218">
        <f>WNA!M10</f>
        <v>42216</v>
      </c>
      <c r="O8" s="219">
        <f>WNA!N10</f>
        <v>42247</v>
      </c>
      <c r="P8" s="65">
        <f>WNA!O10</f>
        <v>42277</v>
      </c>
      <c r="Q8" s="65">
        <f>WNA!P10</f>
        <v>42308</v>
      </c>
      <c r="R8" s="65">
        <f>WNA!Q10</f>
        <v>42338</v>
      </c>
      <c r="S8" s="65">
        <f>WNA!R10</f>
        <v>42369</v>
      </c>
      <c r="T8" s="65">
        <f>WNA!S10</f>
        <v>42400</v>
      </c>
      <c r="U8" s="65">
        <f>WNA!T10</f>
        <v>42429</v>
      </c>
      <c r="V8" s="65">
        <f>WNA!U10</f>
        <v>42460</v>
      </c>
      <c r="W8" s="65">
        <f>WNA!V10</f>
        <v>42490</v>
      </c>
      <c r="X8" s="65">
        <f>WNA!W10</f>
        <v>42521</v>
      </c>
      <c r="Y8" s="217">
        <f>WNA!X10</f>
        <v>42551</v>
      </c>
      <c r="Z8" s="218">
        <f>WNA!Y10</f>
        <v>42582</v>
      </c>
      <c r="AA8" s="218">
        <f>WNA!Z10</f>
        <v>42613</v>
      </c>
      <c r="AB8" s="218">
        <f>WNA!AA10</f>
        <v>42643</v>
      </c>
      <c r="AC8" s="218">
        <f>WNA!AB10</f>
        <v>42674</v>
      </c>
      <c r="AD8" s="218">
        <f>WNA!AC10</f>
        <v>42704</v>
      </c>
      <c r="AE8" s="218">
        <f>WNA!AD10</f>
        <v>42735</v>
      </c>
      <c r="AF8" s="218">
        <f>WNA!AE10</f>
        <v>42766</v>
      </c>
      <c r="AG8" s="218">
        <f>WNA!AF10</f>
        <v>42794</v>
      </c>
      <c r="AH8" s="218">
        <f>WNA!AG10</f>
        <v>42825</v>
      </c>
      <c r="AI8" s="218">
        <f>WNA!AH10</f>
        <v>42855</v>
      </c>
      <c r="AJ8" s="219">
        <f>WNA!AI10</f>
        <v>42886</v>
      </c>
      <c r="AK8" s="65">
        <f>WNA!AJ10</f>
        <v>42916</v>
      </c>
      <c r="AL8" s="65">
        <f>WNA!AK10</f>
        <v>42947</v>
      </c>
      <c r="AM8" s="65">
        <f>WNA!AL10</f>
        <v>42978</v>
      </c>
      <c r="AN8" s="65">
        <f>WNA!AM10</f>
        <v>43008</v>
      </c>
      <c r="AO8" s="65">
        <f>WNA!AN10</f>
        <v>43039</v>
      </c>
      <c r="AP8" s="65">
        <f>WNA!AO10</f>
        <v>43069</v>
      </c>
      <c r="AQ8" s="65">
        <f>WNA!AP10</f>
        <v>43100</v>
      </c>
      <c r="AR8" s="65">
        <f>WNA!AQ10</f>
        <v>43131</v>
      </c>
      <c r="AS8" s="65">
        <f>WNA!AR10</f>
        <v>43159</v>
      </c>
      <c r="AT8" s="65">
        <f>WNA!AS10</f>
        <v>43190</v>
      </c>
      <c r="AU8" s="65">
        <f>WNA!AT10</f>
        <v>43220</v>
      </c>
      <c r="AV8" s="65">
        <f>WNA!AU10</f>
        <v>43251</v>
      </c>
      <c r="AW8" s="65">
        <f>WNA!AV10</f>
        <v>43281</v>
      </c>
      <c r="AX8" s="65">
        <f>WNA!AW10</f>
        <v>43312</v>
      </c>
      <c r="AY8" s="65">
        <f>WNA!AX10</f>
        <v>43343</v>
      </c>
      <c r="AZ8" s="65">
        <f>WNA!AY10</f>
        <v>43373</v>
      </c>
      <c r="BA8" s="65">
        <f>WNA!AZ10</f>
        <v>43404</v>
      </c>
      <c r="BB8" s="65">
        <f>WNA!BA10</f>
        <v>43434</v>
      </c>
      <c r="BC8" s="65">
        <f>WNA!BB10</f>
        <v>43465</v>
      </c>
      <c r="BD8" s="65">
        <f>WNA!BC10</f>
        <v>43496</v>
      </c>
      <c r="BE8" s="65">
        <f>WNA!BD10</f>
        <v>43524</v>
      </c>
      <c r="BF8" s="65">
        <f>WNA!BE10</f>
        <v>43555</v>
      </c>
      <c r="BG8" s="65">
        <f>WNA!BF10</f>
        <v>43585</v>
      </c>
      <c r="BH8" s="65">
        <f>WNA!BG10</f>
        <v>43616</v>
      </c>
      <c r="BI8" s="65">
        <f>WNA!BH10</f>
        <v>43646</v>
      </c>
      <c r="BJ8" s="65">
        <f>WNA!BI10</f>
        <v>43677</v>
      </c>
      <c r="BK8" s="65">
        <f>WNA!BJ10</f>
        <v>43708</v>
      </c>
      <c r="BL8" s="65">
        <f>WNA!BK10</f>
        <v>43738</v>
      </c>
      <c r="BM8" s="65">
        <f>WNA!BL10</f>
        <v>43769</v>
      </c>
      <c r="BN8" s="65">
        <f>WNA!BM10</f>
        <v>43799</v>
      </c>
      <c r="BO8" s="65">
        <f>WNA!BN10</f>
        <v>43830</v>
      </c>
      <c r="BP8" s="65">
        <f>WNA!BO10</f>
        <v>43861</v>
      </c>
      <c r="BQ8" s="65">
        <f>WNA!BP10</f>
        <v>43890</v>
      </c>
      <c r="BR8" s="65">
        <f>WNA!BQ10</f>
        <v>43921</v>
      </c>
      <c r="BS8" s="65">
        <f>WNA!BR10</f>
        <v>43951</v>
      </c>
      <c r="BT8" s="65">
        <f>WNA!BS10</f>
        <v>43982</v>
      </c>
      <c r="BU8" s="65">
        <f>WNA!BT10</f>
        <v>44012</v>
      </c>
      <c r="BV8" s="65">
        <f>WNA!BU10</f>
        <v>44043</v>
      </c>
      <c r="BW8" s="65">
        <f>WNA!BV10</f>
        <v>44074</v>
      </c>
      <c r="BX8" s="65">
        <f>WNA!BW10</f>
        <v>44104</v>
      </c>
      <c r="BY8" s="65">
        <f>WNA!BX10</f>
        <v>44135</v>
      </c>
      <c r="BZ8" s="65">
        <f>WNA!BY10</f>
        <v>44165</v>
      </c>
      <c r="CA8" s="65">
        <f>WNA!BZ10</f>
        <v>44196</v>
      </c>
      <c r="CB8" s="65">
        <f>WNA!CA10</f>
        <v>44227</v>
      </c>
      <c r="CC8" s="65">
        <f>WNA!CB10</f>
        <v>44255</v>
      </c>
      <c r="CD8" s="65">
        <f>WNA!CC10</f>
        <v>44286</v>
      </c>
      <c r="CE8" s="65">
        <f>WNA!CD10</f>
        <v>44316</v>
      </c>
      <c r="CF8" s="65">
        <f>WNA!CE10</f>
        <v>44347</v>
      </c>
      <c r="CG8" s="65">
        <f>WNA!CF10</f>
        <v>44377</v>
      </c>
      <c r="CH8" s="65">
        <f>WNA!CG10</f>
        <v>44408</v>
      </c>
      <c r="CI8" s="65">
        <f>WNA!CH10</f>
        <v>44439</v>
      </c>
    </row>
    <row r="9" spans="1:87" s="1" customFormat="1" x14ac:dyDescent="0.2">
      <c r="B9" s="81" t="s">
        <v>13</v>
      </c>
      <c r="C9" s="81" t="s">
        <v>14</v>
      </c>
      <c r="D9" s="4" t="s">
        <v>15</v>
      </c>
      <c r="E9" s="94" t="s">
        <v>16</v>
      </c>
      <c r="F9" s="95" t="s">
        <v>108</v>
      </c>
      <c r="G9" s="95" t="s">
        <v>109</v>
      </c>
      <c r="H9" s="95" t="s">
        <v>110</v>
      </c>
      <c r="I9" s="95" t="s">
        <v>111</v>
      </c>
      <c r="J9" s="95" t="s">
        <v>112</v>
      </c>
      <c r="K9" s="95" t="s">
        <v>113</v>
      </c>
      <c r="L9" s="95" t="s">
        <v>114</v>
      </c>
      <c r="M9" s="95" t="s">
        <v>115</v>
      </c>
      <c r="N9" s="95" t="s">
        <v>116</v>
      </c>
      <c r="O9" s="95" t="s">
        <v>245</v>
      </c>
      <c r="P9" s="95" t="s">
        <v>246</v>
      </c>
      <c r="Q9" s="95" t="s">
        <v>247</v>
      </c>
      <c r="R9" s="95" t="s">
        <v>248</v>
      </c>
      <c r="S9" s="95" t="s">
        <v>249</v>
      </c>
      <c r="T9" s="95" t="s">
        <v>250</v>
      </c>
      <c r="U9" s="95" t="s">
        <v>251</v>
      </c>
      <c r="V9" s="95" t="s">
        <v>252</v>
      </c>
      <c r="W9" s="95" t="s">
        <v>253</v>
      </c>
      <c r="X9" s="95" t="s">
        <v>254</v>
      </c>
      <c r="Y9" s="95" t="s">
        <v>255</v>
      </c>
      <c r="Z9" s="95" t="s">
        <v>256</v>
      </c>
      <c r="AA9" s="95" t="s">
        <v>257</v>
      </c>
      <c r="AB9" s="95" t="s">
        <v>258</v>
      </c>
      <c r="AC9" s="95" t="s">
        <v>259</v>
      </c>
      <c r="AD9" s="95" t="s">
        <v>260</v>
      </c>
      <c r="AE9" s="95" t="s">
        <v>261</v>
      </c>
      <c r="AF9" s="95" t="s">
        <v>262</v>
      </c>
      <c r="AG9" s="95" t="s">
        <v>263</v>
      </c>
      <c r="AH9" s="95" t="s">
        <v>264</v>
      </c>
      <c r="AI9" s="95" t="s">
        <v>265</v>
      </c>
      <c r="AJ9" s="95" t="s">
        <v>266</v>
      </c>
      <c r="AK9" s="95" t="s">
        <v>267</v>
      </c>
      <c r="AL9" s="95" t="s">
        <v>268</v>
      </c>
      <c r="AM9" s="95" t="s">
        <v>269</v>
      </c>
      <c r="AN9" s="95" t="s">
        <v>270</v>
      </c>
      <c r="AO9" s="95" t="s">
        <v>271</v>
      </c>
      <c r="AP9" s="95" t="s">
        <v>272</v>
      </c>
      <c r="AQ9" s="95" t="s">
        <v>273</v>
      </c>
      <c r="AR9" s="95" t="s">
        <v>274</v>
      </c>
      <c r="AS9" s="95" t="s">
        <v>275</v>
      </c>
      <c r="AT9" s="95" t="s">
        <v>276</v>
      </c>
      <c r="AU9" s="95" t="s">
        <v>277</v>
      </c>
      <c r="AV9" s="95" t="s">
        <v>278</v>
      </c>
      <c r="AW9" s="95" t="s">
        <v>279</v>
      </c>
      <c r="AX9" s="95" t="s">
        <v>280</v>
      </c>
      <c r="AY9" s="95" t="s">
        <v>281</v>
      </c>
      <c r="AZ9" s="95" t="s">
        <v>282</v>
      </c>
      <c r="BA9" s="95" t="s">
        <v>283</v>
      </c>
      <c r="BB9" s="95" t="s">
        <v>284</v>
      </c>
      <c r="BC9" s="95" t="s">
        <v>285</v>
      </c>
      <c r="BD9" s="95" t="s">
        <v>286</v>
      </c>
      <c r="BE9" s="95" t="s">
        <v>287</v>
      </c>
      <c r="BF9" s="95" t="s">
        <v>288</v>
      </c>
      <c r="BG9" s="95" t="s">
        <v>289</v>
      </c>
      <c r="BH9" s="95" t="s">
        <v>290</v>
      </c>
      <c r="BI9" s="95" t="s">
        <v>291</v>
      </c>
      <c r="BJ9" s="95" t="s">
        <v>292</v>
      </c>
      <c r="BK9" s="95" t="s">
        <v>293</v>
      </c>
      <c r="BL9" s="95" t="s">
        <v>309</v>
      </c>
      <c r="BM9" s="95" t="s">
        <v>310</v>
      </c>
      <c r="BN9" s="95" t="s">
        <v>311</v>
      </c>
      <c r="BO9" s="95" t="s">
        <v>312</v>
      </c>
      <c r="BP9" s="95" t="s">
        <v>313</v>
      </c>
      <c r="BQ9" s="95" t="s">
        <v>314</v>
      </c>
      <c r="BR9" s="95" t="s">
        <v>315</v>
      </c>
      <c r="BS9" s="95" t="s">
        <v>316</v>
      </c>
      <c r="BT9" s="95" t="s">
        <v>317</v>
      </c>
      <c r="BU9" s="95" t="s">
        <v>318</v>
      </c>
      <c r="BV9" s="95" t="s">
        <v>319</v>
      </c>
      <c r="BW9" s="95" t="s">
        <v>320</v>
      </c>
      <c r="BX9" s="95" t="s">
        <v>340</v>
      </c>
      <c r="BY9" s="95" t="s">
        <v>341</v>
      </c>
      <c r="BZ9" s="95" t="s">
        <v>342</v>
      </c>
      <c r="CA9" s="95" t="s">
        <v>343</v>
      </c>
      <c r="CB9" s="95" t="s">
        <v>344</v>
      </c>
      <c r="CC9" s="95" t="s">
        <v>345</v>
      </c>
      <c r="CD9" s="95" t="s">
        <v>346</v>
      </c>
      <c r="CE9" s="95" t="s">
        <v>347</v>
      </c>
      <c r="CF9" s="95" t="s">
        <v>348</v>
      </c>
      <c r="CG9" s="95" t="s">
        <v>349</v>
      </c>
      <c r="CH9" s="95" t="s">
        <v>350</v>
      </c>
      <c r="CI9" s="95" t="s">
        <v>351</v>
      </c>
    </row>
    <row r="10" spans="1:87" x14ac:dyDescent="0.2">
      <c r="C10" s="1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</row>
    <row r="11" spans="1:87" x14ac:dyDescent="0.2">
      <c r="A11" s="1">
        <v>1</v>
      </c>
      <c r="B11" s="35" t="s">
        <v>30</v>
      </c>
      <c r="C11" s="15"/>
      <c r="D11" s="101">
        <f>D12*$C$12+D13*$C$13+D14*$C$14+D15*$C$15</f>
        <v>3040686.9754108</v>
      </c>
      <c r="E11" s="101">
        <f t="shared" ref="E11:BP11" si="0">E12*$C$12+E13*$C$13+E14*$C$14+E15*$C$15</f>
        <v>3288655.5020267996</v>
      </c>
      <c r="F11" s="101">
        <f t="shared" si="0"/>
        <v>4067748.7154371999</v>
      </c>
      <c r="G11" s="101">
        <f t="shared" si="0"/>
        <v>5070992.2331558</v>
      </c>
      <c r="H11" s="101">
        <f t="shared" si="0"/>
        <v>5442252.0347230006</v>
      </c>
      <c r="I11" s="101">
        <f t="shared" si="0"/>
        <v>5073086.8980129994</v>
      </c>
      <c r="J11" s="101">
        <f t="shared" si="0"/>
        <v>5407882.8759792</v>
      </c>
      <c r="K11" s="101">
        <f t="shared" si="0"/>
        <v>4140446.8088225997</v>
      </c>
      <c r="L11" s="101">
        <f t="shared" si="0"/>
        <v>3469508.4236647999</v>
      </c>
      <c r="M11" s="101">
        <f t="shared" si="0"/>
        <v>3200107.2497107997</v>
      </c>
      <c r="N11" s="101">
        <f t="shared" si="0"/>
        <v>3098880.7547701998</v>
      </c>
      <c r="O11" s="101">
        <f t="shared" si="0"/>
        <v>3049514.3852304001</v>
      </c>
      <c r="P11" s="101">
        <f t="shared" si="0"/>
        <v>3048741.1636534221</v>
      </c>
      <c r="Q11" s="101">
        <f t="shared" si="0"/>
        <v>3297280.2554321508</v>
      </c>
      <c r="R11" s="101">
        <f t="shared" si="0"/>
        <v>4078446.1839604089</v>
      </c>
      <c r="S11" s="101">
        <f t="shared" si="0"/>
        <v>5083857.0675526336</v>
      </c>
      <c r="T11" s="101">
        <f t="shared" si="0"/>
        <v>5456061.570405798</v>
      </c>
      <c r="U11" s="101">
        <f t="shared" si="0"/>
        <v>5087497.3325176444</v>
      </c>
      <c r="V11" s="101">
        <f t="shared" si="0"/>
        <v>5420240.7263832632</v>
      </c>
      <c r="W11" s="101">
        <f t="shared" si="0"/>
        <v>4150912.7070748815</v>
      </c>
      <c r="X11" s="101">
        <f t="shared" si="0"/>
        <v>3478364.0786273647</v>
      </c>
      <c r="Y11" s="101">
        <f t="shared" si="0"/>
        <v>3208296.7683956646</v>
      </c>
      <c r="Z11" s="101">
        <f t="shared" si="0"/>
        <v>3106915.0466213897</v>
      </c>
      <c r="AA11" s="101">
        <f t="shared" si="0"/>
        <v>3057547.6079874802</v>
      </c>
      <c r="AB11" s="101">
        <f t="shared" si="0"/>
        <v>3056795.3235975574</v>
      </c>
      <c r="AC11" s="101">
        <f t="shared" si="0"/>
        <v>3305905.1620962857</v>
      </c>
      <c r="AD11" s="101">
        <f t="shared" si="0"/>
        <v>4089123.1639045435</v>
      </c>
      <c r="AE11" s="101">
        <f t="shared" si="0"/>
        <v>5096722.4968727697</v>
      </c>
      <c r="AF11" s="101">
        <f t="shared" si="0"/>
        <v>5469892.3854327332</v>
      </c>
      <c r="AG11" s="101">
        <f t="shared" si="0"/>
        <v>5101889.4356375793</v>
      </c>
      <c r="AH11" s="101">
        <f t="shared" si="0"/>
        <v>5432598.8639615979</v>
      </c>
      <c r="AI11" s="101">
        <f t="shared" si="0"/>
        <v>4161399.9792392161</v>
      </c>
      <c r="AJ11" s="101">
        <f t="shared" si="0"/>
        <v>3487220.0043314998</v>
      </c>
      <c r="AK11" s="101">
        <f t="shared" si="0"/>
        <v>3216486.7877797997</v>
      </c>
      <c r="AL11" s="101">
        <f t="shared" si="0"/>
        <v>3114948.8039255245</v>
      </c>
      <c r="AM11" s="101">
        <f t="shared" si="0"/>
        <v>3065581.365291615</v>
      </c>
      <c r="AN11" s="101">
        <f t="shared" si="0"/>
        <v>3064849.4835416921</v>
      </c>
      <c r="AO11" s="101">
        <f t="shared" si="0"/>
        <v>3314530.0687604207</v>
      </c>
      <c r="AP11" s="101">
        <f t="shared" si="0"/>
        <v>4099820.3875378785</v>
      </c>
      <c r="AQ11" s="101">
        <f t="shared" si="0"/>
        <v>5109588.031632904</v>
      </c>
      <c r="AR11" s="101">
        <f t="shared" si="0"/>
        <v>5483702.4455182683</v>
      </c>
      <c r="AS11" s="101">
        <f t="shared" si="0"/>
        <v>5116281.6441975143</v>
      </c>
      <c r="AT11" s="101">
        <f t="shared" si="0"/>
        <v>5444957.1069799326</v>
      </c>
      <c r="AU11" s="101">
        <f t="shared" si="0"/>
        <v>4171866.3427833514</v>
      </c>
      <c r="AV11" s="101">
        <f t="shared" si="0"/>
        <v>3496096.7424418349</v>
      </c>
      <c r="AW11" s="101">
        <f t="shared" si="0"/>
        <v>3224676.8071639347</v>
      </c>
      <c r="AX11" s="101">
        <f t="shared" si="0"/>
        <v>3122982.5612296597</v>
      </c>
      <c r="AY11" s="101">
        <f t="shared" si="0"/>
        <v>3073615.1225957503</v>
      </c>
      <c r="AZ11" s="101">
        <f t="shared" si="0"/>
        <v>3072903.6434858274</v>
      </c>
      <c r="BA11" s="101">
        <f t="shared" si="0"/>
        <v>3323154.9754245556</v>
      </c>
      <c r="BB11" s="101">
        <f t="shared" si="0"/>
        <v>4110497.4202020136</v>
      </c>
      <c r="BC11" s="101">
        <f t="shared" si="0"/>
        <v>5122453.6718330393</v>
      </c>
      <c r="BD11" s="101">
        <f t="shared" si="0"/>
        <v>5497512.6110438034</v>
      </c>
      <c r="BE11" s="101">
        <f t="shared" si="0"/>
        <v>5130692.7767332494</v>
      </c>
      <c r="BF11" s="101">
        <f t="shared" si="0"/>
        <v>5457315.4554382674</v>
      </c>
      <c r="BG11" s="101">
        <f t="shared" si="0"/>
        <v>4182353.7731076861</v>
      </c>
      <c r="BH11" s="101">
        <f t="shared" si="0"/>
        <v>3504952.72086597</v>
      </c>
      <c r="BI11" s="101">
        <f t="shared" si="0"/>
        <v>3232866.8265480697</v>
      </c>
      <c r="BJ11" s="101">
        <f t="shared" si="0"/>
        <v>3131016.3185337945</v>
      </c>
      <c r="BK11" s="101">
        <f t="shared" si="0"/>
        <v>3081648.879899885</v>
      </c>
      <c r="BL11" s="101">
        <f t="shared" si="0"/>
        <v>3080957.8034299621</v>
      </c>
      <c r="BM11" s="101">
        <f t="shared" si="0"/>
        <v>3331800.2476928905</v>
      </c>
      <c r="BN11" s="101">
        <f t="shared" si="0"/>
        <v>4121194.8019953482</v>
      </c>
      <c r="BO11" s="101">
        <f t="shared" si="0"/>
        <v>5135319.4174731746</v>
      </c>
      <c r="BP11" s="101">
        <f t="shared" si="0"/>
        <v>5511322.8820093377</v>
      </c>
      <c r="BQ11" s="101">
        <f t="shared" ref="BQ11:CI11" si="1">BQ12*$C$12+BQ13*$C$13+BQ14*$C$14+BQ15*$C$15</f>
        <v>5145085.2488931846</v>
      </c>
      <c r="BR11" s="101">
        <f t="shared" si="1"/>
        <v>5469650.5321024023</v>
      </c>
      <c r="BS11" s="101">
        <f t="shared" si="1"/>
        <v>4192820.1893718215</v>
      </c>
      <c r="BT11" s="101">
        <f t="shared" si="1"/>
        <v>3513808.6992901051</v>
      </c>
      <c r="BU11" s="101">
        <f t="shared" si="1"/>
        <v>3241077.7089496045</v>
      </c>
      <c r="BV11" s="101">
        <f t="shared" si="1"/>
        <v>3139050.0758379297</v>
      </c>
      <c r="BW11" s="101">
        <f t="shared" si="1"/>
        <v>3089682.6372040203</v>
      </c>
      <c r="BX11" s="101">
        <f t="shared" si="1"/>
        <v>3089011.9633740974</v>
      </c>
      <c r="BY11" s="101">
        <f t="shared" si="1"/>
        <v>3340425.2070770254</v>
      </c>
      <c r="BZ11" s="101">
        <f t="shared" si="1"/>
        <v>4131871.8873794833</v>
      </c>
      <c r="CA11" s="101">
        <f t="shared" si="1"/>
        <v>5148185.2685533091</v>
      </c>
      <c r="CB11" s="101">
        <f t="shared" si="1"/>
        <v>5525133.258414872</v>
      </c>
      <c r="CC11" s="101">
        <f t="shared" si="1"/>
        <v>5159477.8264931198</v>
      </c>
      <c r="CD11" s="101">
        <f t="shared" si="1"/>
        <v>5482009.0387207381</v>
      </c>
      <c r="CE11" s="101">
        <f t="shared" si="1"/>
        <v>4203307.7778561562</v>
      </c>
      <c r="CF11" s="101">
        <f t="shared" si="1"/>
        <v>3522664.6777142398</v>
      </c>
      <c r="CG11" s="101">
        <f t="shared" si="1"/>
        <v>3249267.7810537396</v>
      </c>
      <c r="CH11" s="101">
        <f t="shared" si="1"/>
        <v>3147083.8331420645</v>
      </c>
      <c r="CI11" s="101">
        <f t="shared" si="1"/>
        <v>3097716.3945081551</v>
      </c>
    </row>
    <row r="12" spans="1:87" x14ac:dyDescent="0.2">
      <c r="A12" s="1">
        <v>2</v>
      </c>
      <c r="B12" s="1" t="s">
        <v>23</v>
      </c>
      <c r="C12" s="11">
        <f>'Rate Design'!F12</f>
        <v>18.649999999999999</v>
      </c>
      <c r="D12" s="70">
        <f>'Bill Frequency'!C13</f>
        <v>151012</v>
      </c>
      <c r="E12" s="70">
        <f>'Bill Frequency'!D13</f>
        <v>152519</v>
      </c>
      <c r="F12" s="70">
        <f>'Bill Frequency'!E13</f>
        <v>152394</v>
      </c>
      <c r="G12" s="70">
        <f>'Bill Frequency'!F13</f>
        <v>157920</v>
      </c>
      <c r="H12" s="70">
        <f>'Bill Frequency'!G13</f>
        <v>157873</v>
      </c>
      <c r="I12" s="70">
        <f>'Bill Frequency'!H13</f>
        <v>141181</v>
      </c>
      <c r="J12" s="70">
        <f>'Bill Frequency'!I13</f>
        <v>175369</v>
      </c>
      <c r="K12" s="70">
        <f>'Bill Frequency'!J13</f>
        <v>158239</v>
      </c>
      <c r="L12" s="70">
        <f>'Bill Frequency'!K13</f>
        <v>156709</v>
      </c>
      <c r="M12" s="70">
        <f>'Bill Frequency'!L13</f>
        <v>156293</v>
      </c>
      <c r="N12" s="70">
        <f>'Bill Frequency'!M13</f>
        <v>154293</v>
      </c>
      <c r="O12" s="70">
        <f>'Bill Frequency'!N13</f>
        <v>151835</v>
      </c>
      <c r="P12" s="70">
        <f>WNA!O30</f>
        <v>151412</v>
      </c>
      <c r="Q12" s="70">
        <f>WNA!P30</f>
        <v>152919</v>
      </c>
      <c r="R12" s="70">
        <f>WNA!Q30</f>
        <v>152794</v>
      </c>
      <c r="S12" s="70">
        <f>WNA!R30</f>
        <v>158320</v>
      </c>
      <c r="T12" s="70">
        <f>WNA!S30</f>
        <v>158273</v>
      </c>
      <c r="U12" s="70">
        <f>WNA!T30</f>
        <v>141581</v>
      </c>
      <c r="V12" s="70">
        <f>WNA!U30</f>
        <v>175769</v>
      </c>
      <c r="W12" s="70">
        <f>WNA!V30</f>
        <v>158639</v>
      </c>
      <c r="X12" s="70">
        <f>WNA!W30</f>
        <v>157109</v>
      </c>
      <c r="Y12" s="70">
        <f>WNA!X30</f>
        <v>156693</v>
      </c>
      <c r="Z12" s="70">
        <f>WNA!Y30</f>
        <v>154693</v>
      </c>
      <c r="AA12" s="70">
        <f>WNA!Z30</f>
        <v>152235</v>
      </c>
      <c r="AB12" s="70">
        <f>WNA!AA30</f>
        <v>151812</v>
      </c>
      <c r="AC12" s="70">
        <f>WNA!AB30</f>
        <v>153319</v>
      </c>
      <c r="AD12" s="70">
        <f>WNA!AC30</f>
        <v>153194</v>
      </c>
      <c r="AE12" s="70">
        <f>WNA!AD30</f>
        <v>158720</v>
      </c>
      <c r="AF12" s="70">
        <f>WNA!AE30</f>
        <v>158673</v>
      </c>
      <c r="AG12" s="70">
        <f>WNA!AF30</f>
        <v>141981</v>
      </c>
      <c r="AH12" s="70">
        <f>WNA!AG30</f>
        <v>176169</v>
      </c>
      <c r="AI12" s="70">
        <f>WNA!AH30</f>
        <v>159039</v>
      </c>
      <c r="AJ12" s="70">
        <f>WNA!AI30</f>
        <v>157509</v>
      </c>
      <c r="AK12" s="70">
        <f>WNA!AJ30</f>
        <v>157093</v>
      </c>
      <c r="AL12" s="70">
        <f>WNA!AK30</f>
        <v>155093</v>
      </c>
      <c r="AM12" s="70">
        <f>WNA!AL30</f>
        <v>152635</v>
      </c>
      <c r="AN12" s="70">
        <f>WNA!AM30</f>
        <v>152212</v>
      </c>
      <c r="AO12" s="70">
        <f>WNA!AN30</f>
        <v>153719</v>
      </c>
      <c r="AP12" s="70">
        <f>WNA!AO30</f>
        <v>153594</v>
      </c>
      <c r="AQ12" s="70">
        <f>WNA!AP30</f>
        <v>159120</v>
      </c>
      <c r="AR12" s="70">
        <f>WNA!AQ30</f>
        <v>159073</v>
      </c>
      <c r="AS12" s="70">
        <f>WNA!AR30</f>
        <v>142381</v>
      </c>
      <c r="AT12" s="70">
        <f>WNA!AS30</f>
        <v>176569</v>
      </c>
      <c r="AU12" s="70">
        <f>WNA!AT30</f>
        <v>159439</v>
      </c>
      <c r="AV12" s="70">
        <f>WNA!AU30</f>
        <v>157909</v>
      </c>
      <c r="AW12" s="70">
        <f>WNA!AV30</f>
        <v>157493</v>
      </c>
      <c r="AX12" s="70">
        <f>WNA!AW30</f>
        <v>155493</v>
      </c>
      <c r="AY12" s="70">
        <f>WNA!AX30</f>
        <v>153035</v>
      </c>
      <c r="AZ12" s="70">
        <f>WNA!AY30</f>
        <v>152612</v>
      </c>
      <c r="BA12" s="70">
        <f>WNA!AZ30</f>
        <v>154119</v>
      </c>
      <c r="BB12" s="70">
        <f>WNA!BA30</f>
        <v>153994</v>
      </c>
      <c r="BC12" s="70">
        <f>WNA!BB30</f>
        <v>159520</v>
      </c>
      <c r="BD12" s="70">
        <f>WNA!BC30</f>
        <v>159473</v>
      </c>
      <c r="BE12" s="70">
        <f>WNA!BD30</f>
        <v>142781</v>
      </c>
      <c r="BF12" s="70">
        <f>WNA!BE30</f>
        <v>176969</v>
      </c>
      <c r="BG12" s="70">
        <f>WNA!BF30</f>
        <v>159839</v>
      </c>
      <c r="BH12" s="70">
        <f>WNA!BG30</f>
        <v>158309</v>
      </c>
      <c r="BI12" s="70">
        <f>WNA!BH30</f>
        <v>157893</v>
      </c>
      <c r="BJ12" s="70">
        <f>WNA!BI30</f>
        <v>155893</v>
      </c>
      <c r="BK12" s="70">
        <f>WNA!BJ30</f>
        <v>153435</v>
      </c>
      <c r="BL12" s="70">
        <f>WNA!BK30</f>
        <v>153012</v>
      </c>
      <c r="BM12" s="70">
        <f>WNA!BL30</f>
        <v>154519</v>
      </c>
      <c r="BN12" s="70">
        <f>WNA!BM30</f>
        <v>154394</v>
      </c>
      <c r="BO12" s="70">
        <f>WNA!BN30</f>
        <v>159920</v>
      </c>
      <c r="BP12" s="70">
        <f>WNA!BO30</f>
        <v>159873</v>
      </c>
      <c r="BQ12" s="70">
        <f>WNA!BP30</f>
        <v>143181</v>
      </c>
      <c r="BR12" s="70">
        <f>WNA!BQ30</f>
        <v>177369</v>
      </c>
      <c r="BS12" s="70">
        <f>WNA!BR30</f>
        <v>160239</v>
      </c>
      <c r="BT12" s="70">
        <f>WNA!BS30</f>
        <v>158709</v>
      </c>
      <c r="BU12" s="70">
        <f>WNA!BT30</f>
        <v>158293</v>
      </c>
      <c r="BV12" s="70">
        <f>WNA!BU30</f>
        <v>156293</v>
      </c>
      <c r="BW12" s="70">
        <f>WNA!BV30</f>
        <v>153835</v>
      </c>
      <c r="BX12" s="70">
        <f>WNA!BW30</f>
        <v>153412</v>
      </c>
      <c r="BY12" s="70">
        <f>WNA!BX30</f>
        <v>154919</v>
      </c>
      <c r="BZ12" s="70">
        <f>WNA!BY30</f>
        <v>154794</v>
      </c>
      <c r="CA12" s="70">
        <f>WNA!BZ30</f>
        <v>160320</v>
      </c>
      <c r="CB12" s="70">
        <f>WNA!CA30</f>
        <v>160273</v>
      </c>
      <c r="CC12" s="70">
        <f>WNA!CB30</f>
        <v>143581</v>
      </c>
      <c r="CD12" s="70">
        <f>WNA!CC30</f>
        <v>177769</v>
      </c>
      <c r="CE12" s="70">
        <f>WNA!CD30</f>
        <v>160639</v>
      </c>
      <c r="CF12" s="70">
        <f>WNA!CE30</f>
        <v>159109</v>
      </c>
      <c r="CG12" s="70">
        <f>WNA!CF30</f>
        <v>158693</v>
      </c>
      <c r="CH12" s="70">
        <f>WNA!CG30</f>
        <v>156693</v>
      </c>
      <c r="CI12" s="70">
        <f>WNA!CH30</f>
        <v>154235</v>
      </c>
    </row>
    <row r="13" spans="1:87" x14ac:dyDescent="0.2">
      <c r="A13" s="1">
        <v>3</v>
      </c>
      <c r="B13" s="1" t="s">
        <v>24</v>
      </c>
      <c r="C13" s="14">
        <f>'Rate Design'!F19</f>
        <v>1.3180000000000001</v>
      </c>
      <c r="D13" s="70">
        <f>'Bill Frequency'!C14+WNA!C38+'Contract &amp; Vol Adj'!C14</f>
        <v>170192.0906</v>
      </c>
      <c r="E13" s="70">
        <f>'Bill Frequency'!D14+WNA!D38+'Contract &amp; Vol Adj'!D14</f>
        <v>337007.70260000002</v>
      </c>
      <c r="F13" s="70">
        <f>'Bill Frequency'!E14+WNA!E38+'Contract &amp; Vol Adj'!E14</f>
        <v>929894.24540000001</v>
      </c>
      <c r="G13" s="70">
        <f>'Bill Frequency'!F14+WNA!F38+'Contract &amp; Vol Adj'!F14</f>
        <v>1612886.3681000001</v>
      </c>
      <c r="H13" s="70">
        <f>'Bill Frequency'!G14+WNA!G38+'Contract &amp; Vol Adj'!G14</f>
        <v>1895235.6485000001</v>
      </c>
      <c r="I13" s="70">
        <f>'Bill Frequency'!H14+WNA!H38+'Contract &amp; Vol Adj'!H14</f>
        <v>1851336.3034999999</v>
      </c>
      <c r="J13" s="70">
        <f>'Bill Frequency'!I14+WNA!I38+'Contract &amp; Vol Adj'!I14</f>
        <v>1621586.5144</v>
      </c>
      <c r="K13" s="70">
        <f>'Bill Frequency'!J14+WNA!J38+'Contract &amp; Vol Adj'!J14</f>
        <v>902344.05070000002</v>
      </c>
      <c r="L13" s="70">
        <f>'Bill Frequency'!K14+WNA!K38+'Contract &amp; Vol Adj'!K14</f>
        <v>414935.9436</v>
      </c>
      <c r="M13" s="70">
        <f>'Bill Frequency'!L14+WNA!L38+'Contract &amp; Vol Adj'!L14</f>
        <v>216420.9406</v>
      </c>
      <c r="N13" s="70">
        <f>'Bill Frequency'!M14+WNA!M38+'Contract &amp; Vol Adj'!M14</f>
        <v>167918.28890000001</v>
      </c>
      <c r="O13" s="70">
        <f>'Bill Frequency'!N14+WNA!N38+'Contract &amp; Vol Adj'!N14</f>
        <v>165244.03279999999</v>
      </c>
      <c r="P13" s="70">
        <f>WNA!O31</f>
        <v>170642.91627725525</v>
      </c>
      <c r="Q13" s="70">
        <f>WNA!P31</f>
        <v>337891.43052515248</v>
      </c>
      <c r="R13" s="70">
        <f>WNA!Q31</f>
        <v>932350.59481062891</v>
      </c>
      <c r="S13" s="70">
        <f>WNA!R31</f>
        <v>1616987.1529230908</v>
      </c>
      <c r="T13" s="70">
        <f>WNA!S31</f>
        <v>1900053.2021288301</v>
      </c>
      <c r="U13" s="70">
        <f>WNA!T31</f>
        <v>1856609.7742925982</v>
      </c>
      <c r="V13" s="70">
        <f>WNA!U31</f>
        <v>1625302.6376200782</v>
      </c>
      <c r="W13" s="70">
        <f>WNA!V31</f>
        <v>904624.70187775535</v>
      </c>
      <c r="X13" s="70">
        <f>WNA!W31</f>
        <v>415994.86238798569</v>
      </c>
      <c r="Y13" s="70">
        <f>WNA!X31</f>
        <v>216974.44491325098</v>
      </c>
      <c r="Z13" s="70">
        <f>WNA!Y31</f>
        <v>168354.01868087237</v>
      </c>
      <c r="AA13" s="70">
        <f>WNA!Z31</f>
        <v>165678.95143207905</v>
      </c>
      <c r="AB13" s="70">
        <f>WNA!AA31</f>
        <v>171093.72048373095</v>
      </c>
      <c r="AC13" s="70">
        <f>WNA!AB31</f>
        <v>338775.27473162819</v>
      </c>
      <c r="AD13" s="70">
        <f>WNA!AC31</f>
        <v>934791.39901710465</v>
      </c>
      <c r="AE13" s="70">
        <f>WNA!AD31</f>
        <v>1621088.3891295667</v>
      </c>
      <c r="AF13" s="70">
        <f>WNA!AE31</f>
        <v>1904886.9009353057</v>
      </c>
      <c r="AG13" s="70">
        <f>WNA!AF31</f>
        <v>1861869.3365990738</v>
      </c>
      <c r="AH13" s="70">
        <f>WNA!AG31</f>
        <v>1629018.978726554</v>
      </c>
      <c r="AI13" s="70">
        <f>WNA!AH31</f>
        <v>906921.56998423114</v>
      </c>
      <c r="AJ13" s="70">
        <f>WNA!AI31</f>
        <v>417053.98659446143</v>
      </c>
      <c r="AK13" s="70">
        <f>WNA!AJ31</f>
        <v>217528.3291197267</v>
      </c>
      <c r="AL13" s="70">
        <f>WNA!AK31</f>
        <v>168789.34288734809</v>
      </c>
      <c r="AM13" s="70">
        <f>WNA!AL31</f>
        <v>166114.27563855477</v>
      </c>
      <c r="AN13" s="70">
        <f>WNA!AM31</f>
        <v>171544.52469020669</v>
      </c>
      <c r="AO13" s="70">
        <f>WNA!AN31</f>
        <v>339659.11893810396</v>
      </c>
      <c r="AP13" s="70">
        <f>WNA!AO31</f>
        <v>937247.56262358034</v>
      </c>
      <c r="AQ13" s="70">
        <f>WNA!AP31</f>
        <v>1625189.7053360422</v>
      </c>
      <c r="AR13" s="70">
        <f>WNA!AQ31</f>
        <v>1909704.8524417814</v>
      </c>
      <c r="AS13" s="70">
        <f>WNA!AR31</f>
        <v>1867128.9789055495</v>
      </c>
      <c r="AT13" s="70">
        <f>WNA!AS31</f>
        <v>1632735.3998330296</v>
      </c>
      <c r="AU13" s="70">
        <f>WNA!AT31</f>
        <v>909202.57419070683</v>
      </c>
      <c r="AV13" s="70">
        <f>WNA!AU31</f>
        <v>418128.90170093719</v>
      </c>
      <c r="AW13" s="70">
        <f>WNA!AV31</f>
        <v>218082.21332620241</v>
      </c>
      <c r="AX13" s="70">
        <f>WNA!AW31</f>
        <v>169224.66709382381</v>
      </c>
      <c r="AY13" s="70">
        <f>WNA!AX31</f>
        <v>166549.59984503049</v>
      </c>
      <c r="AZ13" s="70">
        <f>WNA!AY31</f>
        <v>171995.32889668242</v>
      </c>
      <c r="BA13" s="70">
        <f>WNA!AZ31</f>
        <v>340542.96314457967</v>
      </c>
      <c r="BB13" s="70">
        <f>WNA!BA31</f>
        <v>939688.40683005599</v>
      </c>
      <c r="BC13" s="70">
        <f>WNA!BB31</f>
        <v>1629291.1015425182</v>
      </c>
      <c r="BD13" s="70">
        <f>WNA!BC31</f>
        <v>1914522.8839482572</v>
      </c>
      <c r="BE13" s="70">
        <f>WNA!BD31</f>
        <v>1872402.9793120252</v>
      </c>
      <c r="BF13" s="70">
        <f>WNA!BE31</f>
        <v>1636451.9009395053</v>
      </c>
      <c r="BG13" s="70">
        <f>WNA!BF31</f>
        <v>911499.56229718251</v>
      </c>
      <c r="BH13" s="70">
        <f>WNA!BG31</f>
        <v>419188.06590741291</v>
      </c>
      <c r="BI13" s="70">
        <f>WNA!BH31</f>
        <v>218636.09753267813</v>
      </c>
      <c r="BJ13" s="70">
        <f>WNA!BI31</f>
        <v>169659.99130029953</v>
      </c>
      <c r="BK13" s="70">
        <f>WNA!BJ31</f>
        <v>166984.92405150621</v>
      </c>
      <c r="BL13" s="70">
        <f>WNA!BK31</f>
        <v>172446.13310315812</v>
      </c>
      <c r="BM13" s="70">
        <f>WNA!BL31</f>
        <v>341442.25925105542</v>
      </c>
      <c r="BN13" s="70">
        <f>WNA!BM31</f>
        <v>942144.69043653167</v>
      </c>
      <c r="BO13" s="70">
        <f>WNA!BN31</f>
        <v>1633392.5777489939</v>
      </c>
      <c r="BP13" s="70">
        <f>WNA!BO31</f>
        <v>1919340.9954547328</v>
      </c>
      <c r="BQ13" s="70">
        <f>WNA!BP31</f>
        <v>1877662.8216185011</v>
      </c>
      <c r="BR13" s="70">
        <f>WNA!BQ31</f>
        <v>1640150.745145981</v>
      </c>
      <c r="BS13" s="70">
        <f>WNA!BR31</f>
        <v>913780.60650365823</v>
      </c>
      <c r="BT13" s="70">
        <f>WNA!BS31</f>
        <v>420247.23011388863</v>
      </c>
      <c r="BU13" s="70">
        <f>WNA!BT31</f>
        <v>219205.81103915386</v>
      </c>
      <c r="BV13" s="70">
        <f>WNA!BU31</f>
        <v>170095.31550677525</v>
      </c>
      <c r="BW13" s="70">
        <f>WNA!BV31</f>
        <v>167420.24825798193</v>
      </c>
      <c r="BX13" s="70">
        <f>WNA!BW31</f>
        <v>172896.93730963385</v>
      </c>
      <c r="BY13" s="70">
        <f>WNA!BX31</f>
        <v>342326.14345753111</v>
      </c>
      <c r="BZ13" s="70">
        <f>WNA!BY31</f>
        <v>944585.57464300736</v>
      </c>
      <c r="CA13" s="70">
        <f>WNA!BZ31</f>
        <v>1637494.1339554696</v>
      </c>
      <c r="CB13" s="70">
        <f>WNA!CA31</f>
        <v>1924159.1869612085</v>
      </c>
      <c r="CC13" s="70">
        <f>WNA!CB31</f>
        <v>1882922.7439249768</v>
      </c>
      <c r="CD13" s="70">
        <f>WNA!CC31</f>
        <v>1643867.3662524566</v>
      </c>
      <c r="CE13" s="70">
        <f>WNA!CD31</f>
        <v>916077.7146101339</v>
      </c>
      <c r="CF13" s="70">
        <f>WNA!CE31</f>
        <v>421306.39432036434</v>
      </c>
      <c r="CG13" s="70">
        <f>WNA!CF31</f>
        <v>219759.73524562959</v>
      </c>
      <c r="CH13" s="70">
        <f>WNA!CG31</f>
        <v>170530.63971325097</v>
      </c>
      <c r="CI13" s="70">
        <f>WNA!CH31</f>
        <v>167855.57246445765</v>
      </c>
    </row>
    <row r="14" spans="1:87" x14ac:dyDescent="0.2">
      <c r="A14" s="1">
        <v>4</v>
      </c>
      <c r="B14" s="1" t="s">
        <v>25</v>
      </c>
      <c r="C14" s="14">
        <f>'Rate Design'!F20</f>
        <v>0.87999999999999989</v>
      </c>
      <c r="D14" s="70">
        <f>'Bill Frequency'!C15+WNA!C39+'Contract &amp; Vol Adj'!C15</f>
        <v>0</v>
      </c>
      <c r="E14" s="70">
        <f>'Bill Frequency'!D15+WNA!D39+'Contract &amp; Vol Adj'!D15</f>
        <v>0</v>
      </c>
      <c r="F14" s="70">
        <f>'Bill Frequency'!E15+WNA!E39+'Contract &amp; Vol Adj'!E15</f>
        <v>0</v>
      </c>
      <c r="G14" s="70">
        <f>'Bill Frequency'!F15+WNA!F39+'Contract &amp; Vol Adj'!F15</f>
        <v>0</v>
      </c>
      <c r="H14" s="70">
        <f>'Bill Frequency'!G15+WNA!G39+'Contract &amp; Vol Adj'!G15</f>
        <v>0</v>
      </c>
      <c r="I14" s="70">
        <f>'Bill Frequency'!H15+WNA!H39+'Contract &amp; Vol Adj'!H15</f>
        <v>0</v>
      </c>
      <c r="J14" s="70">
        <f>'Bill Frequency'!I15+WNA!I39+'Contract &amp; Vol Adj'!I15</f>
        <v>0</v>
      </c>
      <c r="K14" s="70">
        <f>'Bill Frequency'!J15+WNA!J39+'Contract &amp; Vol Adj'!J15</f>
        <v>0</v>
      </c>
      <c r="L14" s="70">
        <f>'Bill Frequency'!K15+WNA!K39+'Contract &amp; Vol Adj'!K15</f>
        <v>0</v>
      </c>
      <c r="M14" s="70">
        <f>'Bill Frequency'!L15+WNA!L39+'Contract &amp; Vol Adj'!L15</f>
        <v>0</v>
      </c>
      <c r="N14" s="70">
        <f>'Bill Frequency'!M15+WNA!M39+'Contract &amp; Vol Adj'!M15</f>
        <v>0</v>
      </c>
      <c r="O14" s="70">
        <f>'Bill Frequency'!N15+WNA!N39+'Contract &amp; Vol Adj'!N15</f>
        <v>0</v>
      </c>
      <c r="P14" s="70">
        <f>D14+WNA!O39</f>
        <v>0</v>
      </c>
      <c r="Q14" s="70">
        <f>E14+WNA!P39</f>
        <v>0</v>
      </c>
      <c r="R14" s="70">
        <f>F14+WNA!Q39</f>
        <v>0</v>
      </c>
      <c r="S14" s="70">
        <f>G14+WNA!R39</f>
        <v>0</v>
      </c>
      <c r="T14" s="70">
        <f>H14+WNA!S39</f>
        <v>0</v>
      </c>
      <c r="U14" s="70">
        <f>I14+WNA!T39</f>
        <v>0</v>
      </c>
      <c r="V14" s="70">
        <f>J14+WNA!U39</f>
        <v>0</v>
      </c>
      <c r="W14" s="70">
        <f>K14+WNA!V39</f>
        <v>0</v>
      </c>
      <c r="X14" s="70">
        <f>L14+WNA!W39</f>
        <v>0</v>
      </c>
      <c r="Y14" s="70">
        <f>M14+WNA!X39</f>
        <v>0</v>
      </c>
      <c r="Z14" s="70">
        <f>N14+WNA!Y39</f>
        <v>0</v>
      </c>
      <c r="AA14" s="70">
        <f>O14+WNA!Z39</f>
        <v>0</v>
      </c>
      <c r="AB14" s="70">
        <f>P14+WNA!AA39</f>
        <v>0</v>
      </c>
      <c r="AC14" s="70">
        <f>Q14+WNA!AB39</f>
        <v>0</v>
      </c>
      <c r="AD14" s="70">
        <f>R14+WNA!AC39</f>
        <v>0</v>
      </c>
      <c r="AE14" s="70">
        <f>S14+WNA!AD39</f>
        <v>0</v>
      </c>
      <c r="AF14" s="70">
        <f>T14+WNA!AE39</f>
        <v>0</v>
      </c>
      <c r="AG14" s="70">
        <f>U14+WNA!AF39</f>
        <v>0</v>
      </c>
      <c r="AH14" s="70">
        <f>V14+WNA!AG39</f>
        <v>0</v>
      </c>
      <c r="AI14" s="70">
        <f>W14+WNA!AH39</f>
        <v>0</v>
      </c>
      <c r="AJ14" s="70">
        <f>X14+WNA!AI39</f>
        <v>0</v>
      </c>
      <c r="AK14" s="70">
        <f>Y14+WNA!AJ39</f>
        <v>0</v>
      </c>
      <c r="AL14" s="70">
        <f>Z14+WNA!AK39</f>
        <v>0</v>
      </c>
      <c r="AM14" s="70">
        <f>AA14+WNA!AL39</f>
        <v>0</v>
      </c>
      <c r="AN14" s="70">
        <f>AB14+WNA!AM39</f>
        <v>0</v>
      </c>
      <c r="AO14" s="70">
        <f>AC14+WNA!AN39</f>
        <v>0</v>
      </c>
      <c r="AP14" s="70">
        <f>AD14+WNA!AO39</f>
        <v>0</v>
      </c>
      <c r="AQ14" s="70">
        <f>AE14+WNA!AP39</f>
        <v>0</v>
      </c>
      <c r="AR14" s="70">
        <f>AF14+WNA!AQ39</f>
        <v>0</v>
      </c>
      <c r="AS14" s="70">
        <f>AG14+WNA!AR39</f>
        <v>0</v>
      </c>
      <c r="AT14" s="70">
        <f>AH14+WNA!AS39</f>
        <v>0</v>
      </c>
      <c r="AU14" s="70">
        <f>AI14+WNA!AT39</f>
        <v>0</v>
      </c>
      <c r="AV14" s="70">
        <f>AJ14+WNA!AU39</f>
        <v>0</v>
      </c>
      <c r="AW14" s="70">
        <f>AK14+WNA!AV39</f>
        <v>0</v>
      </c>
      <c r="AX14" s="70">
        <f>AL14+WNA!AW39</f>
        <v>0</v>
      </c>
      <c r="AY14" s="70">
        <f>AM14+WNA!AX39</f>
        <v>0</v>
      </c>
      <c r="AZ14" s="70">
        <f>AN14+WNA!AY39</f>
        <v>0</v>
      </c>
      <c r="BA14" s="70">
        <f>AO14+WNA!AZ39</f>
        <v>0</v>
      </c>
      <c r="BB14" s="70">
        <f>AP14+WNA!BA39</f>
        <v>0</v>
      </c>
      <c r="BC14" s="70">
        <f>AQ14+WNA!BB39</f>
        <v>0</v>
      </c>
      <c r="BD14" s="70">
        <f>AR14+WNA!BC39</f>
        <v>0</v>
      </c>
      <c r="BE14" s="70">
        <f>AS14+WNA!BD39</f>
        <v>0</v>
      </c>
      <c r="BF14" s="70">
        <f>AT14+WNA!BE39</f>
        <v>0</v>
      </c>
      <c r="BG14" s="70">
        <f>AU14+WNA!BF39</f>
        <v>0</v>
      </c>
      <c r="BH14" s="70">
        <f>AV14+WNA!BG39</f>
        <v>0</v>
      </c>
      <c r="BI14" s="70">
        <f>AW14+WNA!BH39</f>
        <v>0</v>
      </c>
      <c r="BJ14" s="70">
        <f>AX14+WNA!BI39</f>
        <v>0</v>
      </c>
      <c r="BK14" s="70">
        <f>AY14+WNA!BJ39</f>
        <v>0</v>
      </c>
      <c r="BL14" s="70">
        <f>AZ14+WNA!BK39</f>
        <v>0</v>
      </c>
      <c r="BM14" s="70">
        <f>BA14+WNA!BL39</f>
        <v>0</v>
      </c>
      <c r="BN14" s="70">
        <f>BB14+WNA!BM39</f>
        <v>0</v>
      </c>
      <c r="BO14" s="70">
        <f>BC14+WNA!BN39</f>
        <v>0</v>
      </c>
      <c r="BP14" s="70">
        <f>BD14+WNA!BO39</f>
        <v>0</v>
      </c>
      <c r="BQ14" s="70">
        <f>BE14+WNA!BP39</f>
        <v>0</v>
      </c>
      <c r="BR14" s="70">
        <f>BF14+WNA!BQ39</f>
        <v>0</v>
      </c>
      <c r="BS14" s="70">
        <f>BG14+WNA!BR39</f>
        <v>0</v>
      </c>
      <c r="BT14" s="70">
        <f>BH14+WNA!BS39</f>
        <v>0</v>
      </c>
      <c r="BU14" s="70">
        <f>BI14+WNA!BT39</f>
        <v>0</v>
      </c>
      <c r="BV14" s="70">
        <f>BJ14+WNA!BU39</f>
        <v>0</v>
      </c>
      <c r="BW14" s="70">
        <f>BK14+WNA!BV39</f>
        <v>0</v>
      </c>
      <c r="BX14" s="70">
        <f>BL14+WNA!BW39</f>
        <v>0</v>
      </c>
      <c r="BY14" s="70">
        <f>BM14+WNA!BX39</f>
        <v>0</v>
      </c>
      <c r="BZ14" s="70">
        <f>BN14+WNA!BY39</f>
        <v>0</v>
      </c>
      <c r="CA14" s="70">
        <f>BO14+WNA!BZ39</f>
        <v>0</v>
      </c>
      <c r="CB14" s="70">
        <f>BP14+WNA!CA39</f>
        <v>0</v>
      </c>
      <c r="CC14" s="70">
        <f>BQ14+WNA!CB39</f>
        <v>0</v>
      </c>
      <c r="CD14" s="70">
        <f>BR14+WNA!CC39</f>
        <v>0</v>
      </c>
      <c r="CE14" s="70">
        <f>BS14+WNA!CD39</f>
        <v>0</v>
      </c>
      <c r="CF14" s="70">
        <f>BT14+WNA!CE39</f>
        <v>0</v>
      </c>
      <c r="CG14" s="70">
        <f>BU14+WNA!CF39</f>
        <v>0</v>
      </c>
      <c r="CH14" s="70">
        <f>BV14+WNA!CG39</f>
        <v>0</v>
      </c>
      <c r="CI14" s="70">
        <f>BW14+WNA!CH39</f>
        <v>0</v>
      </c>
    </row>
    <row r="15" spans="1:87" x14ac:dyDescent="0.2">
      <c r="A15" s="1">
        <v>5</v>
      </c>
      <c r="B15" s="1" t="s">
        <v>81</v>
      </c>
      <c r="C15" s="14">
        <f>'Rate Design'!F21</f>
        <v>0.62</v>
      </c>
      <c r="D15" s="70">
        <f>'Bill Frequency'!C16+WNA!C40+'Contract &amp; Vol Adj'!C16</f>
        <v>0</v>
      </c>
      <c r="E15" s="70">
        <f>'Bill Frequency'!D16+WNA!D40+'Contract &amp; Vol Adj'!D16</f>
        <v>0</v>
      </c>
      <c r="F15" s="70">
        <f>'Bill Frequency'!E16+WNA!E40+'Contract &amp; Vol Adj'!E16</f>
        <v>0</v>
      </c>
      <c r="G15" s="70">
        <f>'Bill Frequency'!F16+WNA!F40+'Contract &amp; Vol Adj'!F16</f>
        <v>0</v>
      </c>
      <c r="H15" s="70">
        <f>'Bill Frequency'!G16+WNA!G40+'Contract &amp; Vol Adj'!G16</f>
        <v>0</v>
      </c>
      <c r="I15" s="70">
        <f>'Bill Frequency'!H16+WNA!H40+'Contract &amp; Vol Adj'!H16</f>
        <v>0</v>
      </c>
      <c r="J15" s="70">
        <f>'Bill Frequency'!I16+WNA!I40+'Contract &amp; Vol Adj'!I16</f>
        <v>0</v>
      </c>
      <c r="K15" s="70">
        <f>'Bill Frequency'!J16+WNA!J40+'Contract &amp; Vol Adj'!J16</f>
        <v>0</v>
      </c>
      <c r="L15" s="70">
        <f>'Bill Frequency'!K16+WNA!K40+'Contract &amp; Vol Adj'!K16</f>
        <v>0</v>
      </c>
      <c r="M15" s="70">
        <f>'Bill Frequency'!L16+WNA!L40+'Contract &amp; Vol Adj'!L16</f>
        <v>0</v>
      </c>
      <c r="N15" s="70">
        <f>'Bill Frequency'!M16+WNA!M40+'Contract &amp; Vol Adj'!M16</f>
        <v>0</v>
      </c>
      <c r="O15" s="70">
        <f>'Bill Frequency'!N16+WNA!N40+'Contract &amp; Vol Adj'!N16</f>
        <v>0</v>
      </c>
      <c r="P15" s="70">
        <f>D15+WNA!O40</f>
        <v>0</v>
      </c>
      <c r="Q15" s="70">
        <f>E15+WNA!P40</f>
        <v>0</v>
      </c>
      <c r="R15" s="70">
        <f>F15+WNA!Q40</f>
        <v>0</v>
      </c>
      <c r="S15" s="70">
        <f>G15+WNA!R40</f>
        <v>0</v>
      </c>
      <c r="T15" s="70">
        <f>H15+WNA!S40</f>
        <v>0</v>
      </c>
      <c r="U15" s="70">
        <f>I15+WNA!T40</f>
        <v>0</v>
      </c>
      <c r="V15" s="70">
        <f>J15+WNA!U40</f>
        <v>0</v>
      </c>
      <c r="W15" s="70">
        <f>K15+WNA!V40</f>
        <v>0</v>
      </c>
      <c r="X15" s="70">
        <f>L15+WNA!W40</f>
        <v>0</v>
      </c>
      <c r="Y15" s="70">
        <f>M15+WNA!X40</f>
        <v>0</v>
      </c>
      <c r="Z15" s="70">
        <f>N15+WNA!Y40</f>
        <v>0</v>
      </c>
      <c r="AA15" s="70">
        <f>O15+WNA!Z40</f>
        <v>0</v>
      </c>
      <c r="AB15" s="70">
        <f>P15+WNA!AA40</f>
        <v>0</v>
      </c>
      <c r="AC15" s="70">
        <f>Q15+WNA!AB40</f>
        <v>0</v>
      </c>
      <c r="AD15" s="70">
        <f>R15+WNA!AC40</f>
        <v>0</v>
      </c>
      <c r="AE15" s="70">
        <f>S15+WNA!AD40</f>
        <v>0</v>
      </c>
      <c r="AF15" s="70">
        <f>T15+WNA!AE40</f>
        <v>0</v>
      </c>
      <c r="AG15" s="70">
        <f>U15+WNA!AF40</f>
        <v>0</v>
      </c>
      <c r="AH15" s="70">
        <f>V15+WNA!AG40</f>
        <v>0</v>
      </c>
      <c r="AI15" s="70">
        <f>W15+WNA!AH40</f>
        <v>0</v>
      </c>
      <c r="AJ15" s="70">
        <f>X15+WNA!AI40</f>
        <v>0</v>
      </c>
      <c r="AK15" s="70">
        <f>Y15+WNA!AJ40</f>
        <v>0</v>
      </c>
      <c r="AL15" s="70">
        <f>Z15+WNA!AK40</f>
        <v>0</v>
      </c>
      <c r="AM15" s="70">
        <f>AA15+WNA!AL40</f>
        <v>0</v>
      </c>
      <c r="AN15" s="70">
        <f>AB15+WNA!AM40</f>
        <v>0</v>
      </c>
      <c r="AO15" s="70">
        <f>AC15+WNA!AN40</f>
        <v>0</v>
      </c>
      <c r="AP15" s="70">
        <f>AD15+WNA!AO40</f>
        <v>0</v>
      </c>
      <c r="AQ15" s="70">
        <f>AE15+WNA!AP40</f>
        <v>0</v>
      </c>
      <c r="AR15" s="70">
        <f>AF15+WNA!AQ40</f>
        <v>0</v>
      </c>
      <c r="AS15" s="70">
        <f>AG15+WNA!AR40</f>
        <v>0</v>
      </c>
      <c r="AT15" s="70">
        <f>AH15+WNA!AS40</f>
        <v>0</v>
      </c>
      <c r="AU15" s="70">
        <f>AI15+WNA!AT40</f>
        <v>0</v>
      </c>
      <c r="AV15" s="70">
        <f>AJ15+WNA!AU40</f>
        <v>0</v>
      </c>
      <c r="AW15" s="70">
        <f>AK15+WNA!AV40</f>
        <v>0</v>
      </c>
      <c r="AX15" s="70">
        <f>AL15+WNA!AW40</f>
        <v>0</v>
      </c>
      <c r="AY15" s="70">
        <f>AM15+WNA!AX40</f>
        <v>0</v>
      </c>
      <c r="AZ15" s="70">
        <f>AN15+WNA!AY40</f>
        <v>0</v>
      </c>
      <c r="BA15" s="70">
        <f>AO15+WNA!AZ40</f>
        <v>0</v>
      </c>
      <c r="BB15" s="70">
        <f>AP15+WNA!BA40</f>
        <v>0</v>
      </c>
      <c r="BC15" s="70">
        <f>AQ15+WNA!BB40</f>
        <v>0</v>
      </c>
      <c r="BD15" s="70">
        <f>AR15+WNA!BC40</f>
        <v>0</v>
      </c>
      <c r="BE15" s="70">
        <f>AS15+WNA!BD40</f>
        <v>0</v>
      </c>
      <c r="BF15" s="70">
        <f>AT15+WNA!BE40</f>
        <v>0</v>
      </c>
      <c r="BG15" s="70">
        <f>AU15+WNA!BF40</f>
        <v>0</v>
      </c>
      <c r="BH15" s="70">
        <f>AV15+WNA!BG40</f>
        <v>0</v>
      </c>
      <c r="BI15" s="70">
        <f>AW15+WNA!BH40</f>
        <v>0</v>
      </c>
      <c r="BJ15" s="70">
        <f>AX15+WNA!BI40</f>
        <v>0</v>
      </c>
      <c r="BK15" s="70">
        <f>AY15+WNA!BJ40</f>
        <v>0</v>
      </c>
      <c r="BL15" s="70">
        <f>AZ15+WNA!BK40</f>
        <v>0</v>
      </c>
      <c r="BM15" s="70">
        <f>BA15+WNA!BL40</f>
        <v>0</v>
      </c>
      <c r="BN15" s="70">
        <f>BB15+WNA!BM40</f>
        <v>0</v>
      </c>
      <c r="BO15" s="70">
        <f>BC15+WNA!BN40</f>
        <v>0</v>
      </c>
      <c r="BP15" s="70">
        <f>BD15+WNA!BO40</f>
        <v>0</v>
      </c>
      <c r="BQ15" s="70">
        <f>BE15+WNA!BP40</f>
        <v>0</v>
      </c>
      <c r="BR15" s="70">
        <f>BF15+WNA!BQ40</f>
        <v>0</v>
      </c>
      <c r="BS15" s="70">
        <f>BG15+WNA!BR40</f>
        <v>0</v>
      </c>
      <c r="BT15" s="70">
        <f>BH15+WNA!BS40</f>
        <v>0</v>
      </c>
      <c r="BU15" s="70">
        <f>BI15+WNA!BT40</f>
        <v>0</v>
      </c>
      <c r="BV15" s="70">
        <f>BJ15+WNA!BU40</f>
        <v>0</v>
      </c>
      <c r="BW15" s="70">
        <f>BK15+WNA!BV40</f>
        <v>0</v>
      </c>
      <c r="BX15" s="70">
        <f>BL15+WNA!BW40</f>
        <v>0</v>
      </c>
      <c r="BY15" s="70">
        <f>BM15+WNA!BX40</f>
        <v>0</v>
      </c>
      <c r="BZ15" s="70">
        <f>BN15+WNA!BY40</f>
        <v>0</v>
      </c>
      <c r="CA15" s="70">
        <f>BO15+WNA!BZ40</f>
        <v>0</v>
      </c>
      <c r="CB15" s="70">
        <f>BP15+WNA!CA40</f>
        <v>0</v>
      </c>
      <c r="CC15" s="70">
        <f>BQ15+WNA!CB40</f>
        <v>0</v>
      </c>
      <c r="CD15" s="70">
        <f>BR15+WNA!CC40</f>
        <v>0</v>
      </c>
      <c r="CE15" s="70">
        <f>BS15+WNA!CD40</f>
        <v>0</v>
      </c>
      <c r="CF15" s="70">
        <f>BT15+WNA!CE40</f>
        <v>0</v>
      </c>
      <c r="CG15" s="70">
        <f>BU15+WNA!CF40</f>
        <v>0</v>
      </c>
      <c r="CH15" s="70">
        <f>BV15+WNA!CG40</f>
        <v>0</v>
      </c>
      <c r="CI15" s="70">
        <f>BW15+WNA!CH40</f>
        <v>0</v>
      </c>
    </row>
    <row r="16" spans="1:87" x14ac:dyDescent="0.2">
      <c r="A16" s="1">
        <v>6</v>
      </c>
      <c r="B16" s="32" t="s">
        <v>79</v>
      </c>
      <c r="C16" s="32"/>
      <c r="D16" s="31">
        <f t="shared" ref="D16:BO16" si="2">D13+D14+D15</f>
        <v>170192.0906</v>
      </c>
      <c r="E16" s="31">
        <f t="shared" si="2"/>
        <v>337007.70260000002</v>
      </c>
      <c r="F16" s="31">
        <f t="shared" si="2"/>
        <v>929894.24540000001</v>
      </c>
      <c r="G16" s="31">
        <f t="shared" si="2"/>
        <v>1612886.3681000001</v>
      </c>
      <c r="H16" s="31">
        <f t="shared" si="2"/>
        <v>1895235.6485000001</v>
      </c>
      <c r="I16" s="31">
        <f t="shared" si="2"/>
        <v>1851336.3034999999</v>
      </c>
      <c r="J16" s="31">
        <f t="shared" si="2"/>
        <v>1621586.5144</v>
      </c>
      <c r="K16" s="31">
        <f t="shared" si="2"/>
        <v>902344.05070000002</v>
      </c>
      <c r="L16" s="31">
        <f t="shared" si="2"/>
        <v>414935.9436</v>
      </c>
      <c r="M16" s="31">
        <f t="shared" si="2"/>
        <v>216420.9406</v>
      </c>
      <c r="N16" s="31">
        <f t="shared" si="2"/>
        <v>167918.28890000001</v>
      </c>
      <c r="O16" s="31">
        <f t="shared" si="2"/>
        <v>165244.03279999999</v>
      </c>
      <c r="P16" s="31">
        <f t="shared" si="2"/>
        <v>170642.91627725525</v>
      </c>
      <c r="Q16" s="31">
        <f t="shared" si="2"/>
        <v>337891.43052515248</v>
      </c>
      <c r="R16" s="31">
        <f t="shared" si="2"/>
        <v>932350.59481062891</v>
      </c>
      <c r="S16" s="31">
        <f t="shared" si="2"/>
        <v>1616987.1529230908</v>
      </c>
      <c r="T16" s="31">
        <f t="shared" si="2"/>
        <v>1900053.2021288301</v>
      </c>
      <c r="U16" s="31">
        <f t="shared" si="2"/>
        <v>1856609.7742925982</v>
      </c>
      <c r="V16" s="31">
        <f t="shared" si="2"/>
        <v>1625302.6376200782</v>
      </c>
      <c r="W16" s="31">
        <f t="shared" si="2"/>
        <v>904624.70187775535</v>
      </c>
      <c r="X16" s="31">
        <f t="shared" si="2"/>
        <v>415994.86238798569</v>
      </c>
      <c r="Y16" s="31">
        <f t="shared" si="2"/>
        <v>216974.44491325098</v>
      </c>
      <c r="Z16" s="31">
        <f t="shared" si="2"/>
        <v>168354.01868087237</v>
      </c>
      <c r="AA16" s="31">
        <f t="shared" si="2"/>
        <v>165678.95143207905</v>
      </c>
      <c r="AB16" s="31">
        <f t="shared" si="2"/>
        <v>171093.72048373095</v>
      </c>
      <c r="AC16" s="31">
        <f t="shared" si="2"/>
        <v>338775.27473162819</v>
      </c>
      <c r="AD16" s="31">
        <f t="shared" si="2"/>
        <v>934791.39901710465</v>
      </c>
      <c r="AE16" s="31">
        <f t="shared" si="2"/>
        <v>1621088.3891295667</v>
      </c>
      <c r="AF16" s="31">
        <f t="shared" si="2"/>
        <v>1904886.9009353057</v>
      </c>
      <c r="AG16" s="31">
        <f t="shared" si="2"/>
        <v>1861869.3365990738</v>
      </c>
      <c r="AH16" s="31">
        <f t="shared" si="2"/>
        <v>1629018.978726554</v>
      </c>
      <c r="AI16" s="31">
        <f t="shared" si="2"/>
        <v>906921.56998423114</v>
      </c>
      <c r="AJ16" s="31">
        <f t="shared" si="2"/>
        <v>417053.98659446143</v>
      </c>
      <c r="AK16" s="31">
        <f t="shared" si="2"/>
        <v>217528.3291197267</v>
      </c>
      <c r="AL16" s="31">
        <f t="shared" si="2"/>
        <v>168789.34288734809</v>
      </c>
      <c r="AM16" s="31">
        <f t="shared" si="2"/>
        <v>166114.27563855477</v>
      </c>
      <c r="AN16" s="31">
        <f t="shared" si="2"/>
        <v>171544.52469020669</v>
      </c>
      <c r="AO16" s="31">
        <f t="shared" si="2"/>
        <v>339659.11893810396</v>
      </c>
      <c r="AP16" s="31">
        <f t="shared" si="2"/>
        <v>937247.56262358034</v>
      </c>
      <c r="AQ16" s="31">
        <f t="shared" si="2"/>
        <v>1625189.7053360422</v>
      </c>
      <c r="AR16" s="31">
        <f t="shared" si="2"/>
        <v>1909704.8524417814</v>
      </c>
      <c r="AS16" s="31">
        <f t="shared" si="2"/>
        <v>1867128.9789055495</v>
      </c>
      <c r="AT16" s="31">
        <f t="shared" si="2"/>
        <v>1632735.3998330296</v>
      </c>
      <c r="AU16" s="31">
        <f t="shared" si="2"/>
        <v>909202.57419070683</v>
      </c>
      <c r="AV16" s="31">
        <f t="shared" si="2"/>
        <v>418128.90170093719</v>
      </c>
      <c r="AW16" s="31">
        <f t="shared" si="2"/>
        <v>218082.21332620241</v>
      </c>
      <c r="AX16" s="31">
        <f t="shared" si="2"/>
        <v>169224.66709382381</v>
      </c>
      <c r="AY16" s="31">
        <f t="shared" si="2"/>
        <v>166549.59984503049</v>
      </c>
      <c r="AZ16" s="31">
        <f t="shared" si="2"/>
        <v>171995.32889668242</v>
      </c>
      <c r="BA16" s="31">
        <f t="shared" si="2"/>
        <v>340542.96314457967</v>
      </c>
      <c r="BB16" s="31">
        <f t="shared" si="2"/>
        <v>939688.40683005599</v>
      </c>
      <c r="BC16" s="31">
        <f t="shared" si="2"/>
        <v>1629291.1015425182</v>
      </c>
      <c r="BD16" s="31">
        <f t="shared" si="2"/>
        <v>1914522.8839482572</v>
      </c>
      <c r="BE16" s="31">
        <f t="shared" si="2"/>
        <v>1872402.9793120252</v>
      </c>
      <c r="BF16" s="31">
        <f t="shared" si="2"/>
        <v>1636451.9009395053</v>
      </c>
      <c r="BG16" s="31">
        <f t="shared" si="2"/>
        <v>911499.56229718251</v>
      </c>
      <c r="BH16" s="31">
        <f t="shared" si="2"/>
        <v>419188.06590741291</v>
      </c>
      <c r="BI16" s="31">
        <f t="shared" si="2"/>
        <v>218636.09753267813</v>
      </c>
      <c r="BJ16" s="31">
        <f t="shared" si="2"/>
        <v>169659.99130029953</v>
      </c>
      <c r="BK16" s="31">
        <f t="shared" si="2"/>
        <v>166984.92405150621</v>
      </c>
      <c r="BL16" s="31">
        <f t="shared" si="2"/>
        <v>172446.13310315812</v>
      </c>
      <c r="BM16" s="31">
        <f t="shared" si="2"/>
        <v>341442.25925105542</v>
      </c>
      <c r="BN16" s="31">
        <f t="shared" si="2"/>
        <v>942144.69043653167</v>
      </c>
      <c r="BO16" s="31">
        <f t="shared" si="2"/>
        <v>1633392.5777489939</v>
      </c>
      <c r="BP16" s="31">
        <f t="shared" ref="BP16:CI16" si="3">BP13+BP14+BP15</f>
        <v>1919340.9954547328</v>
      </c>
      <c r="BQ16" s="31">
        <f t="shared" si="3"/>
        <v>1877662.8216185011</v>
      </c>
      <c r="BR16" s="31">
        <f t="shared" si="3"/>
        <v>1640150.745145981</v>
      </c>
      <c r="BS16" s="31">
        <f t="shared" si="3"/>
        <v>913780.60650365823</v>
      </c>
      <c r="BT16" s="31">
        <f t="shared" si="3"/>
        <v>420247.23011388863</v>
      </c>
      <c r="BU16" s="31">
        <f t="shared" si="3"/>
        <v>219205.81103915386</v>
      </c>
      <c r="BV16" s="31">
        <f t="shared" si="3"/>
        <v>170095.31550677525</v>
      </c>
      <c r="BW16" s="31">
        <f t="shared" si="3"/>
        <v>167420.24825798193</v>
      </c>
      <c r="BX16" s="31">
        <f t="shared" si="3"/>
        <v>172896.93730963385</v>
      </c>
      <c r="BY16" s="31">
        <f t="shared" si="3"/>
        <v>342326.14345753111</v>
      </c>
      <c r="BZ16" s="31">
        <f t="shared" si="3"/>
        <v>944585.57464300736</v>
      </c>
      <c r="CA16" s="31">
        <f t="shared" si="3"/>
        <v>1637494.1339554696</v>
      </c>
      <c r="CB16" s="31">
        <f t="shared" si="3"/>
        <v>1924159.1869612085</v>
      </c>
      <c r="CC16" s="31">
        <f t="shared" si="3"/>
        <v>1882922.7439249768</v>
      </c>
      <c r="CD16" s="31">
        <f t="shared" si="3"/>
        <v>1643867.3662524566</v>
      </c>
      <c r="CE16" s="31">
        <f t="shared" si="3"/>
        <v>916077.7146101339</v>
      </c>
      <c r="CF16" s="31">
        <f t="shared" si="3"/>
        <v>421306.39432036434</v>
      </c>
      <c r="CG16" s="31">
        <f t="shared" si="3"/>
        <v>219759.73524562959</v>
      </c>
      <c r="CH16" s="31">
        <f t="shared" si="3"/>
        <v>170530.63971325097</v>
      </c>
      <c r="CI16" s="31">
        <f t="shared" si="3"/>
        <v>167855.57246445765</v>
      </c>
    </row>
    <row r="17" spans="1:87" x14ac:dyDescent="0.2">
      <c r="A17" s="1">
        <v>7</v>
      </c>
      <c r="B17" s="16" t="s">
        <v>237</v>
      </c>
      <c r="C17" s="16"/>
      <c r="D17" s="93">
        <f>[6]Kentucky!$G$23</f>
        <v>6.6699000000000002</v>
      </c>
      <c r="E17" s="93">
        <f>[6]Kentucky!$G$22</f>
        <v>6.6699000000000002</v>
      </c>
      <c r="F17" s="93">
        <f>[6]Kentucky!$G$21</f>
        <v>5.7476000000000003</v>
      </c>
      <c r="G17" s="93">
        <f>[6]Kentucky!$G$20</f>
        <v>5.7476000000000003</v>
      </c>
      <c r="H17" s="93">
        <f>[6]Kentucky!$G$19</f>
        <v>5.8611000000000004</v>
      </c>
      <c r="I17" s="93">
        <f>[6]Kentucky!$G$18</f>
        <v>5.8914999999999997</v>
      </c>
      <c r="J17" s="93">
        <f>[6]Kentucky!$G$17</f>
        <v>5.8914999999999997</v>
      </c>
      <c r="K17" s="93">
        <f>[6]Kentucky!$G$16</f>
        <v>5.6984999999999992</v>
      </c>
      <c r="L17" s="93">
        <f>[6]Kentucky!$G$15</f>
        <v>5.1452</v>
      </c>
      <c r="M17" s="93">
        <f>[6]Kentucky!$G$14</f>
        <v>5.1452</v>
      </c>
      <c r="N17" s="93">
        <f>[6]Kentucky!$G$13</f>
        <v>5.1452</v>
      </c>
      <c r="O17" s="93">
        <f>[6]Kentucky!$G$12</f>
        <v>4.2233000000000001</v>
      </c>
      <c r="P17" s="93">
        <f>[6]Kentucky!$G$11</f>
        <v>4.2233000000000001</v>
      </c>
      <c r="Q17" s="93">
        <f>[6]Kentucky!$G$11</f>
        <v>4.2233000000000001</v>
      </c>
      <c r="R17" s="93">
        <f>[7]A.1!$I$24</f>
        <v>4.3381667607171224</v>
      </c>
      <c r="S17" s="93">
        <f>R17</f>
        <v>4.3381667607171224</v>
      </c>
      <c r="T17" s="93">
        <f>S17</f>
        <v>4.3381667607171224</v>
      </c>
      <c r="U17" s="93">
        <f>'Gas Cost Worksheet'!M97</f>
        <v>4.4924452138791438</v>
      </c>
      <c r="V17" s="93">
        <f>'Gas Cost Worksheet'!N97</f>
        <v>4.4924452138791438</v>
      </c>
      <c r="W17" s="93">
        <f>'Gas Cost Worksheet'!O97</f>
        <v>4.4924452138791438</v>
      </c>
      <c r="X17" s="93">
        <f>'Gas Cost Worksheet'!P97</f>
        <v>4.576446110502566</v>
      </c>
      <c r="Y17" s="93">
        <f>'Gas Cost Worksheet'!Q97</f>
        <v>4.576446110502566</v>
      </c>
      <c r="Z17" s="93">
        <f>'Gas Cost Worksheet'!R97</f>
        <v>4.576446110502566</v>
      </c>
      <c r="AA17" s="93">
        <f>'Gas Cost Worksheet'!S97</f>
        <v>4.6088710472168026</v>
      </c>
      <c r="AB17" s="93">
        <f>'Gas Cost Worksheet'!T97</f>
        <v>4.6088710472168026</v>
      </c>
      <c r="AC17" s="93">
        <f>'Gas Cost Worksheet'!U97</f>
        <v>4.6088710472168026</v>
      </c>
      <c r="AD17" s="93">
        <f>'Gas Cost Worksheet'!V97</f>
        <v>4.5535112981864572</v>
      </c>
      <c r="AE17" s="93">
        <f>'Gas Cost Worksheet'!W97</f>
        <v>4.5535112981864572</v>
      </c>
      <c r="AF17" s="93">
        <f>'Gas Cost Worksheet'!X97</f>
        <v>4.5535112981864572</v>
      </c>
      <c r="AG17" s="93">
        <f>'Gas Cost Worksheet'!Y97</f>
        <v>4.5576361502621516</v>
      </c>
      <c r="AH17" s="93">
        <f>'Gas Cost Worksheet'!Z97</f>
        <v>4.5576361502621516</v>
      </c>
      <c r="AI17" s="93">
        <f>'Gas Cost Worksheet'!AA97</f>
        <v>4.5576361502621516</v>
      </c>
      <c r="AJ17" s="93">
        <f>'Gas Cost Worksheet'!AB97</f>
        <v>4.83392198302381</v>
      </c>
      <c r="AK17" s="93">
        <f>'Gas Cost Worksheet'!AC97</f>
        <v>4.83392198302381</v>
      </c>
      <c r="AL17" s="93">
        <f>'Gas Cost Worksheet'!AD97</f>
        <v>4.83392198302381</v>
      </c>
      <c r="AM17" s="93">
        <f>'Gas Cost Worksheet'!AE97</f>
        <v>4.8519223754666072</v>
      </c>
      <c r="AN17" s="93">
        <f>'Gas Cost Worksheet'!AF97</f>
        <v>4.8519223754666072</v>
      </c>
      <c r="AO17" s="93">
        <f>'Gas Cost Worksheet'!AG97</f>
        <v>4.8519223754666072</v>
      </c>
      <c r="AP17" s="93">
        <f>'Gas Cost Worksheet'!AH97</f>
        <v>4.7235732633872862</v>
      </c>
      <c r="AQ17" s="93">
        <f>'Gas Cost Worksheet'!AI97</f>
        <v>4.7235732633872862</v>
      </c>
      <c r="AR17" s="93">
        <f>'Gas Cost Worksheet'!AJ97</f>
        <v>4.7235732633872862</v>
      </c>
      <c r="AS17" s="93">
        <f>'Gas Cost Worksheet'!AK97</f>
        <v>4.7016051095232001</v>
      </c>
      <c r="AT17" s="93">
        <f>'Gas Cost Worksheet'!AL97</f>
        <v>4.7016051095232001</v>
      </c>
      <c r="AU17" s="93">
        <f>'Gas Cost Worksheet'!AM97</f>
        <v>4.7016051095232001</v>
      </c>
      <c r="AV17" s="93">
        <f>'Gas Cost Worksheet'!AN97</f>
        <v>4.9184938000819312</v>
      </c>
      <c r="AW17" s="93">
        <f>'Gas Cost Worksheet'!AO97</f>
        <v>4.9184938000819312</v>
      </c>
      <c r="AX17" s="93">
        <f>'Gas Cost Worksheet'!AP97</f>
        <v>4.9184938000819312</v>
      </c>
      <c r="AY17" s="93">
        <f>'Gas Cost Worksheet'!AQ97</f>
        <v>4.9221234839243824</v>
      </c>
      <c r="AZ17" s="93">
        <f>'Gas Cost Worksheet'!AR97</f>
        <v>4.9221234839243824</v>
      </c>
      <c r="BA17" s="93">
        <f>'Gas Cost Worksheet'!AS97</f>
        <v>4.9221234839243824</v>
      </c>
      <c r="BB17" s="93">
        <f>'Gas Cost Worksheet'!AT97</f>
        <v>4.811658481577866</v>
      </c>
      <c r="BC17" s="93">
        <f>'Gas Cost Worksheet'!AU97</f>
        <v>4.811658481577866</v>
      </c>
      <c r="BD17" s="93">
        <f>'Gas Cost Worksheet'!AV97</f>
        <v>4.811658481577866</v>
      </c>
      <c r="BE17" s="93">
        <f>'Gas Cost Worksheet'!AW97</f>
        <v>4.795201887089128</v>
      </c>
      <c r="BF17" s="93">
        <f>'Gas Cost Worksheet'!AX97</f>
        <v>4.795201887089128</v>
      </c>
      <c r="BG17" s="93">
        <f>'Gas Cost Worksheet'!AY97</f>
        <v>4.795201887089128</v>
      </c>
      <c r="BH17" s="93">
        <f>'Gas Cost Worksheet'!AZ97</f>
        <v>5.0068912841604094</v>
      </c>
      <c r="BI17" s="93">
        <f>'Gas Cost Worksheet'!BA97</f>
        <v>5.0068912841604094</v>
      </c>
      <c r="BJ17" s="93">
        <f>'Gas Cost Worksheet'!BB97</f>
        <v>5.0068912841604094</v>
      </c>
      <c r="BK17" s="93">
        <f>'Gas Cost Worksheet'!BC97</f>
        <v>5.0138460799231694</v>
      </c>
      <c r="BL17" s="93">
        <f>'Gas Cost Worksheet'!BD97</f>
        <v>5.0138460799231694</v>
      </c>
      <c r="BM17" s="93">
        <f>'Gas Cost Worksheet'!BE97</f>
        <v>5.0138460799231694</v>
      </c>
      <c r="BN17" s="93">
        <f>'Gas Cost Worksheet'!BF97</f>
        <v>4.9176211320497707</v>
      </c>
      <c r="BO17" s="93">
        <f>'Gas Cost Worksheet'!BG97</f>
        <v>4.9176211320497707</v>
      </c>
      <c r="BP17" s="93">
        <f>'Gas Cost Worksheet'!BH97</f>
        <v>4.9176211320497707</v>
      </c>
      <c r="BQ17" s="93">
        <f>'Gas Cost Worksheet'!BI97</f>
        <v>4.9054463050499564</v>
      </c>
      <c r="BR17" s="93">
        <f>'Gas Cost Worksheet'!BJ97</f>
        <v>4.9054463050499564</v>
      </c>
      <c r="BS17" s="93">
        <f>'Gas Cost Worksheet'!BK97</f>
        <v>4.9054463050499564</v>
      </c>
      <c r="BT17" s="93">
        <f>'Gas Cost Worksheet'!BL97</f>
        <v>5.1288189327537044</v>
      </c>
      <c r="BU17" s="93">
        <f>'Gas Cost Worksheet'!BM97</f>
        <v>5.1288189327537044</v>
      </c>
      <c r="BV17" s="93">
        <f>'Gas Cost Worksheet'!BN97</f>
        <v>5.1288189327537044</v>
      </c>
      <c r="BW17" s="93">
        <f>'Gas Cost Worksheet'!BO97</f>
        <v>5.1452532950186676</v>
      </c>
      <c r="BX17" s="93">
        <f>'Gas Cost Worksheet'!BP97</f>
        <v>5.1452532950186676</v>
      </c>
      <c r="BY17" s="93">
        <f>'Gas Cost Worksheet'!BQ97</f>
        <v>5.1452532950186676</v>
      </c>
      <c r="BZ17" s="93">
        <f>'Gas Cost Worksheet'!BR97</f>
        <v>5.0525787355762493</v>
      </c>
      <c r="CA17" s="93">
        <f>'Gas Cost Worksheet'!BS97</f>
        <v>5.0525787355762493</v>
      </c>
      <c r="CB17" s="93">
        <f>'Gas Cost Worksheet'!BT97</f>
        <v>5.0525787355762493</v>
      </c>
      <c r="CC17" s="93">
        <f>'Gas Cost Worksheet'!BU97</f>
        <v>5.0418000232208371</v>
      </c>
      <c r="CD17" s="93">
        <f>'Gas Cost Worksheet'!BV97</f>
        <v>5.0418000232208371</v>
      </c>
      <c r="CE17" s="93">
        <f>'Gas Cost Worksheet'!BW97</f>
        <v>5.0418000232208371</v>
      </c>
      <c r="CF17" s="93">
        <f>'Gas Cost Worksheet'!BX97</f>
        <v>5.2763719984585293</v>
      </c>
      <c r="CG17" s="93">
        <f>'Gas Cost Worksheet'!BY97</f>
        <v>5.2763719984585293</v>
      </c>
      <c r="CH17" s="93">
        <f>'Gas Cost Worksheet'!BZ97</f>
        <v>5.2763719984585293</v>
      </c>
      <c r="CI17" s="93">
        <f>'Gas Cost Worksheet'!CA97</f>
        <v>5.3063335447273658</v>
      </c>
    </row>
    <row r="18" spans="1:87" x14ac:dyDescent="0.2">
      <c r="A18" s="1">
        <v>8</v>
      </c>
      <c r="B18" s="16" t="s">
        <v>229</v>
      </c>
      <c r="C18" s="16"/>
      <c r="D18" s="38">
        <f t="shared" ref="D18:J18" si="4">D17*D16</f>
        <v>1135164.22509294</v>
      </c>
      <c r="E18" s="38">
        <f t="shared" si="4"/>
        <v>2247807.6755717401</v>
      </c>
      <c r="F18" s="38">
        <f t="shared" si="4"/>
        <v>5344660.1648610402</v>
      </c>
      <c r="G18" s="38">
        <f t="shared" si="4"/>
        <v>9270225.689291561</v>
      </c>
      <c r="H18" s="38">
        <f t="shared" si="4"/>
        <v>11108165.659423351</v>
      </c>
      <c r="I18" s="38">
        <f t="shared" si="4"/>
        <v>10907147.832070248</v>
      </c>
      <c r="J18" s="38">
        <f t="shared" si="4"/>
        <v>9553576.9495876003</v>
      </c>
      <c r="K18" s="38">
        <f t="shared" ref="K18:P18" si="5">K17*K16</f>
        <v>5142007.5729139494</v>
      </c>
      <c r="L18" s="38">
        <f t="shared" si="5"/>
        <v>2134928.4170107199</v>
      </c>
      <c r="M18" s="38">
        <f t="shared" si="5"/>
        <v>1113529.0235751199</v>
      </c>
      <c r="N18" s="38">
        <f t="shared" si="5"/>
        <v>863973.18004828005</v>
      </c>
      <c r="O18" s="38">
        <f t="shared" si="5"/>
        <v>697875.12372423999</v>
      </c>
      <c r="P18" s="38">
        <f t="shared" si="5"/>
        <v>720676.22831373208</v>
      </c>
      <c r="Q18" s="38">
        <f t="shared" ref="Q18:BW18" si="6">Q17*Q16</f>
        <v>1427016.8785368765</v>
      </c>
      <c r="R18" s="38">
        <f t="shared" si="6"/>
        <v>4044692.3597423085</v>
      </c>
      <c r="S18" s="38">
        <f t="shared" si="6"/>
        <v>7014759.9193175668</v>
      </c>
      <c r="T18" s="38">
        <f t="shared" si="6"/>
        <v>8242747.6450694231</v>
      </c>
      <c r="U18" s="38">
        <f t="shared" si="6"/>
        <v>8340717.6945620207</v>
      </c>
      <c r="V18" s="38">
        <f t="shared" si="6"/>
        <v>7301583.0554814683</v>
      </c>
      <c r="W18" s="38">
        <f t="shared" si="6"/>
        <v>4063976.9123075693</v>
      </c>
      <c r="X18" s="38">
        <f t="shared" si="6"/>
        <v>1903778.0699645474</v>
      </c>
      <c r="Y18" s="38">
        <f t="shared" si="6"/>
        <v>992971.85450170073</v>
      </c>
      <c r="Z18" s="38">
        <f t="shared" si="6"/>
        <v>770463.09397955472</v>
      </c>
      <c r="AA18" s="38">
        <f t="shared" si="6"/>
        <v>763592.92238854792</v>
      </c>
      <c r="AB18" s="38">
        <f t="shared" si="6"/>
        <v>788548.89469807199</v>
      </c>
      <c r="AC18" s="38">
        <f t="shared" si="6"/>
        <v>1561371.5552235192</v>
      </c>
      <c r="AD18" s="38">
        <f t="shared" si="6"/>
        <v>4256583.1968719102</v>
      </c>
      <c r="AE18" s="38">
        <f t="shared" si="6"/>
        <v>7381644.2952603661</v>
      </c>
      <c r="AF18" s="38">
        <f t="shared" si="6"/>
        <v>8673924.0251763016</v>
      </c>
      <c r="AG18" s="38">
        <f t="shared" si="6"/>
        <v>8485722.9955485482</v>
      </c>
      <c r="AH18" s="38">
        <f t="shared" si="6"/>
        <v>7424475.7869072733</v>
      </c>
      <c r="AI18" s="38">
        <f t="shared" si="6"/>
        <v>4133418.5328126377</v>
      </c>
      <c r="AJ18" s="38">
        <f t="shared" si="6"/>
        <v>2016006.4339066844</v>
      </c>
      <c r="AK18" s="38">
        <f t="shared" si="6"/>
        <v>1051514.9720622853</v>
      </c>
      <c r="AL18" s="38">
        <f t="shared" si="6"/>
        <v>815914.51508329553</v>
      </c>
      <c r="AM18" s="38">
        <f t="shared" si="6"/>
        <v>805973.57085513137</v>
      </c>
      <c r="AN18" s="38">
        <f t="shared" si="6"/>
        <v>832320.71773319773</v>
      </c>
      <c r="AO18" s="38">
        <f t="shared" si="6"/>
        <v>1647999.6792070603</v>
      </c>
      <c r="AP18" s="38">
        <f t="shared" si="6"/>
        <v>4427157.527983645</v>
      </c>
      <c r="AQ18" s="38">
        <f t="shared" si="6"/>
        <v>7676702.6400575908</v>
      </c>
      <c r="AR18" s="38">
        <f t="shared" si="6"/>
        <v>9020630.7819549609</v>
      </c>
      <c r="AS18" s="38">
        <f t="shared" si="6"/>
        <v>8778503.1473611668</v>
      </c>
      <c r="AT18" s="38">
        <f t="shared" si="6"/>
        <v>7676477.0983543769</v>
      </c>
      <c r="AU18" s="38">
        <f t="shared" si="6"/>
        <v>4274711.4684066735</v>
      </c>
      <c r="AV18" s="38">
        <f t="shared" si="6"/>
        <v>2056564.4106511269</v>
      </c>
      <c r="AW18" s="38">
        <f t="shared" si="6"/>
        <v>1072636.0141530717</v>
      </c>
      <c r="AX18" s="38">
        <f t="shared" si="6"/>
        <v>832330.47592190118</v>
      </c>
      <c r="AY18" s="38">
        <f t="shared" si="6"/>
        <v>819777.69663543324</v>
      </c>
      <c r="AZ18" s="38">
        <f t="shared" si="6"/>
        <v>846582.24748765852</v>
      </c>
      <c r="BA18" s="38">
        <f t="shared" si="6"/>
        <v>1676194.5161791311</v>
      </c>
      <c r="BB18" s="38">
        <f t="shared" si="6"/>
        <v>4521459.692764231</v>
      </c>
      <c r="BC18" s="38">
        <f t="shared" si="6"/>
        <v>7839592.3476964021</v>
      </c>
      <c r="BD18" s="38">
        <f t="shared" si="6"/>
        <v>9212030.2727245484</v>
      </c>
      <c r="BE18" s="38">
        <f t="shared" si="6"/>
        <v>8978550.2997883298</v>
      </c>
      <c r="BF18" s="38">
        <f t="shared" si="6"/>
        <v>7847117.2435157066</v>
      </c>
      <c r="BG18" s="38">
        <f t="shared" si="6"/>
        <v>4370824.421208364</v>
      </c>
      <c r="BH18" s="38">
        <f t="shared" si="6"/>
        <v>2098829.0736158849</v>
      </c>
      <c r="BI18" s="38">
        <f t="shared" si="6"/>
        <v>1094687.1711392114</v>
      </c>
      <c r="BJ18" s="38">
        <f t="shared" si="6"/>
        <v>849469.13171220059</v>
      </c>
      <c r="BK18" s="38">
        <f t="shared" si="6"/>
        <v>837236.70686191262</v>
      </c>
      <c r="BL18" s="38">
        <f t="shared" si="6"/>
        <v>864618.36845717847</v>
      </c>
      <c r="BM18" s="38">
        <f t="shared" si="6"/>
        <v>1711938.9330660147</v>
      </c>
      <c r="BN18" s="38">
        <f t="shared" si="6"/>
        <v>4633110.6391391773</v>
      </c>
      <c r="BO18" s="38">
        <f t="shared" si="6"/>
        <v>8032405.8572717002</v>
      </c>
      <c r="BP18" s="38">
        <f t="shared" si="6"/>
        <v>9438591.8388576377</v>
      </c>
      <c r="BQ18" s="38">
        <f t="shared" si="6"/>
        <v>9210774.1504381523</v>
      </c>
      <c r="BR18" s="38">
        <f t="shared" si="6"/>
        <v>8045671.4125012849</v>
      </c>
      <c r="BS18" s="38">
        <f t="shared" si="6"/>
        <v>4482501.6997996783</v>
      </c>
      <c r="BT18" s="38">
        <f t="shared" si="6"/>
        <v>2155371.9502454149</v>
      </c>
      <c r="BU18" s="38">
        <f t="shared" si="6"/>
        <v>1124266.9138272433</v>
      </c>
      <c r="BV18" s="38">
        <f t="shared" si="6"/>
        <v>872388.07454386365</v>
      </c>
      <c r="BW18" s="38">
        <f t="shared" si="6"/>
        <v>861419.58400222484</v>
      </c>
      <c r="BX18" s="38">
        <f t="shared" ref="BX18:CI18" si="7">BX17*BX16</f>
        <v>889598.5363910296</v>
      </c>
      <c r="BY18" s="38">
        <f t="shared" si="7"/>
        <v>1761354.7175958951</v>
      </c>
      <c r="BZ18" s="38">
        <f t="shared" si="7"/>
        <v>4772592.9883733308</v>
      </c>
      <c r="CA18" s="38">
        <f t="shared" si="7"/>
        <v>8273568.0408542519</v>
      </c>
      <c r="CB18" s="38">
        <f t="shared" si="7"/>
        <v>9721965.7919038869</v>
      </c>
      <c r="CC18" s="38">
        <f t="shared" si="7"/>
        <v>9493319.9340439904</v>
      </c>
      <c r="CD18" s="38">
        <f t="shared" si="7"/>
        <v>8288050.5253436118</v>
      </c>
      <c r="CE18" s="38">
        <f t="shared" si="7"/>
        <v>4618680.6427934645</v>
      </c>
      <c r="CF18" s="38">
        <f t="shared" si="7"/>
        <v>2222969.2617634982</v>
      </c>
      <c r="CG18" s="38">
        <f t="shared" si="7"/>
        <v>1159534.1134386999</v>
      </c>
      <c r="CH18" s="38">
        <f t="shared" si="7"/>
        <v>899783.09226221754</v>
      </c>
      <c r="CI18" s="38">
        <f t="shared" si="7"/>
        <v>890697.65483756678</v>
      </c>
    </row>
    <row r="19" spans="1:87" x14ac:dyDescent="0.2">
      <c r="A19" s="1">
        <v>9</v>
      </c>
      <c r="C19" s="7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70"/>
      <c r="Q19" s="70"/>
      <c r="R19" s="70"/>
      <c r="S19" s="70"/>
      <c r="T19" s="1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1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1"/>
    </row>
    <row r="20" spans="1:87" x14ac:dyDescent="0.2">
      <c r="A20" s="1">
        <v>10</v>
      </c>
      <c r="B20" s="35" t="s">
        <v>31</v>
      </c>
      <c r="C20" s="1"/>
      <c r="D20" s="101">
        <f>D21*$C$21+D22*$C$22+D23*$C$23+D24*$C$24</f>
        <v>998113.85135664651</v>
      </c>
      <c r="E20" s="101">
        <f t="shared" ref="E20:BP20" si="8">E21*$C$21+E22*$C$22+E23*$C$23+E24*$C$24</f>
        <v>1075489.2735885207</v>
      </c>
      <c r="F20" s="101">
        <f t="shared" si="8"/>
        <v>1389050.7241869851</v>
      </c>
      <c r="G20" s="101">
        <f t="shared" si="8"/>
        <v>1773676.193082958</v>
      </c>
      <c r="H20" s="101">
        <f t="shared" si="8"/>
        <v>1919276.9547644551</v>
      </c>
      <c r="I20" s="101">
        <f t="shared" si="8"/>
        <v>1841641.9305455415</v>
      </c>
      <c r="J20" s="101">
        <f t="shared" si="8"/>
        <v>1837476.9943255384</v>
      </c>
      <c r="K20" s="101">
        <f t="shared" si="8"/>
        <v>1423016.6553473328</v>
      </c>
      <c r="L20" s="101">
        <f t="shared" si="8"/>
        <v>1156600.840484309</v>
      </c>
      <c r="M20" s="101">
        <f t="shared" si="8"/>
        <v>1054766.9606299822</v>
      </c>
      <c r="N20" s="101">
        <f t="shared" si="8"/>
        <v>1023645.2076490484</v>
      </c>
      <c r="O20" s="101">
        <f t="shared" si="8"/>
        <v>1000785.2950254441</v>
      </c>
      <c r="P20" s="101">
        <f t="shared" si="8"/>
        <v>998113.85135664651</v>
      </c>
      <c r="Q20" s="101">
        <f t="shared" si="8"/>
        <v>1075489.2735885207</v>
      </c>
      <c r="R20" s="101">
        <f t="shared" si="8"/>
        <v>1389050.7241869851</v>
      </c>
      <c r="S20" s="101">
        <f t="shared" si="8"/>
        <v>1773676.193082958</v>
      </c>
      <c r="T20" s="101">
        <f t="shared" si="8"/>
        <v>1919276.9547644551</v>
      </c>
      <c r="U20" s="101">
        <f t="shared" si="8"/>
        <v>1841641.9305455415</v>
      </c>
      <c r="V20" s="101">
        <f t="shared" si="8"/>
        <v>1837476.9943255384</v>
      </c>
      <c r="W20" s="101">
        <f t="shared" si="8"/>
        <v>1423016.6553473328</v>
      </c>
      <c r="X20" s="101">
        <f t="shared" si="8"/>
        <v>1156600.840484309</v>
      </c>
      <c r="Y20" s="101">
        <f t="shared" si="8"/>
        <v>1054766.9606299822</v>
      </c>
      <c r="Z20" s="101">
        <f t="shared" si="8"/>
        <v>1023645.2076490484</v>
      </c>
      <c r="AA20" s="101">
        <f t="shared" si="8"/>
        <v>1000785.2950254441</v>
      </c>
      <c r="AB20" s="101">
        <f t="shared" si="8"/>
        <v>998113.85135664651</v>
      </c>
      <c r="AC20" s="101">
        <f t="shared" si="8"/>
        <v>1075489.2735885207</v>
      </c>
      <c r="AD20" s="101">
        <f t="shared" si="8"/>
        <v>1389050.7241869851</v>
      </c>
      <c r="AE20" s="101">
        <f t="shared" si="8"/>
        <v>1773676.193082958</v>
      </c>
      <c r="AF20" s="101">
        <f t="shared" si="8"/>
        <v>1919276.9547644551</v>
      </c>
      <c r="AG20" s="101">
        <f t="shared" si="8"/>
        <v>1841641.9305455415</v>
      </c>
      <c r="AH20" s="101">
        <f t="shared" si="8"/>
        <v>1837476.9943255384</v>
      </c>
      <c r="AI20" s="101">
        <f t="shared" si="8"/>
        <v>1423016.6553473328</v>
      </c>
      <c r="AJ20" s="101">
        <f t="shared" si="8"/>
        <v>1156600.840484309</v>
      </c>
      <c r="AK20" s="101">
        <f t="shared" si="8"/>
        <v>1054766.9606299822</v>
      </c>
      <c r="AL20" s="101">
        <f t="shared" si="8"/>
        <v>1023645.2076490484</v>
      </c>
      <c r="AM20" s="101">
        <f t="shared" si="8"/>
        <v>1000785.2950254441</v>
      </c>
      <c r="AN20" s="101">
        <f t="shared" si="8"/>
        <v>998113.85135664651</v>
      </c>
      <c r="AO20" s="101">
        <f t="shared" si="8"/>
        <v>1075489.2735885207</v>
      </c>
      <c r="AP20" s="101">
        <f t="shared" si="8"/>
        <v>1389050.7241869851</v>
      </c>
      <c r="AQ20" s="101">
        <f t="shared" si="8"/>
        <v>1773676.193082958</v>
      </c>
      <c r="AR20" s="101">
        <f t="shared" si="8"/>
        <v>1919276.9547644551</v>
      </c>
      <c r="AS20" s="101">
        <f t="shared" si="8"/>
        <v>1841641.9305455415</v>
      </c>
      <c r="AT20" s="101">
        <f t="shared" si="8"/>
        <v>1837476.9943255384</v>
      </c>
      <c r="AU20" s="101">
        <f t="shared" si="8"/>
        <v>1423016.6553473328</v>
      </c>
      <c r="AV20" s="101">
        <f t="shared" si="8"/>
        <v>1156600.840484309</v>
      </c>
      <c r="AW20" s="101">
        <f t="shared" si="8"/>
        <v>1054766.9606299822</v>
      </c>
      <c r="AX20" s="101">
        <f t="shared" si="8"/>
        <v>1023645.2076490484</v>
      </c>
      <c r="AY20" s="101">
        <f t="shared" si="8"/>
        <v>1000785.2950254441</v>
      </c>
      <c r="AZ20" s="101">
        <f t="shared" si="8"/>
        <v>998113.85135664651</v>
      </c>
      <c r="BA20" s="101">
        <f t="shared" si="8"/>
        <v>1075489.2735885207</v>
      </c>
      <c r="BB20" s="101">
        <f t="shared" si="8"/>
        <v>1389050.7241869851</v>
      </c>
      <c r="BC20" s="101">
        <f t="shared" si="8"/>
        <v>1773676.193082958</v>
      </c>
      <c r="BD20" s="101">
        <f t="shared" si="8"/>
        <v>1919276.9547644551</v>
      </c>
      <c r="BE20" s="101">
        <f t="shared" si="8"/>
        <v>1841641.9305455415</v>
      </c>
      <c r="BF20" s="101">
        <f t="shared" si="8"/>
        <v>1837476.9943255384</v>
      </c>
      <c r="BG20" s="101">
        <f t="shared" si="8"/>
        <v>1423016.6553473328</v>
      </c>
      <c r="BH20" s="101">
        <f t="shared" si="8"/>
        <v>1156600.840484309</v>
      </c>
      <c r="BI20" s="101">
        <f t="shared" si="8"/>
        <v>1054766.9606299822</v>
      </c>
      <c r="BJ20" s="101">
        <f t="shared" si="8"/>
        <v>1023645.2076490484</v>
      </c>
      <c r="BK20" s="101">
        <f t="shared" si="8"/>
        <v>1000785.2950254441</v>
      </c>
      <c r="BL20" s="101">
        <f t="shared" si="8"/>
        <v>998113.85135664651</v>
      </c>
      <c r="BM20" s="101">
        <f t="shared" si="8"/>
        <v>1075489.2735885207</v>
      </c>
      <c r="BN20" s="101">
        <f t="shared" si="8"/>
        <v>1389050.7241869851</v>
      </c>
      <c r="BO20" s="101">
        <f t="shared" si="8"/>
        <v>1773676.193082958</v>
      </c>
      <c r="BP20" s="101">
        <f t="shared" si="8"/>
        <v>1919276.9547644551</v>
      </c>
      <c r="BQ20" s="101">
        <f t="shared" ref="BQ20:CI20" si="9">BQ21*$C$21+BQ22*$C$22+BQ23*$C$23+BQ24*$C$24</f>
        <v>1841641.9305455415</v>
      </c>
      <c r="BR20" s="101">
        <f t="shared" si="9"/>
        <v>1837476.9943255384</v>
      </c>
      <c r="BS20" s="101">
        <f t="shared" si="9"/>
        <v>1423016.6553473328</v>
      </c>
      <c r="BT20" s="101">
        <f t="shared" si="9"/>
        <v>1156600.840484309</v>
      </c>
      <c r="BU20" s="101">
        <f t="shared" si="9"/>
        <v>1054766.9606299822</v>
      </c>
      <c r="BV20" s="101">
        <f t="shared" si="9"/>
        <v>1023645.2076490484</v>
      </c>
      <c r="BW20" s="101">
        <f t="shared" si="9"/>
        <v>1000785.2950254441</v>
      </c>
      <c r="BX20" s="101">
        <f t="shared" si="9"/>
        <v>998113.85135664651</v>
      </c>
      <c r="BY20" s="101">
        <f t="shared" si="9"/>
        <v>1075489.2735885207</v>
      </c>
      <c r="BZ20" s="101">
        <f t="shared" si="9"/>
        <v>1389050.7241869851</v>
      </c>
      <c r="CA20" s="101">
        <f t="shared" si="9"/>
        <v>1773676.193082958</v>
      </c>
      <c r="CB20" s="101">
        <f t="shared" si="9"/>
        <v>1919276.9547644551</v>
      </c>
      <c r="CC20" s="101">
        <f t="shared" si="9"/>
        <v>1841641.9305455415</v>
      </c>
      <c r="CD20" s="101">
        <f t="shared" si="9"/>
        <v>1837476.9943255384</v>
      </c>
      <c r="CE20" s="101">
        <f t="shared" si="9"/>
        <v>1423016.6553473328</v>
      </c>
      <c r="CF20" s="101">
        <f t="shared" si="9"/>
        <v>1156600.840484309</v>
      </c>
      <c r="CG20" s="101">
        <f t="shared" si="9"/>
        <v>1054766.9606299822</v>
      </c>
      <c r="CH20" s="101">
        <f t="shared" si="9"/>
        <v>1023645.2076490484</v>
      </c>
      <c r="CI20" s="101">
        <f t="shared" si="9"/>
        <v>1000785.2950254441</v>
      </c>
    </row>
    <row r="21" spans="1:87" x14ac:dyDescent="0.2">
      <c r="A21" s="1">
        <v>11</v>
      </c>
      <c r="B21" s="1" t="s">
        <v>23</v>
      </c>
      <c r="C21" s="99">
        <f>'Rate Design'!F13</f>
        <v>48.44</v>
      </c>
      <c r="D21" s="70">
        <f>'Bill Frequency'!C20</f>
        <v>16763</v>
      </c>
      <c r="E21" s="70">
        <f>'Bill Frequency'!D20</f>
        <v>16900</v>
      </c>
      <c r="F21" s="70">
        <f>'Bill Frequency'!E20</f>
        <v>16920</v>
      </c>
      <c r="G21" s="70">
        <f>'Bill Frequency'!F20</f>
        <v>17698</v>
      </c>
      <c r="H21" s="70">
        <f>'Bill Frequency'!G20</f>
        <v>17809</v>
      </c>
      <c r="I21" s="70">
        <f>'Bill Frequency'!H20</f>
        <v>16330</v>
      </c>
      <c r="J21" s="70">
        <f>'Bill Frequency'!I20</f>
        <v>19213</v>
      </c>
      <c r="K21" s="70">
        <f>'Bill Frequency'!J20</f>
        <v>17745</v>
      </c>
      <c r="L21" s="70">
        <f>'Bill Frequency'!K20</f>
        <v>17372</v>
      </c>
      <c r="M21" s="70">
        <f>'Bill Frequency'!L20</f>
        <v>17239</v>
      </c>
      <c r="N21" s="70">
        <f>'Bill Frequency'!M20</f>
        <v>17099</v>
      </c>
      <c r="O21" s="70">
        <f>'Bill Frequency'!N20</f>
        <v>16768</v>
      </c>
      <c r="P21" s="70">
        <f>WNA!O57</f>
        <v>16763</v>
      </c>
      <c r="Q21" s="70">
        <f>WNA!P57</f>
        <v>16900</v>
      </c>
      <c r="R21" s="70">
        <f>WNA!Q57</f>
        <v>16920</v>
      </c>
      <c r="S21" s="70">
        <f>WNA!R57</f>
        <v>17698</v>
      </c>
      <c r="T21" s="70">
        <f>WNA!S57</f>
        <v>17809</v>
      </c>
      <c r="U21" s="70">
        <f>WNA!T57</f>
        <v>16330</v>
      </c>
      <c r="V21" s="70">
        <f>WNA!U57</f>
        <v>19213</v>
      </c>
      <c r="W21" s="70">
        <f>WNA!V57</f>
        <v>17745</v>
      </c>
      <c r="X21" s="70">
        <f>WNA!W57</f>
        <v>17372</v>
      </c>
      <c r="Y21" s="70">
        <f>WNA!X57</f>
        <v>17239</v>
      </c>
      <c r="Z21" s="70">
        <f>WNA!Y57</f>
        <v>17099</v>
      </c>
      <c r="AA21" s="70">
        <f>WNA!Z57</f>
        <v>16768</v>
      </c>
      <c r="AB21" s="70">
        <f>WNA!AA57</f>
        <v>16763</v>
      </c>
      <c r="AC21" s="70">
        <f>WNA!AB57</f>
        <v>16900</v>
      </c>
      <c r="AD21" s="70">
        <f>WNA!AC57</f>
        <v>16920</v>
      </c>
      <c r="AE21" s="70">
        <f>WNA!AD57</f>
        <v>17698</v>
      </c>
      <c r="AF21" s="70">
        <f>WNA!AE57</f>
        <v>17809</v>
      </c>
      <c r="AG21" s="70">
        <f>WNA!AF57</f>
        <v>16330</v>
      </c>
      <c r="AH21" s="70">
        <f>WNA!AG57</f>
        <v>19213</v>
      </c>
      <c r="AI21" s="70">
        <f>WNA!AH57</f>
        <v>17745</v>
      </c>
      <c r="AJ21" s="70">
        <f>WNA!AI57</f>
        <v>17372</v>
      </c>
      <c r="AK21" s="70">
        <f>WNA!AJ57</f>
        <v>17239</v>
      </c>
      <c r="AL21" s="70">
        <f>WNA!AK57</f>
        <v>17099</v>
      </c>
      <c r="AM21" s="70">
        <f>WNA!AL57</f>
        <v>16768</v>
      </c>
      <c r="AN21" s="70">
        <f>WNA!AM57</f>
        <v>16763</v>
      </c>
      <c r="AO21" s="70">
        <f>WNA!AN57</f>
        <v>16900</v>
      </c>
      <c r="AP21" s="70">
        <f>WNA!AO57</f>
        <v>16920</v>
      </c>
      <c r="AQ21" s="70">
        <f>WNA!AP57</f>
        <v>17698</v>
      </c>
      <c r="AR21" s="70">
        <f>WNA!AQ57</f>
        <v>17809</v>
      </c>
      <c r="AS21" s="70">
        <f>WNA!AR57</f>
        <v>16330</v>
      </c>
      <c r="AT21" s="70">
        <f>WNA!AS57</f>
        <v>19213</v>
      </c>
      <c r="AU21" s="70">
        <f>WNA!AT57</f>
        <v>17745</v>
      </c>
      <c r="AV21" s="70">
        <f>WNA!AU57</f>
        <v>17372</v>
      </c>
      <c r="AW21" s="70">
        <f>WNA!AV57</f>
        <v>17239</v>
      </c>
      <c r="AX21" s="70">
        <f>WNA!AW57</f>
        <v>17099</v>
      </c>
      <c r="AY21" s="70">
        <f>WNA!AX57</f>
        <v>16768</v>
      </c>
      <c r="AZ21" s="70">
        <f>WNA!AY57</f>
        <v>16763</v>
      </c>
      <c r="BA21" s="70">
        <f>WNA!AZ57</f>
        <v>16900</v>
      </c>
      <c r="BB21" s="70">
        <f>WNA!BA57</f>
        <v>16920</v>
      </c>
      <c r="BC21" s="70">
        <f>WNA!BB57</f>
        <v>17698</v>
      </c>
      <c r="BD21" s="70">
        <f>WNA!BC57</f>
        <v>17809</v>
      </c>
      <c r="BE21" s="70">
        <f>WNA!BD57</f>
        <v>16330</v>
      </c>
      <c r="BF21" s="70">
        <f>WNA!BE57</f>
        <v>19213</v>
      </c>
      <c r="BG21" s="70">
        <f>WNA!BF57</f>
        <v>17745</v>
      </c>
      <c r="BH21" s="70">
        <f>WNA!BG57</f>
        <v>17372</v>
      </c>
      <c r="BI21" s="70">
        <f>WNA!BH57</f>
        <v>17239</v>
      </c>
      <c r="BJ21" s="70">
        <f>WNA!BI57</f>
        <v>17099</v>
      </c>
      <c r="BK21" s="70">
        <f>WNA!BJ57</f>
        <v>16768</v>
      </c>
      <c r="BL21" s="70">
        <f>WNA!BK57</f>
        <v>16763</v>
      </c>
      <c r="BM21" s="70">
        <f>WNA!BL57</f>
        <v>16900</v>
      </c>
      <c r="BN21" s="70">
        <f>WNA!BM57</f>
        <v>16920</v>
      </c>
      <c r="BO21" s="70">
        <f>WNA!BN57</f>
        <v>17698</v>
      </c>
      <c r="BP21" s="70">
        <f>WNA!BO57</f>
        <v>17809</v>
      </c>
      <c r="BQ21" s="70">
        <f>WNA!BP57</f>
        <v>16330</v>
      </c>
      <c r="BR21" s="70">
        <f>WNA!BQ57</f>
        <v>19213</v>
      </c>
      <c r="BS21" s="70">
        <f>WNA!BR57</f>
        <v>17745</v>
      </c>
      <c r="BT21" s="70">
        <f>WNA!BS57</f>
        <v>17372</v>
      </c>
      <c r="BU21" s="70">
        <f>WNA!BT57</f>
        <v>17239</v>
      </c>
      <c r="BV21" s="70">
        <f>WNA!BU57</f>
        <v>17099</v>
      </c>
      <c r="BW21" s="70">
        <f>WNA!BV57</f>
        <v>16768</v>
      </c>
      <c r="BX21" s="70">
        <f>WNA!BW57</f>
        <v>16763</v>
      </c>
      <c r="BY21" s="70">
        <f>WNA!BX57</f>
        <v>16900</v>
      </c>
      <c r="BZ21" s="70">
        <f>WNA!BY57</f>
        <v>16920</v>
      </c>
      <c r="CA21" s="70">
        <f>WNA!BZ57</f>
        <v>17698</v>
      </c>
      <c r="CB21" s="70">
        <f>WNA!CA57</f>
        <v>17809</v>
      </c>
      <c r="CC21" s="70">
        <f>WNA!CB57</f>
        <v>16330</v>
      </c>
      <c r="CD21" s="70">
        <f>WNA!CC57</f>
        <v>19213</v>
      </c>
      <c r="CE21" s="70">
        <f>WNA!CD57</f>
        <v>17745</v>
      </c>
      <c r="CF21" s="70">
        <f>WNA!CE57</f>
        <v>17372</v>
      </c>
      <c r="CG21" s="70">
        <f>WNA!CF57</f>
        <v>17239</v>
      </c>
      <c r="CH21" s="70">
        <f>WNA!CG57</f>
        <v>17099</v>
      </c>
      <c r="CI21" s="70">
        <f>WNA!CH57</f>
        <v>16768</v>
      </c>
    </row>
    <row r="22" spans="1:87" x14ac:dyDescent="0.2">
      <c r="A22" s="1">
        <v>12</v>
      </c>
      <c r="B22" s="1" t="s">
        <v>24</v>
      </c>
      <c r="C22" s="14">
        <f>C13</f>
        <v>1.3180000000000001</v>
      </c>
      <c r="D22" s="70">
        <f>'Bill Frequency'!C21+WNA!C65+'Contract &amp; Vol Adj'!C21</f>
        <v>120243.96063161312</v>
      </c>
      <c r="E22" s="70">
        <f>'Bill Frequency'!D21+WNA!D65+'Contract &amp; Vol Adj'!D21</f>
        <v>150843.60552630303</v>
      </c>
      <c r="F22" s="70">
        <f>'Bill Frequency'!E21+WNA!E65+'Contract &amp; Vol Adj'!E21</f>
        <v>401776.07452736335</v>
      </c>
      <c r="G22" s="70">
        <f>'Bill Frequency'!F21+WNA!F65+'Contract &amp; Vol Adj'!F21</f>
        <v>641864.19765058928</v>
      </c>
      <c r="H22" s="70">
        <f>'Bill Frequency'!G21+WNA!G65+'Contract &amp; Vol Adj'!G21</f>
        <v>728984.00406496658</v>
      </c>
      <c r="I22" s="70">
        <f>'Bill Frequency'!H21+WNA!H65+'Contract &amp; Vol Adj'!H21</f>
        <v>728067.37103548297</v>
      </c>
      <c r="J22" s="70">
        <f>'Bill Frequency'!I21+WNA!I65+'Contract &amp; Vol Adj'!I21</f>
        <v>626175.40890762198</v>
      </c>
      <c r="K22" s="70">
        <f>'Bill Frequency'!J21+WNA!J65+'Contract &amp; Vol Adj'!J21</f>
        <v>394045.48316742701</v>
      </c>
      <c r="L22" s="70">
        <f>'Bill Frequency'!K21+WNA!K65+'Contract &amp; Vol Adj'!K21</f>
        <v>218235.3686491072</v>
      </c>
      <c r="M22" s="70">
        <f>'Bill Frequency'!L21+WNA!L65+'Contract &amp; Vol Adj'!L21</f>
        <v>157105.54247941135</v>
      </c>
      <c r="N22" s="70">
        <f>'Bill Frequency'!M21+WNA!M65+'Contract &amp; Vol Adj'!M21</f>
        <v>139909.19013938011</v>
      </c>
      <c r="O22" s="70">
        <f>'Bill Frequency'!N21+WNA!N65+'Contract &amp; Vol Adj'!N21</f>
        <v>130250.76022247532</v>
      </c>
      <c r="P22" s="70">
        <f>D22+WNA!O65</f>
        <v>120243.96063161312</v>
      </c>
      <c r="Q22" s="70">
        <f>E22+WNA!P65</f>
        <v>150843.60552630303</v>
      </c>
      <c r="R22" s="70">
        <f>F22+WNA!Q65</f>
        <v>401776.07452736335</v>
      </c>
      <c r="S22" s="70">
        <f>G22+WNA!R65</f>
        <v>641864.19765058928</v>
      </c>
      <c r="T22" s="70">
        <f>H22+WNA!S65</f>
        <v>728984.00406496658</v>
      </c>
      <c r="U22" s="70">
        <f>I22+WNA!T65</f>
        <v>728067.37103548297</v>
      </c>
      <c r="V22" s="70">
        <f>J22+WNA!U65</f>
        <v>626175.40890762198</v>
      </c>
      <c r="W22" s="70">
        <f>K22+WNA!V65</f>
        <v>394045.48316742701</v>
      </c>
      <c r="X22" s="70">
        <f>L22+WNA!W65</f>
        <v>218235.3686491072</v>
      </c>
      <c r="Y22" s="70">
        <f>M22+WNA!X65</f>
        <v>157105.54247941135</v>
      </c>
      <c r="Z22" s="70">
        <f>N22+WNA!Y65</f>
        <v>139909.19013938011</v>
      </c>
      <c r="AA22" s="70">
        <f>O22+WNA!Z65</f>
        <v>130250.76022247532</v>
      </c>
      <c r="AB22" s="70">
        <f>P22+WNA!AA65</f>
        <v>120243.96063161312</v>
      </c>
      <c r="AC22" s="70">
        <f>Q22+WNA!AB65</f>
        <v>150843.60552630303</v>
      </c>
      <c r="AD22" s="70">
        <f>R22+WNA!AC65</f>
        <v>401776.07452736335</v>
      </c>
      <c r="AE22" s="70">
        <f>S22+WNA!AD65</f>
        <v>641864.19765058928</v>
      </c>
      <c r="AF22" s="70">
        <f>T22+WNA!AE65</f>
        <v>728984.00406496658</v>
      </c>
      <c r="AG22" s="70">
        <f>U22+WNA!AF65</f>
        <v>728067.37103548297</v>
      </c>
      <c r="AH22" s="70">
        <f>V22+WNA!AG65</f>
        <v>626175.40890762198</v>
      </c>
      <c r="AI22" s="70">
        <f>W22+WNA!AH65</f>
        <v>394045.48316742701</v>
      </c>
      <c r="AJ22" s="70">
        <f>X22+WNA!AI65</f>
        <v>218235.3686491072</v>
      </c>
      <c r="AK22" s="70">
        <f>Y22+WNA!AJ65</f>
        <v>157105.54247941135</v>
      </c>
      <c r="AL22" s="70">
        <f>Z22+WNA!AK65</f>
        <v>139909.19013938011</v>
      </c>
      <c r="AM22" s="70">
        <f>AA22+WNA!AL65</f>
        <v>130250.76022247532</v>
      </c>
      <c r="AN22" s="70">
        <f>AB22+WNA!AM65</f>
        <v>120243.96063161312</v>
      </c>
      <c r="AO22" s="70">
        <f>AC22+WNA!AN65</f>
        <v>150843.60552630303</v>
      </c>
      <c r="AP22" s="70">
        <f>AD22+WNA!AO65</f>
        <v>401776.07452736335</v>
      </c>
      <c r="AQ22" s="70">
        <f>AE22+WNA!AP65</f>
        <v>641864.19765058928</v>
      </c>
      <c r="AR22" s="70">
        <f>AF22+WNA!AQ65</f>
        <v>728984.00406496658</v>
      </c>
      <c r="AS22" s="70">
        <f>AG22+WNA!AR65</f>
        <v>728067.37103548297</v>
      </c>
      <c r="AT22" s="70">
        <f>AH22+WNA!AS65</f>
        <v>626175.40890762198</v>
      </c>
      <c r="AU22" s="70">
        <f>AI22+WNA!AT65</f>
        <v>394045.48316742701</v>
      </c>
      <c r="AV22" s="70">
        <f>AJ22+WNA!AU65</f>
        <v>218235.3686491072</v>
      </c>
      <c r="AW22" s="70">
        <f>AK22+WNA!AV65</f>
        <v>157105.54247941135</v>
      </c>
      <c r="AX22" s="70">
        <f>AL22+WNA!AW65</f>
        <v>139909.19013938011</v>
      </c>
      <c r="AY22" s="70">
        <f>AM22+WNA!AX65</f>
        <v>130250.76022247532</v>
      </c>
      <c r="AZ22" s="70">
        <f>AN22+WNA!AY65</f>
        <v>120243.96063161312</v>
      </c>
      <c r="BA22" s="70">
        <f>AO22+WNA!AZ65</f>
        <v>150843.60552630303</v>
      </c>
      <c r="BB22" s="70">
        <f>AP22+WNA!BA65</f>
        <v>401776.07452736335</v>
      </c>
      <c r="BC22" s="70">
        <f>AQ22+WNA!BB65</f>
        <v>641864.19765058928</v>
      </c>
      <c r="BD22" s="70">
        <f>AR22+WNA!BC65</f>
        <v>728984.00406496658</v>
      </c>
      <c r="BE22" s="70">
        <f>AS22+WNA!BD65</f>
        <v>728067.37103548297</v>
      </c>
      <c r="BF22" s="70">
        <f>AT22+WNA!BE65</f>
        <v>626175.40890762198</v>
      </c>
      <c r="BG22" s="70">
        <f>AU22+WNA!BF65</f>
        <v>394045.48316742701</v>
      </c>
      <c r="BH22" s="70">
        <f>AV22+WNA!BG65</f>
        <v>218235.3686491072</v>
      </c>
      <c r="BI22" s="70">
        <f>AW22+WNA!BH65</f>
        <v>157105.54247941135</v>
      </c>
      <c r="BJ22" s="70">
        <f>AX22+WNA!BI65</f>
        <v>139909.19013938011</v>
      </c>
      <c r="BK22" s="70">
        <f>AY22+WNA!BJ65</f>
        <v>130250.76022247532</v>
      </c>
      <c r="BL22" s="70">
        <f>AZ22+WNA!BK65</f>
        <v>120243.96063161312</v>
      </c>
      <c r="BM22" s="70">
        <f>BA22+WNA!BL65</f>
        <v>150843.60552630303</v>
      </c>
      <c r="BN22" s="70">
        <f>BB22+WNA!BM65</f>
        <v>401776.07452736335</v>
      </c>
      <c r="BO22" s="70">
        <f>BC22+WNA!BN65</f>
        <v>641864.19765058928</v>
      </c>
      <c r="BP22" s="70">
        <f>BD22+WNA!BO65</f>
        <v>728984.00406496658</v>
      </c>
      <c r="BQ22" s="70">
        <f>BE22+WNA!BP65</f>
        <v>728067.37103548297</v>
      </c>
      <c r="BR22" s="70">
        <f>BF22+WNA!BQ65</f>
        <v>626175.40890762198</v>
      </c>
      <c r="BS22" s="70">
        <f>BG22+WNA!BR65</f>
        <v>394045.48316742701</v>
      </c>
      <c r="BT22" s="70">
        <f>BH22+WNA!BS65</f>
        <v>218235.3686491072</v>
      </c>
      <c r="BU22" s="70">
        <f>BI22+WNA!BT65</f>
        <v>157105.54247941135</v>
      </c>
      <c r="BV22" s="70">
        <f>BJ22+WNA!BU65</f>
        <v>139909.19013938011</v>
      </c>
      <c r="BW22" s="70">
        <f>BK22+WNA!BV65</f>
        <v>130250.76022247532</v>
      </c>
      <c r="BX22" s="70">
        <f>BL22+WNA!BW65</f>
        <v>120243.96063161312</v>
      </c>
      <c r="BY22" s="70">
        <f>BM22+WNA!BX65</f>
        <v>150843.60552630303</v>
      </c>
      <c r="BZ22" s="70">
        <f>BN22+WNA!BY65</f>
        <v>401776.07452736335</v>
      </c>
      <c r="CA22" s="70">
        <f>BO22+WNA!BZ65</f>
        <v>641864.19765058928</v>
      </c>
      <c r="CB22" s="70">
        <f>BP22+WNA!CA65</f>
        <v>728984.00406496658</v>
      </c>
      <c r="CC22" s="70">
        <f>BQ22+WNA!CB65</f>
        <v>728067.37103548297</v>
      </c>
      <c r="CD22" s="70">
        <f>BR22+WNA!CC65</f>
        <v>626175.40890762198</v>
      </c>
      <c r="CE22" s="70">
        <f>BS22+WNA!CD65</f>
        <v>394045.48316742701</v>
      </c>
      <c r="CF22" s="70">
        <f>BT22+WNA!CE65</f>
        <v>218235.3686491072</v>
      </c>
      <c r="CG22" s="70">
        <f>BU22+WNA!CF65</f>
        <v>157105.54247941135</v>
      </c>
      <c r="CH22" s="70">
        <f>BV22+WNA!CG65</f>
        <v>139909.19013938011</v>
      </c>
      <c r="CI22" s="70">
        <f>BW22+WNA!CH65</f>
        <v>130250.76022247532</v>
      </c>
    </row>
    <row r="23" spans="1:87" x14ac:dyDescent="0.2">
      <c r="A23" s="1">
        <v>13</v>
      </c>
      <c r="B23" s="1" t="s">
        <v>25</v>
      </c>
      <c r="C23" s="14">
        <f>C14</f>
        <v>0.87999999999999989</v>
      </c>
      <c r="D23" s="70">
        <f>'Bill Frequency'!C22+WNA!C66+'Contract &amp; Vol Adj'!C22</f>
        <v>31400.671868386886</v>
      </c>
      <c r="E23" s="70">
        <f>'Bill Frequency'!D22+WNA!D66+'Contract &amp; Vol Adj'!D22</f>
        <v>65956.138073696973</v>
      </c>
      <c r="F23" s="70">
        <f>'Bill Frequency'!E22+WNA!E66+'Contract &amp; Vol Adj'!E22</f>
        <v>45346.656772636619</v>
      </c>
      <c r="G23" s="70">
        <f>'Bill Frequency'!F22+WNA!F66+'Contract &amp; Vol Adj'!F22</f>
        <v>80009.159749410697</v>
      </c>
      <c r="H23" s="70">
        <f>'Bill Frequency'!G22+WNA!G66+'Contract &amp; Vol Adj'!G22</f>
        <v>108872.81523503333</v>
      </c>
      <c r="I23" s="70">
        <f>'Bill Frequency'!H22+WNA!H66+'Contract &amp; Vol Adj'!H22</f>
        <v>103436.29036451696</v>
      </c>
      <c r="J23" s="70">
        <f>'Bill Frequency'!I22+WNA!I66+'Contract &amp; Vol Adj'!I22</f>
        <v>92613.733392377966</v>
      </c>
      <c r="K23" s="70">
        <f>'Bill Frequency'!J22+WNA!J66+'Contract &amp; Vol Adj'!J22</f>
        <v>50110.123332572941</v>
      </c>
      <c r="L23" s="70">
        <f>'Bill Frequency'!K22+WNA!K66+'Contract &amp; Vol Adj'!K22</f>
        <v>31212.437050892811</v>
      </c>
      <c r="M23" s="70">
        <f>'Bill Frequency'!L22+WNA!L66+'Contract &amp; Vol Adj'!L22</f>
        <v>14368.972320588658</v>
      </c>
      <c r="N23" s="70">
        <f>'Bill Frequency'!M22+WNA!M66+'Contract &amp; Vol Adj'!M22</f>
        <v>12465.153460619891</v>
      </c>
      <c r="O23" s="70">
        <f>'Bill Frequency'!N22+WNA!N66+'Contract &amp; Vol Adj'!N22</f>
        <v>19173.719377524681</v>
      </c>
      <c r="P23" s="70">
        <f>D23+WNA!O66</f>
        <v>31400.671868386886</v>
      </c>
      <c r="Q23" s="70">
        <f>E23+WNA!P66</f>
        <v>65956.138073696973</v>
      </c>
      <c r="R23" s="70">
        <f>F23+WNA!Q66</f>
        <v>45346.656772636619</v>
      </c>
      <c r="S23" s="70">
        <f>G23+WNA!R66</f>
        <v>80009.159749410697</v>
      </c>
      <c r="T23" s="70">
        <f>H23+WNA!S66</f>
        <v>108872.81523503333</v>
      </c>
      <c r="U23" s="70">
        <f>I23+WNA!T66</f>
        <v>103436.29036451696</v>
      </c>
      <c r="V23" s="70">
        <f>J23+WNA!U66</f>
        <v>92613.733392377966</v>
      </c>
      <c r="W23" s="70">
        <f>K23+WNA!V66</f>
        <v>50110.123332572941</v>
      </c>
      <c r="X23" s="70">
        <f>L23+WNA!W66</f>
        <v>31212.437050892811</v>
      </c>
      <c r="Y23" s="70">
        <f>M23+WNA!X66</f>
        <v>14368.972320588658</v>
      </c>
      <c r="Z23" s="70">
        <f>N23+WNA!Y66</f>
        <v>12465.153460619891</v>
      </c>
      <c r="AA23" s="70">
        <f>O23+WNA!Z66</f>
        <v>19173.719377524681</v>
      </c>
      <c r="AB23" s="70">
        <f>P23+WNA!AA66</f>
        <v>31400.671868386886</v>
      </c>
      <c r="AC23" s="70">
        <f>Q23+WNA!AB66</f>
        <v>65956.138073696973</v>
      </c>
      <c r="AD23" s="70">
        <f>R23+WNA!AC66</f>
        <v>45346.656772636619</v>
      </c>
      <c r="AE23" s="70">
        <f>S23+WNA!AD66</f>
        <v>80009.159749410697</v>
      </c>
      <c r="AF23" s="70">
        <f>T23+WNA!AE66</f>
        <v>108872.81523503333</v>
      </c>
      <c r="AG23" s="70">
        <f>U23+WNA!AF66</f>
        <v>103436.29036451696</v>
      </c>
      <c r="AH23" s="70">
        <f>V23+WNA!AG66</f>
        <v>92613.733392377966</v>
      </c>
      <c r="AI23" s="70">
        <f>W23+WNA!AH66</f>
        <v>50110.123332572941</v>
      </c>
      <c r="AJ23" s="70">
        <f>X23+WNA!AI66</f>
        <v>31212.437050892811</v>
      </c>
      <c r="AK23" s="70">
        <f>Y23+WNA!AJ66</f>
        <v>14368.972320588658</v>
      </c>
      <c r="AL23" s="70">
        <f>Z23+WNA!AK66</f>
        <v>12465.153460619891</v>
      </c>
      <c r="AM23" s="70">
        <f>AA23+WNA!AL66</f>
        <v>19173.719377524681</v>
      </c>
      <c r="AN23" s="70">
        <f>AB23+WNA!AM66</f>
        <v>31400.671868386886</v>
      </c>
      <c r="AO23" s="70">
        <f>AC23+WNA!AN66</f>
        <v>65956.138073696973</v>
      </c>
      <c r="AP23" s="70">
        <f>AD23+WNA!AO66</f>
        <v>45346.656772636619</v>
      </c>
      <c r="AQ23" s="70">
        <f>AE23+WNA!AP66</f>
        <v>80009.159749410697</v>
      </c>
      <c r="AR23" s="70">
        <f>AF23+WNA!AQ66</f>
        <v>108872.81523503333</v>
      </c>
      <c r="AS23" s="70">
        <f>AG23+WNA!AR66</f>
        <v>103436.29036451696</v>
      </c>
      <c r="AT23" s="70">
        <f>AH23+WNA!AS66</f>
        <v>92613.733392377966</v>
      </c>
      <c r="AU23" s="70">
        <f>AI23+WNA!AT66</f>
        <v>50110.123332572941</v>
      </c>
      <c r="AV23" s="70">
        <f>AJ23+WNA!AU66</f>
        <v>31212.437050892811</v>
      </c>
      <c r="AW23" s="70">
        <f>AK23+WNA!AV66</f>
        <v>14368.972320588658</v>
      </c>
      <c r="AX23" s="70">
        <f>AL23+WNA!AW66</f>
        <v>12465.153460619891</v>
      </c>
      <c r="AY23" s="70">
        <f>AM23+WNA!AX66</f>
        <v>19173.719377524681</v>
      </c>
      <c r="AZ23" s="70">
        <f>AN23+WNA!AY66</f>
        <v>31400.671868386886</v>
      </c>
      <c r="BA23" s="70">
        <f>AO23+WNA!AZ66</f>
        <v>65956.138073696973</v>
      </c>
      <c r="BB23" s="70">
        <f>AP23+WNA!BA66</f>
        <v>45346.656772636619</v>
      </c>
      <c r="BC23" s="70">
        <f>AQ23+WNA!BB66</f>
        <v>80009.159749410697</v>
      </c>
      <c r="BD23" s="70">
        <f>AR23+WNA!BC66</f>
        <v>108872.81523503333</v>
      </c>
      <c r="BE23" s="70">
        <f>AS23+WNA!BD66</f>
        <v>103436.29036451696</v>
      </c>
      <c r="BF23" s="70">
        <f>AT23+WNA!BE66</f>
        <v>92613.733392377966</v>
      </c>
      <c r="BG23" s="70">
        <f>AU23+WNA!BF66</f>
        <v>50110.123332572941</v>
      </c>
      <c r="BH23" s="70">
        <f>AV23+WNA!BG66</f>
        <v>31212.437050892811</v>
      </c>
      <c r="BI23" s="70">
        <f>AW23+WNA!BH66</f>
        <v>14368.972320588658</v>
      </c>
      <c r="BJ23" s="70">
        <f>AX23+WNA!BI66</f>
        <v>12465.153460619891</v>
      </c>
      <c r="BK23" s="70">
        <f>AY23+WNA!BJ66</f>
        <v>19173.719377524681</v>
      </c>
      <c r="BL23" s="70">
        <f>AZ23+WNA!BK66</f>
        <v>31400.671868386886</v>
      </c>
      <c r="BM23" s="70">
        <f>BA23+WNA!BL66</f>
        <v>65956.138073696973</v>
      </c>
      <c r="BN23" s="70">
        <f>BB23+WNA!BM66</f>
        <v>45346.656772636619</v>
      </c>
      <c r="BO23" s="70">
        <f>BC23+WNA!BN66</f>
        <v>80009.159749410697</v>
      </c>
      <c r="BP23" s="70">
        <f>BD23+WNA!BO66</f>
        <v>108872.81523503333</v>
      </c>
      <c r="BQ23" s="70">
        <f>BE23+WNA!BP66</f>
        <v>103436.29036451696</v>
      </c>
      <c r="BR23" s="70">
        <f>BF23+WNA!BQ66</f>
        <v>92613.733392377966</v>
      </c>
      <c r="BS23" s="70">
        <f>BG23+WNA!BR66</f>
        <v>50110.123332572941</v>
      </c>
      <c r="BT23" s="70">
        <f>BH23+WNA!BS66</f>
        <v>31212.437050892811</v>
      </c>
      <c r="BU23" s="70">
        <f>BI23+WNA!BT66</f>
        <v>14368.972320588658</v>
      </c>
      <c r="BV23" s="70">
        <f>BJ23+WNA!BU66</f>
        <v>12465.153460619891</v>
      </c>
      <c r="BW23" s="70">
        <f>BK23+WNA!BV66</f>
        <v>19173.719377524681</v>
      </c>
      <c r="BX23" s="70">
        <f>BL23+WNA!BW66</f>
        <v>31400.671868386886</v>
      </c>
      <c r="BY23" s="70">
        <f>BM23+WNA!BX66</f>
        <v>65956.138073696973</v>
      </c>
      <c r="BZ23" s="70">
        <f>BN23+WNA!BY66</f>
        <v>45346.656772636619</v>
      </c>
      <c r="CA23" s="70">
        <f>BO23+WNA!BZ66</f>
        <v>80009.159749410697</v>
      </c>
      <c r="CB23" s="70">
        <f>BP23+WNA!CA66</f>
        <v>108872.81523503333</v>
      </c>
      <c r="CC23" s="70">
        <f>BQ23+WNA!CB66</f>
        <v>103436.29036451696</v>
      </c>
      <c r="CD23" s="70">
        <f>BR23+WNA!CC66</f>
        <v>92613.733392377966</v>
      </c>
      <c r="CE23" s="70">
        <f>BS23+WNA!CD66</f>
        <v>50110.123332572941</v>
      </c>
      <c r="CF23" s="70">
        <f>BT23+WNA!CE66</f>
        <v>31212.437050892811</v>
      </c>
      <c r="CG23" s="70">
        <f>BU23+WNA!CF66</f>
        <v>14368.972320588658</v>
      </c>
      <c r="CH23" s="70">
        <f>BV23+WNA!CG66</f>
        <v>12465.153460619891</v>
      </c>
      <c r="CI23" s="70">
        <f>BW23+WNA!CH66</f>
        <v>19173.719377524681</v>
      </c>
    </row>
    <row r="24" spans="1:87" x14ac:dyDescent="0.2">
      <c r="A24" s="1">
        <v>14</v>
      </c>
      <c r="B24" s="1" t="s">
        <v>81</v>
      </c>
      <c r="C24" s="14">
        <f>C15</f>
        <v>0.62</v>
      </c>
      <c r="D24" s="70">
        <f>'Bill Frequency'!C23+WNA!C67+'Contract &amp; Vol Adj'!C23</f>
        <v>0</v>
      </c>
      <c r="E24" s="70">
        <f>'Bill Frequency'!D23+WNA!D67+'Contract &amp; Vol Adj'!D23</f>
        <v>0</v>
      </c>
      <c r="F24" s="70">
        <f>'Bill Frequency'!E23+WNA!E67+'Contract &amp; Vol Adj'!E23</f>
        <v>0</v>
      </c>
      <c r="G24" s="70">
        <f>'Bill Frequency'!F23+WNA!F67+'Contract &amp; Vol Adj'!F23</f>
        <v>0</v>
      </c>
      <c r="H24" s="70">
        <f>'Bill Frequency'!G23+WNA!G67+'Contract &amp; Vol Adj'!G23</f>
        <v>0</v>
      </c>
      <c r="I24" s="70">
        <f>'Bill Frequency'!H23+WNA!H67+'Contract &amp; Vol Adj'!H23</f>
        <v>0</v>
      </c>
      <c r="J24" s="70">
        <f>'Bill Frequency'!I23+WNA!I67+'Contract &amp; Vol Adj'!I23</f>
        <v>0</v>
      </c>
      <c r="K24" s="70">
        <f>'Bill Frequency'!J23+WNA!J67+'Contract &amp; Vol Adj'!J23</f>
        <v>0</v>
      </c>
      <c r="L24" s="70">
        <f>'Bill Frequency'!K23+WNA!K67+'Contract &amp; Vol Adj'!K23</f>
        <v>0</v>
      </c>
      <c r="M24" s="70">
        <f>'Bill Frequency'!L23+WNA!L67+'Contract &amp; Vol Adj'!L23</f>
        <v>0</v>
      </c>
      <c r="N24" s="70">
        <f>'Bill Frequency'!M23+WNA!M67+'Contract &amp; Vol Adj'!M23</f>
        <v>0</v>
      </c>
      <c r="O24" s="70">
        <f>'Bill Frequency'!N23+WNA!N67+'Contract &amp; Vol Adj'!N23</f>
        <v>0</v>
      </c>
      <c r="P24" s="70">
        <f>D24+WNA!O67</f>
        <v>0</v>
      </c>
      <c r="Q24" s="70">
        <f>E24+WNA!P67</f>
        <v>0</v>
      </c>
      <c r="R24" s="70">
        <f>F24+WNA!Q67</f>
        <v>0</v>
      </c>
      <c r="S24" s="70">
        <f>G24+WNA!R67</f>
        <v>0</v>
      </c>
      <c r="T24" s="70">
        <f>H24+WNA!S67</f>
        <v>0</v>
      </c>
      <c r="U24" s="70">
        <f>I24+WNA!T67</f>
        <v>0</v>
      </c>
      <c r="V24" s="70">
        <f>J24+WNA!U67</f>
        <v>0</v>
      </c>
      <c r="W24" s="70">
        <f>K24+WNA!V67</f>
        <v>0</v>
      </c>
      <c r="X24" s="70">
        <f>L24+WNA!W67</f>
        <v>0</v>
      </c>
      <c r="Y24" s="70">
        <f>M24+WNA!X67</f>
        <v>0</v>
      </c>
      <c r="Z24" s="70">
        <f>N24+WNA!Y67</f>
        <v>0</v>
      </c>
      <c r="AA24" s="70">
        <f>O24+WNA!Z67</f>
        <v>0</v>
      </c>
      <c r="AB24" s="70">
        <f>P24+WNA!AA67</f>
        <v>0</v>
      </c>
      <c r="AC24" s="70">
        <f>Q24+WNA!AB67</f>
        <v>0</v>
      </c>
      <c r="AD24" s="70">
        <f>R24+WNA!AC67</f>
        <v>0</v>
      </c>
      <c r="AE24" s="70">
        <f>S24+WNA!AD67</f>
        <v>0</v>
      </c>
      <c r="AF24" s="70">
        <f>T24+WNA!AE67</f>
        <v>0</v>
      </c>
      <c r="AG24" s="70">
        <f>U24+WNA!AF67</f>
        <v>0</v>
      </c>
      <c r="AH24" s="70">
        <f>V24+WNA!AG67</f>
        <v>0</v>
      </c>
      <c r="AI24" s="70">
        <f>W24+WNA!AH67</f>
        <v>0</v>
      </c>
      <c r="AJ24" s="70">
        <f>X24+WNA!AI67</f>
        <v>0</v>
      </c>
      <c r="AK24" s="70">
        <f>Y24+WNA!AJ67</f>
        <v>0</v>
      </c>
      <c r="AL24" s="70">
        <f>Z24+WNA!AK67</f>
        <v>0</v>
      </c>
      <c r="AM24" s="70">
        <f>AA24+WNA!AL67</f>
        <v>0</v>
      </c>
      <c r="AN24" s="70">
        <f>AB24+WNA!AM67</f>
        <v>0</v>
      </c>
      <c r="AO24" s="70">
        <f>AC24+WNA!AN67</f>
        <v>0</v>
      </c>
      <c r="AP24" s="70">
        <f>AD24+WNA!AO67</f>
        <v>0</v>
      </c>
      <c r="AQ24" s="70">
        <f>AE24+WNA!AP67</f>
        <v>0</v>
      </c>
      <c r="AR24" s="70">
        <f>AF24+WNA!AQ67</f>
        <v>0</v>
      </c>
      <c r="AS24" s="70">
        <f>AG24+WNA!AR67</f>
        <v>0</v>
      </c>
      <c r="AT24" s="70">
        <f>AH24+WNA!AS67</f>
        <v>0</v>
      </c>
      <c r="AU24" s="70">
        <f>AI24+WNA!AT67</f>
        <v>0</v>
      </c>
      <c r="AV24" s="70">
        <f>AJ24+WNA!AU67</f>
        <v>0</v>
      </c>
      <c r="AW24" s="70">
        <f>AK24+WNA!AV67</f>
        <v>0</v>
      </c>
      <c r="AX24" s="70">
        <f>AL24+WNA!AW67</f>
        <v>0</v>
      </c>
      <c r="AY24" s="70">
        <f>AM24+WNA!AX67</f>
        <v>0</v>
      </c>
      <c r="AZ24" s="70">
        <f>AN24+WNA!AY67</f>
        <v>0</v>
      </c>
      <c r="BA24" s="70">
        <f>AO24+WNA!AZ67</f>
        <v>0</v>
      </c>
      <c r="BB24" s="70">
        <f>AP24+WNA!BA67</f>
        <v>0</v>
      </c>
      <c r="BC24" s="70">
        <f>AQ24+WNA!BB67</f>
        <v>0</v>
      </c>
      <c r="BD24" s="70">
        <f>AR24+WNA!BC67</f>
        <v>0</v>
      </c>
      <c r="BE24" s="70">
        <f>AS24+WNA!BD67</f>
        <v>0</v>
      </c>
      <c r="BF24" s="70">
        <f>AT24+WNA!BE67</f>
        <v>0</v>
      </c>
      <c r="BG24" s="70">
        <f>AU24+WNA!BF67</f>
        <v>0</v>
      </c>
      <c r="BH24" s="70">
        <f>AV24+WNA!BG67</f>
        <v>0</v>
      </c>
      <c r="BI24" s="70">
        <f>AW24+WNA!BH67</f>
        <v>0</v>
      </c>
      <c r="BJ24" s="70">
        <f>AX24+WNA!BI67</f>
        <v>0</v>
      </c>
      <c r="BK24" s="70">
        <f>AY24+WNA!BJ67</f>
        <v>0</v>
      </c>
      <c r="BL24" s="70">
        <f>AZ24+WNA!BK67</f>
        <v>0</v>
      </c>
      <c r="BM24" s="70">
        <f>BA24+WNA!BL67</f>
        <v>0</v>
      </c>
      <c r="BN24" s="70">
        <f>BB24+WNA!BM67</f>
        <v>0</v>
      </c>
      <c r="BO24" s="70">
        <f>BC24+WNA!BN67</f>
        <v>0</v>
      </c>
      <c r="BP24" s="70">
        <f>BD24+WNA!BO67</f>
        <v>0</v>
      </c>
      <c r="BQ24" s="70">
        <f>BE24+WNA!BP67</f>
        <v>0</v>
      </c>
      <c r="BR24" s="70">
        <f>BF24+WNA!BQ67</f>
        <v>0</v>
      </c>
      <c r="BS24" s="70">
        <f>BG24+WNA!BR67</f>
        <v>0</v>
      </c>
      <c r="BT24" s="70">
        <f>BH24+WNA!BS67</f>
        <v>0</v>
      </c>
      <c r="BU24" s="70">
        <f>BI24+WNA!BT67</f>
        <v>0</v>
      </c>
      <c r="BV24" s="70">
        <f>BJ24+WNA!BU67</f>
        <v>0</v>
      </c>
      <c r="BW24" s="70">
        <f>BK24+WNA!BV67</f>
        <v>0</v>
      </c>
      <c r="BX24" s="70">
        <f>BL24+WNA!BW67</f>
        <v>0</v>
      </c>
      <c r="BY24" s="70">
        <f>BM24+WNA!BX67</f>
        <v>0</v>
      </c>
      <c r="BZ24" s="70">
        <f>BN24+WNA!BY67</f>
        <v>0</v>
      </c>
      <c r="CA24" s="70">
        <f>BO24+WNA!BZ67</f>
        <v>0</v>
      </c>
      <c r="CB24" s="70">
        <f>BP24+WNA!CA67</f>
        <v>0</v>
      </c>
      <c r="CC24" s="70">
        <f>BQ24+WNA!CB67</f>
        <v>0</v>
      </c>
      <c r="CD24" s="70">
        <f>BR24+WNA!CC67</f>
        <v>0</v>
      </c>
      <c r="CE24" s="70">
        <f>BS24+WNA!CD67</f>
        <v>0</v>
      </c>
      <c r="CF24" s="70">
        <f>BT24+WNA!CE67</f>
        <v>0</v>
      </c>
      <c r="CG24" s="70">
        <f>BU24+WNA!CF67</f>
        <v>0</v>
      </c>
      <c r="CH24" s="70">
        <f>BV24+WNA!CG67</f>
        <v>0</v>
      </c>
      <c r="CI24" s="70">
        <f>BW24+WNA!CH67</f>
        <v>0</v>
      </c>
    </row>
    <row r="25" spans="1:87" x14ac:dyDescent="0.2">
      <c r="A25" s="1">
        <v>15</v>
      </c>
      <c r="B25" s="32" t="s">
        <v>79</v>
      </c>
      <c r="C25" s="32"/>
      <c r="D25" s="31">
        <f t="shared" ref="D25:AI25" si="10">D22+D23+D24</f>
        <v>151644.63250000001</v>
      </c>
      <c r="E25" s="31">
        <f t="shared" si="10"/>
        <v>216799.74359999999</v>
      </c>
      <c r="F25" s="31">
        <f t="shared" si="10"/>
        <v>447122.73129999998</v>
      </c>
      <c r="G25" s="31">
        <f t="shared" si="10"/>
        <v>721873.35739999998</v>
      </c>
      <c r="H25" s="31">
        <f t="shared" si="10"/>
        <v>837856.81929999986</v>
      </c>
      <c r="I25" s="31">
        <f t="shared" si="10"/>
        <v>831503.66139999987</v>
      </c>
      <c r="J25" s="31">
        <f t="shared" si="10"/>
        <v>718789.14229999995</v>
      </c>
      <c r="K25" s="31">
        <f t="shared" si="10"/>
        <v>444155.60649999994</v>
      </c>
      <c r="L25" s="31">
        <f t="shared" si="10"/>
        <v>249447.80570000003</v>
      </c>
      <c r="M25" s="31">
        <f t="shared" si="10"/>
        <v>171474.5148</v>
      </c>
      <c r="N25" s="31">
        <f t="shared" si="10"/>
        <v>152374.34359999999</v>
      </c>
      <c r="O25" s="31">
        <f t="shared" si="10"/>
        <v>149424.47959999999</v>
      </c>
      <c r="P25" s="31">
        <f t="shared" si="10"/>
        <v>151644.63250000001</v>
      </c>
      <c r="Q25" s="31">
        <f t="shared" si="10"/>
        <v>216799.74359999999</v>
      </c>
      <c r="R25" s="31">
        <f t="shared" si="10"/>
        <v>447122.73129999998</v>
      </c>
      <c r="S25" s="31">
        <f t="shared" si="10"/>
        <v>721873.35739999998</v>
      </c>
      <c r="T25" s="31">
        <f t="shared" si="10"/>
        <v>837856.81929999986</v>
      </c>
      <c r="U25" s="31">
        <f t="shared" si="10"/>
        <v>831503.66139999987</v>
      </c>
      <c r="V25" s="31">
        <f t="shared" si="10"/>
        <v>718789.14229999995</v>
      </c>
      <c r="W25" s="31">
        <f t="shared" si="10"/>
        <v>444155.60649999994</v>
      </c>
      <c r="X25" s="31">
        <f t="shared" si="10"/>
        <v>249447.80570000003</v>
      </c>
      <c r="Y25" s="31">
        <f t="shared" si="10"/>
        <v>171474.5148</v>
      </c>
      <c r="Z25" s="31">
        <f t="shared" si="10"/>
        <v>152374.34359999999</v>
      </c>
      <c r="AA25" s="31">
        <f t="shared" si="10"/>
        <v>149424.47959999999</v>
      </c>
      <c r="AB25" s="31">
        <f t="shared" si="10"/>
        <v>151644.63250000001</v>
      </c>
      <c r="AC25" s="31">
        <f t="shared" si="10"/>
        <v>216799.74359999999</v>
      </c>
      <c r="AD25" s="31">
        <f t="shared" si="10"/>
        <v>447122.73129999998</v>
      </c>
      <c r="AE25" s="31">
        <f t="shared" si="10"/>
        <v>721873.35739999998</v>
      </c>
      <c r="AF25" s="31">
        <f t="shared" si="10"/>
        <v>837856.81929999986</v>
      </c>
      <c r="AG25" s="31">
        <f t="shared" si="10"/>
        <v>831503.66139999987</v>
      </c>
      <c r="AH25" s="31">
        <f t="shared" si="10"/>
        <v>718789.14229999995</v>
      </c>
      <c r="AI25" s="31">
        <f t="shared" si="10"/>
        <v>444155.60649999994</v>
      </c>
      <c r="AJ25" s="31">
        <f t="shared" ref="AJ25:BW25" si="11">AJ22+AJ23+AJ24</f>
        <v>249447.80570000003</v>
      </c>
      <c r="AK25" s="31">
        <f t="shared" si="11"/>
        <v>171474.5148</v>
      </c>
      <c r="AL25" s="31">
        <f t="shared" si="11"/>
        <v>152374.34359999999</v>
      </c>
      <c r="AM25" s="31">
        <f t="shared" si="11"/>
        <v>149424.47959999999</v>
      </c>
      <c r="AN25" s="31">
        <f t="shared" si="11"/>
        <v>151644.63250000001</v>
      </c>
      <c r="AO25" s="31">
        <f t="shared" si="11"/>
        <v>216799.74359999999</v>
      </c>
      <c r="AP25" s="31">
        <f t="shared" si="11"/>
        <v>447122.73129999998</v>
      </c>
      <c r="AQ25" s="31">
        <f t="shared" si="11"/>
        <v>721873.35739999998</v>
      </c>
      <c r="AR25" s="31">
        <f t="shared" si="11"/>
        <v>837856.81929999986</v>
      </c>
      <c r="AS25" s="31">
        <f t="shared" si="11"/>
        <v>831503.66139999987</v>
      </c>
      <c r="AT25" s="31">
        <f t="shared" si="11"/>
        <v>718789.14229999995</v>
      </c>
      <c r="AU25" s="31">
        <f t="shared" si="11"/>
        <v>444155.60649999994</v>
      </c>
      <c r="AV25" s="31">
        <f t="shared" si="11"/>
        <v>249447.80570000003</v>
      </c>
      <c r="AW25" s="31">
        <f t="shared" si="11"/>
        <v>171474.5148</v>
      </c>
      <c r="AX25" s="31">
        <f t="shared" si="11"/>
        <v>152374.34359999999</v>
      </c>
      <c r="AY25" s="31">
        <f t="shared" si="11"/>
        <v>149424.47959999999</v>
      </c>
      <c r="AZ25" s="31">
        <f t="shared" si="11"/>
        <v>151644.63250000001</v>
      </c>
      <c r="BA25" s="31">
        <f t="shared" si="11"/>
        <v>216799.74359999999</v>
      </c>
      <c r="BB25" s="31">
        <f t="shared" si="11"/>
        <v>447122.73129999998</v>
      </c>
      <c r="BC25" s="31">
        <f t="shared" si="11"/>
        <v>721873.35739999998</v>
      </c>
      <c r="BD25" s="31">
        <f t="shared" si="11"/>
        <v>837856.81929999986</v>
      </c>
      <c r="BE25" s="31">
        <f t="shared" si="11"/>
        <v>831503.66139999987</v>
      </c>
      <c r="BF25" s="31">
        <f t="shared" si="11"/>
        <v>718789.14229999995</v>
      </c>
      <c r="BG25" s="31">
        <f t="shared" si="11"/>
        <v>444155.60649999994</v>
      </c>
      <c r="BH25" s="31">
        <f t="shared" si="11"/>
        <v>249447.80570000003</v>
      </c>
      <c r="BI25" s="31">
        <f t="shared" si="11"/>
        <v>171474.5148</v>
      </c>
      <c r="BJ25" s="31">
        <f t="shared" si="11"/>
        <v>152374.34359999999</v>
      </c>
      <c r="BK25" s="31">
        <f t="shared" si="11"/>
        <v>149424.47959999999</v>
      </c>
      <c r="BL25" s="31">
        <f t="shared" si="11"/>
        <v>151644.63250000001</v>
      </c>
      <c r="BM25" s="31">
        <f t="shared" si="11"/>
        <v>216799.74359999999</v>
      </c>
      <c r="BN25" s="31">
        <f t="shared" si="11"/>
        <v>447122.73129999998</v>
      </c>
      <c r="BO25" s="31">
        <f t="shared" si="11"/>
        <v>721873.35739999998</v>
      </c>
      <c r="BP25" s="31">
        <f t="shared" si="11"/>
        <v>837856.81929999986</v>
      </c>
      <c r="BQ25" s="31">
        <f t="shared" si="11"/>
        <v>831503.66139999987</v>
      </c>
      <c r="BR25" s="31">
        <f t="shared" si="11"/>
        <v>718789.14229999995</v>
      </c>
      <c r="BS25" s="31">
        <f t="shared" si="11"/>
        <v>444155.60649999994</v>
      </c>
      <c r="BT25" s="31">
        <f t="shared" si="11"/>
        <v>249447.80570000003</v>
      </c>
      <c r="BU25" s="31">
        <f t="shared" si="11"/>
        <v>171474.5148</v>
      </c>
      <c r="BV25" s="31">
        <f t="shared" si="11"/>
        <v>152374.34359999999</v>
      </c>
      <c r="BW25" s="31">
        <f t="shared" si="11"/>
        <v>149424.47959999999</v>
      </c>
      <c r="BX25" s="31">
        <f t="shared" ref="BX25:CI25" si="12">BX22+BX23+BX24</f>
        <v>151644.63250000001</v>
      </c>
      <c r="BY25" s="31">
        <f t="shared" si="12"/>
        <v>216799.74359999999</v>
      </c>
      <c r="BZ25" s="31">
        <f t="shared" si="12"/>
        <v>447122.73129999998</v>
      </c>
      <c r="CA25" s="31">
        <f t="shared" si="12"/>
        <v>721873.35739999998</v>
      </c>
      <c r="CB25" s="31">
        <f t="shared" si="12"/>
        <v>837856.81929999986</v>
      </c>
      <c r="CC25" s="31">
        <f t="shared" si="12"/>
        <v>831503.66139999987</v>
      </c>
      <c r="CD25" s="31">
        <f t="shared" si="12"/>
        <v>718789.14229999995</v>
      </c>
      <c r="CE25" s="31">
        <f t="shared" si="12"/>
        <v>444155.60649999994</v>
      </c>
      <c r="CF25" s="31">
        <f t="shared" si="12"/>
        <v>249447.80570000003</v>
      </c>
      <c r="CG25" s="31">
        <f t="shared" si="12"/>
        <v>171474.5148</v>
      </c>
      <c r="CH25" s="31">
        <f t="shared" si="12"/>
        <v>152374.34359999999</v>
      </c>
      <c r="CI25" s="31">
        <f t="shared" si="12"/>
        <v>149424.47959999999</v>
      </c>
    </row>
    <row r="26" spans="1:87" x14ac:dyDescent="0.2">
      <c r="A26" s="1">
        <v>16</v>
      </c>
      <c r="B26" s="16" t="s">
        <v>237</v>
      </c>
      <c r="C26" s="16"/>
      <c r="D26" s="93">
        <f>D17</f>
        <v>6.6699000000000002</v>
      </c>
      <c r="E26" s="93">
        <f t="shared" ref="E26:P26" si="13">E17</f>
        <v>6.6699000000000002</v>
      </c>
      <c r="F26" s="93">
        <f t="shared" si="13"/>
        <v>5.7476000000000003</v>
      </c>
      <c r="G26" s="93">
        <f t="shared" si="13"/>
        <v>5.7476000000000003</v>
      </c>
      <c r="H26" s="93">
        <f t="shared" si="13"/>
        <v>5.8611000000000004</v>
      </c>
      <c r="I26" s="93">
        <f t="shared" si="13"/>
        <v>5.8914999999999997</v>
      </c>
      <c r="J26" s="93">
        <f t="shared" si="13"/>
        <v>5.8914999999999997</v>
      </c>
      <c r="K26" s="93">
        <f t="shared" si="13"/>
        <v>5.6984999999999992</v>
      </c>
      <c r="L26" s="93">
        <f t="shared" si="13"/>
        <v>5.1452</v>
      </c>
      <c r="M26" s="93">
        <f t="shared" si="13"/>
        <v>5.1452</v>
      </c>
      <c r="N26" s="93">
        <f t="shared" si="13"/>
        <v>5.1452</v>
      </c>
      <c r="O26" s="93">
        <f t="shared" si="13"/>
        <v>4.2233000000000001</v>
      </c>
      <c r="P26" s="93">
        <f t="shared" si="13"/>
        <v>4.2233000000000001</v>
      </c>
      <c r="Q26" s="93">
        <f t="shared" ref="Q26:AA26" si="14">Q17</f>
        <v>4.2233000000000001</v>
      </c>
      <c r="R26" s="93">
        <f t="shared" si="14"/>
        <v>4.3381667607171224</v>
      </c>
      <c r="S26" s="93">
        <f t="shared" si="14"/>
        <v>4.3381667607171224</v>
      </c>
      <c r="T26" s="93">
        <f t="shared" si="14"/>
        <v>4.3381667607171224</v>
      </c>
      <c r="U26" s="93">
        <f t="shared" si="14"/>
        <v>4.4924452138791438</v>
      </c>
      <c r="V26" s="93">
        <f t="shared" si="14"/>
        <v>4.4924452138791438</v>
      </c>
      <c r="W26" s="93">
        <f t="shared" si="14"/>
        <v>4.4924452138791438</v>
      </c>
      <c r="X26" s="93">
        <f t="shared" si="14"/>
        <v>4.576446110502566</v>
      </c>
      <c r="Y26" s="93">
        <f t="shared" si="14"/>
        <v>4.576446110502566</v>
      </c>
      <c r="Z26" s="93">
        <f t="shared" si="14"/>
        <v>4.576446110502566</v>
      </c>
      <c r="AA26" s="93">
        <f t="shared" si="14"/>
        <v>4.6088710472168026</v>
      </c>
      <c r="AB26" s="93">
        <f t="shared" ref="AB26:BW26" si="15">AB17</f>
        <v>4.6088710472168026</v>
      </c>
      <c r="AC26" s="93">
        <f t="shared" si="15"/>
        <v>4.6088710472168026</v>
      </c>
      <c r="AD26" s="93">
        <f t="shared" si="15"/>
        <v>4.5535112981864572</v>
      </c>
      <c r="AE26" s="93">
        <f t="shared" si="15"/>
        <v>4.5535112981864572</v>
      </c>
      <c r="AF26" s="93">
        <f t="shared" si="15"/>
        <v>4.5535112981864572</v>
      </c>
      <c r="AG26" s="93">
        <f t="shared" si="15"/>
        <v>4.5576361502621516</v>
      </c>
      <c r="AH26" s="93">
        <f t="shared" si="15"/>
        <v>4.5576361502621516</v>
      </c>
      <c r="AI26" s="93">
        <f t="shared" si="15"/>
        <v>4.5576361502621516</v>
      </c>
      <c r="AJ26" s="93">
        <f t="shared" si="15"/>
        <v>4.83392198302381</v>
      </c>
      <c r="AK26" s="93">
        <f t="shared" si="15"/>
        <v>4.83392198302381</v>
      </c>
      <c r="AL26" s="93">
        <f t="shared" si="15"/>
        <v>4.83392198302381</v>
      </c>
      <c r="AM26" s="93">
        <f t="shared" si="15"/>
        <v>4.8519223754666072</v>
      </c>
      <c r="AN26" s="93">
        <f t="shared" si="15"/>
        <v>4.8519223754666072</v>
      </c>
      <c r="AO26" s="93">
        <f t="shared" si="15"/>
        <v>4.8519223754666072</v>
      </c>
      <c r="AP26" s="93">
        <f t="shared" si="15"/>
        <v>4.7235732633872862</v>
      </c>
      <c r="AQ26" s="93">
        <f t="shared" si="15"/>
        <v>4.7235732633872862</v>
      </c>
      <c r="AR26" s="93">
        <f t="shared" si="15"/>
        <v>4.7235732633872862</v>
      </c>
      <c r="AS26" s="93">
        <f t="shared" si="15"/>
        <v>4.7016051095232001</v>
      </c>
      <c r="AT26" s="93">
        <f t="shared" si="15"/>
        <v>4.7016051095232001</v>
      </c>
      <c r="AU26" s="93">
        <f t="shared" si="15"/>
        <v>4.7016051095232001</v>
      </c>
      <c r="AV26" s="93">
        <f t="shared" si="15"/>
        <v>4.9184938000819312</v>
      </c>
      <c r="AW26" s="93">
        <f t="shared" si="15"/>
        <v>4.9184938000819312</v>
      </c>
      <c r="AX26" s="93">
        <f t="shared" si="15"/>
        <v>4.9184938000819312</v>
      </c>
      <c r="AY26" s="93">
        <f t="shared" si="15"/>
        <v>4.9221234839243824</v>
      </c>
      <c r="AZ26" s="93">
        <f t="shared" si="15"/>
        <v>4.9221234839243824</v>
      </c>
      <c r="BA26" s="93">
        <f t="shared" si="15"/>
        <v>4.9221234839243824</v>
      </c>
      <c r="BB26" s="93">
        <f t="shared" si="15"/>
        <v>4.811658481577866</v>
      </c>
      <c r="BC26" s="93">
        <f t="shared" si="15"/>
        <v>4.811658481577866</v>
      </c>
      <c r="BD26" s="93">
        <f t="shared" si="15"/>
        <v>4.811658481577866</v>
      </c>
      <c r="BE26" s="93">
        <f t="shared" si="15"/>
        <v>4.795201887089128</v>
      </c>
      <c r="BF26" s="93">
        <f t="shared" si="15"/>
        <v>4.795201887089128</v>
      </c>
      <c r="BG26" s="93">
        <f t="shared" si="15"/>
        <v>4.795201887089128</v>
      </c>
      <c r="BH26" s="93">
        <f t="shared" si="15"/>
        <v>5.0068912841604094</v>
      </c>
      <c r="BI26" s="93">
        <f t="shared" si="15"/>
        <v>5.0068912841604094</v>
      </c>
      <c r="BJ26" s="93">
        <f t="shared" si="15"/>
        <v>5.0068912841604094</v>
      </c>
      <c r="BK26" s="93">
        <f t="shared" si="15"/>
        <v>5.0138460799231694</v>
      </c>
      <c r="BL26" s="93">
        <f t="shared" si="15"/>
        <v>5.0138460799231694</v>
      </c>
      <c r="BM26" s="93">
        <f t="shared" si="15"/>
        <v>5.0138460799231694</v>
      </c>
      <c r="BN26" s="93">
        <f t="shared" si="15"/>
        <v>4.9176211320497707</v>
      </c>
      <c r="BO26" s="93">
        <f t="shared" si="15"/>
        <v>4.9176211320497707</v>
      </c>
      <c r="BP26" s="93">
        <f t="shared" si="15"/>
        <v>4.9176211320497707</v>
      </c>
      <c r="BQ26" s="93">
        <f t="shared" si="15"/>
        <v>4.9054463050499564</v>
      </c>
      <c r="BR26" s="93">
        <f t="shared" si="15"/>
        <v>4.9054463050499564</v>
      </c>
      <c r="BS26" s="93">
        <f t="shared" si="15"/>
        <v>4.9054463050499564</v>
      </c>
      <c r="BT26" s="93">
        <f t="shared" si="15"/>
        <v>5.1288189327537044</v>
      </c>
      <c r="BU26" s="93">
        <f t="shared" si="15"/>
        <v>5.1288189327537044</v>
      </c>
      <c r="BV26" s="93">
        <f t="shared" si="15"/>
        <v>5.1288189327537044</v>
      </c>
      <c r="BW26" s="93">
        <f t="shared" si="15"/>
        <v>5.1452532950186676</v>
      </c>
      <c r="BX26" s="93">
        <f t="shared" ref="BX26:CI26" si="16">BX17</f>
        <v>5.1452532950186676</v>
      </c>
      <c r="BY26" s="93">
        <f t="shared" si="16"/>
        <v>5.1452532950186676</v>
      </c>
      <c r="BZ26" s="93">
        <f t="shared" si="16"/>
        <v>5.0525787355762493</v>
      </c>
      <c r="CA26" s="93">
        <f t="shared" si="16"/>
        <v>5.0525787355762493</v>
      </c>
      <c r="CB26" s="93">
        <f t="shared" si="16"/>
        <v>5.0525787355762493</v>
      </c>
      <c r="CC26" s="93">
        <f t="shared" si="16"/>
        <v>5.0418000232208371</v>
      </c>
      <c r="CD26" s="93">
        <f t="shared" si="16"/>
        <v>5.0418000232208371</v>
      </c>
      <c r="CE26" s="93">
        <f t="shared" si="16"/>
        <v>5.0418000232208371</v>
      </c>
      <c r="CF26" s="93">
        <f t="shared" si="16"/>
        <v>5.2763719984585293</v>
      </c>
      <c r="CG26" s="93">
        <f t="shared" si="16"/>
        <v>5.2763719984585293</v>
      </c>
      <c r="CH26" s="93">
        <f t="shared" si="16"/>
        <v>5.2763719984585293</v>
      </c>
      <c r="CI26" s="93">
        <f t="shared" si="16"/>
        <v>5.3063335447273658</v>
      </c>
    </row>
    <row r="27" spans="1:87" x14ac:dyDescent="0.2">
      <c r="A27" s="1">
        <v>17</v>
      </c>
      <c r="B27" s="16" t="s">
        <v>229</v>
      </c>
      <c r="C27" s="16"/>
      <c r="D27" s="38">
        <f t="shared" ref="D27:AI27" si="17">D26*D25</f>
        <v>1011454.5343117501</v>
      </c>
      <c r="E27" s="38">
        <f t="shared" si="17"/>
        <v>1446032.6098376398</v>
      </c>
      <c r="F27" s="38">
        <f t="shared" si="17"/>
        <v>2569882.6104198801</v>
      </c>
      <c r="G27" s="38">
        <f t="shared" si="17"/>
        <v>4149039.3089922401</v>
      </c>
      <c r="H27" s="38">
        <f t="shared" si="17"/>
        <v>4910762.6035992298</v>
      </c>
      <c r="I27" s="38">
        <f t="shared" si="17"/>
        <v>4898803.8211380988</v>
      </c>
      <c r="J27" s="38">
        <f t="shared" si="17"/>
        <v>4234746.2318604495</v>
      </c>
      <c r="K27" s="38">
        <f t="shared" si="17"/>
        <v>2531020.7236402491</v>
      </c>
      <c r="L27" s="38">
        <f t="shared" si="17"/>
        <v>1283458.8498876402</v>
      </c>
      <c r="M27" s="38">
        <f t="shared" si="17"/>
        <v>882270.67354896001</v>
      </c>
      <c r="N27" s="38">
        <f t="shared" si="17"/>
        <v>783996.47269071999</v>
      </c>
      <c r="O27" s="38">
        <f t="shared" si="17"/>
        <v>631064.40469468001</v>
      </c>
      <c r="P27" s="38">
        <f t="shared" si="17"/>
        <v>640440.77643725008</v>
      </c>
      <c r="Q27" s="38">
        <f t="shared" si="17"/>
        <v>915610.35714588</v>
      </c>
      <c r="R27" s="38">
        <f t="shared" si="17"/>
        <v>1939692.9708867131</v>
      </c>
      <c r="S27" s="38">
        <f t="shared" si="17"/>
        <v>3131607.0045199515</v>
      </c>
      <c r="T27" s="38">
        <f t="shared" si="17"/>
        <v>3634762.6037274315</v>
      </c>
      <c r="U27" s="38">
        <f t="shared" si="17"/>
        <v>3735484.6439794134</v>
      </c>
      <c r="V27" s="38">
        <f t="shared" si="17"/>
        <v>3229120.8421139293</v>
      </c>
      <c r="W27" s="38">
        <f t="shared" si="17"/>
        <v>1995344.728638513</v>
      </c>
      <c r="X27" s="38">
        <f t="shared" si="17"/>
        <v>1141584.4401691649</v>
      </c>
      <c r="Y27" s="38">
        <f t="shared" si="17"/>
        <v>784743.87630677468</v>
      </c>
      <c r="Z27" s="38">
        <f t="shared" si="17"/>
        <v>697332.97210860148</v>
      </c>
      <c r="AA27" s="38">
        <f t="shared" si="17"/>
        <v>688678.15777387773</v>
      </c>
      <c r="AB27" s="38">
        <f t="shared" si="17"/>
        <v>698910.55619508226</v>
      </c>
      <c r="AC27" s="38">
        <f t="shared" si="17"/>
        <v>999202.06132206623</v>
      </c>
      <c r="AD27" s="38">
        <f t="shared" si="17"/>
        <v>2035978.4086505375</v>
      </c>
      <c r="AE27" s="38">
        <f t="shared" si="17"/>
        <v>3287058.4887806904</v>
      </c>
      <c r="AF27" s="38">
        <f t="shared" si="17"/>
        <v>3815190.4929451183</v>
      </c>
      <c r="AG27" s="38">
        <f t="shared" si="17"/>
        <v>3789691.146271979</v>
      </c>
      <c r="AH27" s="38">
        <f t="shared" si="17"/>
        <v>3275979.3793624057</v>
      </c>
      <c r="AI27" s="38">
        <f t="shared" si="17"/>
        <v>2024299.6485260108</v>
      </c>
      <c r="AJ27" s="38">
        <f t="shared" ref="AJ27:BW27" si="18">AJ26*AJ25</f>
        <v>1205811.2315902822</v>
      </c>
      <c r="AK27" s="38">
        <f t="shared" si="18"/>
        <v>828894.42662006174</v>
      </c>
      <c r="AL27" s="38">
        <f t="shared" si="18"/>
        <v>736565.68917686341</v>
      </c>
      <c r="AM27" s="38">
        <f t="shared" si="18"/>
        <v>724995.97601369349</v>
      </c>
      <c r="AN27" s="38">
        <f t="shared" si="18"/>
        <v>735767.98554616072</v>
      </c>
      <c r="AO27" s="38">
        <f t="shared" si="18"/>
        <v>1051895.5269682633</v>
      </c>
      <c r="AP27" s="38">
        <f t="shared" si="18"/>
        <v>2112016.9790213779</v>
      </c>
      <c r="AQ27" s="38">
        <f t="shared" si="18"/>
        <v>3409821.6905662548</v>
      </c>
      <c r="AR27" s="38">
        <f t="shared" si="18"/>
        <v>3957678.0701921922</v>
      </c>
      <c r="AS27" s="38">
        <f t="shared" si="18"/>
        <v>3909401.8630254883</v>
      </c>
      <c r="AT27" s="38">
        <f t="shared" si="18"/>
        <v>3379462.7041074783</v>
      </c>
      <c r="AU27" s="38">
        <f t="shared" si="18"/>
        <v>2088244.2689437757</v>
      </c>
      <c r="AV27" s="38">
        <f t="shared" si="18"/>
        <v>1226907.4857794924</v>
      </c>
      <c r="AW27" s="38">
        <f t="shared" si="18"/>
        <v>843396.33791585732</v>
      </c>
      <c r="AX27" s="38">
        <f t="shared" si="18"/>
        <v>749452.26428815385</v>
      </c>
      <c r="AY27" s="38">
        <f t="shared" si="18"/>
        <v>735485.74011233973</v>
      </c>
      <c r="AZ27" s="38">
        <f t="shared" si="18"/>
        <v>746413.60683933261</v>
      </c>
      <c r="BA27" s="38">
        <f t="shared" si="18"/>
        <v>1067115.1092823448</v>
      </c>
      <c r="BB27" s="38">
        <f t="shared" si="18"/>
        <v>2151401.8823659061</v>
      </c>
      <c r="BC27" s="38">
        <f t="shared" si="18"/>
        <v>3473408.0627588001</v>
      </c>
      <c r="BD27" s="38">
        <f t="shared" si="18"/>
        <v>4031480.8709326978</v>
      </c>
      <c r="BE27" s="38">
        <f t="shared" si="18"/>
        <v>3987227.9262667987</v>
      </c>
      <c r="BF27" s="38">
        <f t="shared" si="18"/>
        <v>3446739.0515761357</v>
      </c>
      <c r="BG27" s="38">
        <f t="shared" si="18"/>
        <v>2129815.8024500157</v>
      </c>
      <c r="BH27" s="38">
        <f t="shared" si="18"/>
        <v>1248958.0442122694</v>
      </c>
      <c r="BI27" s="38">
        <f t="shared" si="18"/>
        <v>858554.25360775518</v>
      </c>
      <c r="BJ27" s="38">
        <f t="shared" si="18"/>
        <v>762921.77290050348</v>
      </c>
      <c r="BK27" s="38">
        <f t="shared" si="18"/>
        <v>749191.34128701955</v>
      </c>
      <c r="BL27" s="38">
        <f t="shared" si="18"/>
        <v>760322.84620151471</v>
      </c>
      <c r="BM27" s="38">
        <f t="shared" si="18"/>
        <v>1087000.5445772081</v>
      </c>
      <c r="BN27" s="38">
        <f t="shared" si="18"/>
        <v>2198780.1920606913</v>
      </c>
      <c r="BO27" s="38">
        <f t="shared" si="18"/>
        <v>3549899.6770139565</v>
      </c>
      <c r="BP27" s="38">
        <f t="shared" si="18"/>
        <v>4120262.4002216854</v>
      </c>
      <c r="BQ27" s="38">
        <f t="shared" si="18"/>
        <v>4078896.5634501395</v>
      </c>
      <c r="BR27" s="38">
        <f t="shared" si="18"/>
        <v>3525981.5422055619</v>
      </c>
      <c r="BS27" s="38">
        <f t="shared" si="18"/>
        <v>2178781.4787726472</v>
      </c>
      <c r="BT27" s="38">
        <f t="shared" si="18"/>
        <v>1279372.6286080275</v>
      </c>
      <c r="BU27" s="38">
        <f t="shared" si="18"/>
        <v>879461.73799099529</v>
      </c>
      <c r="BV27" s="38">
        <f t="shared" si="18"/>
        <v>781500.4183215982</v>
      </c>
      <c r="BW27" s="38">
        <f t="shared" si="18"/>
        <v>768826.79601834959</v>
      </c>
      <c r="BX27" s="38">
        <f t="shared" ref="BX27:CI27" si="19">BX26*BX25</f>
        <v>780250.04504251992</v>
      </c>
      <c r="BY27" s="38">
        <f t="shared" si="19"/>
        <v>1115489.5951171021</v>
      </c>
      <c r="BZ27" s="38">
        <f t="shared" si="19"/>
        <v>2259122.8043591529</v>
      </c>
      <c r="CA27" s="38">
        <f t="shared" si="19"/>
        <v>3647321.975378274</v>
      </c>
      <c r="CB27" s="38">
        <f t="shared" si="19"/>
        <v>4233337.5486527309</v>
      </c>
      <c r="CC27" s="38">
        <f t="shared" si="19"/>
        <v>4192275.1793547305</v>
      </c>
      <c r="CD27" s="38">
        <f t="shared" si="19"/>
        <v>3623991.1143390252</v>
      </c>
      <c r="CE27" s="38">
        <f t="shared" si="19"/>
        <v>2239343.7471653647</v>
      </c>
      <c r="CF27" s="38">
        <f t="shared" si="19"/>
        <v>1316179.4170724042</v>
      </c>
      <c r="CG27" s="38">
        <f t="shared" si="19"/>
        <v>904763.32833998266</v>
      </c>
      <c r="CH27" s="38">
        <f t="shared" si="19"/>
        <v>803983.71985453856</v>
      </c>
      <c r="CI27" s="38">
        <f t="shared" si="19"/>
        <v>792896.12850490992</v>
      </c>
    </row>
    <row r="28" spans="1:87" x14ac:dyDescent="0.2">
      <c r="A28" s="1">
        <v>18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70"/>
      <c r="Q28" s="70"/>
      <c r="R28" s="1"/>
      <c r="S28" s="70"/>
      <c r="T28" s="1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x14ac:dyDescent="0.2">
      <c r="A29" s="1">
        <v>19</v>
      </c>
      <c r="B29" s="35" t="s">
        <v>80</v>
      </c>
      <c r="C29" s="14"/>
      <c r="D29" s="101">
        <f>D30*$C$30+D31*$C$31+D32*$C$32+D33*$C$33</f>
        <v>30882.138216709092</v>
      </c>
      <c r="E29" s="101">
        <f t="shared" ref="E29:BP29" si="20">E30*$C$30+E31*$C$31+E32*$C$32+E33*$C$33</f>
        <v>30594.828955072728</v>
      </c>
      <c r="F29" s="101">
        <f t="shared" si="20"/>
        <v>55963.462716072725</v>
      </c>
      <c r="G29" s="101">
        <f t="shared" si="20"/>
        <v>97810.110294654543</v>
      </c>
      <c r="H29" s="101">
        <f t="shared" si="20"/>
        <v>124377.45442001818</v>
      </c>
      <c r="I29" s="101">
        <f t="shared" si="20"/>
        <v>101461.33704998181</v>
      </c>
      <c r="J29" s="101">
        <f t="shared" si="20"/>
        <v>150514.61749752727</v>
      </c>
      <c r="K29" s="101">
        <f t="shared" si="20"/>
        <v>59102.538638109087</v>
      </c>
      <c r="L29" s="101">
        <f t="shared" si="20"/>
        <v>31760.490292181821</v>
      </c>
      <c r="M29" s="101">
        <f t="shared" si="20"/>
        <v>27523.907412745451</v>
      </c>
      <c r="N29" s="101">
        <f t="shared" si="20"/>
        <v>24214.761781254543</v>
      </c>
      <c r="O29" s="101">
        <f t="shared" si="20"/>
        <v>34182.542585763636</v>
      </c>
      <c r="P29" s="101">
        <f t="shared" si="20"/>
        <v>30882.138216709092</v>
      </c>
      <c r="Q29" s="101">
        <f t="shared" si="20"/>
        <v>30594.828955072728</v>
      </c>
      <c r="R29" s="101">
        <f t="shared" si="20"/>
        <v>55963.462716072725</v>
      </c>
      <c r="S29" s="101">
        <f t="shared" si="20"/>
        <v>97810.110294654543</v>
      </c>
      <c r="T29" s="101">
        <f t="shared" si="20"/>
        <v>124377.45442001818</v>
      </c>
      <c r="U29" s="101">
        <f t="shared" si="20"/>
        <v>101461.33704998181</v>
      </c>
      <c r="V29" s="101">
        <f t="shared" si="20"/>
        <v>150514.61749752727</v>
      </c>
      <c r="W29" s="101">
        <f t="shared" si="20"/>
        <v>59102.538638109087</v>
      </c>
      <c r="X29" s="101">
        <f t="shared" si="20"/>
        <v>31760.490292181821</v>
      </c>
      <c r="Y29" s="131">
        <f t="shared" si="20"/>
        <v>27523.907412745451</v>
      </c>
      <c r="Z29" s="131">
        <f t="shared" si="20"/>
        <v>24214.761781254543</v>
      </c>
      <c r="AA29" s="131">
        <f t="shared" si="20"/>
        <v>34182.542585763636</v>
      </c>
      <c r="AB29" s="131">
        <f t="shared" si="20"/>
        <v>30882.138216709092</v>
      </c>
      <c r="AC29" s="131">
        <f t="shared" si="20"/>
        <v>30594.828955072728</v>
      </c>
      <c r="AD29" s="131">
        <f t="shared" si="20"/>
        <v>55963.462716072725</v>
      </c>
      <c r="AE29" s="131">
        <f t="shared" si="20"/>
        <v>97810.110294654543</v>
      </c>
      <c r="AF29" s="131">
        <f t="shared" si="20"/>
        <v>124377.45442001818</v>
      </c>
      <c r="AG29" s="131">
        <f t="shared" si="20"/>
        <v>101461.33704998181</v>
      </c>
      <c r="AH29" s="131">
        <f t="shared" si="20"/>
        <v>150514.61749752727</v>
      </c>
      <c r="AI29" s="131">
        <f t="shared" si="20"/>
        <v>59102.538638109087</v>
      </c>
      <c r="AJ29" s="131">
        <f t="shared" si="20"/>
        <v>31760.490292181821</v>
      </c>
      <c r="AK29" s="101">
        <f t="shared" si="20"/>
        <v>27523.907412745451</v>
      </c>
      <c r="AL29" s="101">
        <f t="shared" si="20"/>
        <v>24214.761781254543</v>
      </c>
      <c r="AM29" s="101">
        <f t="shared" si="20"/>
        <v>34182.542585763636</v>
      </c>
      <c r="AN29" s="101">
        <f t="shared" si="20"/>
        <v>30882.138216709092</v>
      </c>
      <c r="AO29" s="101">
        <f t="shared" si="20"/>
        <v>30594.828955072728</v>
      </c>
      <c r="AP29" s="101">
        <f t="shared" si="20"/>
        <v>55963.462716072725</v>
      </c>
      <c r="AQ29" s="101">
        <f t="shared" si="20"/>
        <v>97810.110294654543</v>
      </c>
      <c r="AR29" s="101">
        <f t="shared" si="20"/>
        <v>124377.45442001818</v>
      </c>
      <c r="AS29" s="101">
        <f t="shared" si="20"/>
        <v>101461.33704998181</v>
      </c>
      <c r="AT29" s="101">
        <f t="shared" si="20"/>
        <v>150514.61749752727</v>
      </c>
      <c r="AU29" s="101">
        <f t="shared" si="20"/>
        <v>59102.538638109087</v>
      </c>
      <c r="AV29" s="101">
        <f t="shared" si="20"/>
        <v>31760.490292181821</v>
      </c>
      <c r="AW29" s="101">
        <f t="shared" si="20"/>
        <v>27523.907412745451</v>
      </c>
      <c r="AX29" s="101">
        <f t="shared" si="20"/>
        <v>24214.761781254543</v>
      </c>
      <c r="AY29" s="101">
        <f t="shared" si="20"/>
        <v>34182.542585763636</v>
      </c>
      <c r="AZ29" s="101">
        <f t="shared" si="20"/>
        <v>30882.138216709092</v>
      </c>
      <c r="BA29" s="101">
        <f t="shared" si="20"/>
        <v>30594.828955072728</v>
      </c>
      <c r="BB29" s="101">
        <f t="shared" si="20"/>
        <v>55963.462716072725</v>
      </c>
      <c r="BC29" s="101">
        <f t="shared" si="20"/>
        <v>97810.110294654543</v>
      </c>
      <c r="BD29" s="101">
        <f t="shared" si="20"/>
        <v>124377.45442001818</v>
      </c>
      <c r="BE29" s="101">
        <f t="shared" si="20"/>
        <v>101461.33704998181</v>
      </c>
      <c r="BF29" s="101">
        <f t="shared" si="20"/>
        <v>150514.61749752727</v>
      </c>
      <c r="BG29" s="101">
        <f t="shared" si="20"/>
        <v>59102.538638109087</v>
      </c>
      <c r="BH29" s="101">
        <f t="shared" si="20"/>
        <v>31760.490292181821</v>
      </c>
      <c r="BI29" s="101">
        <f t="shared" si="20"/>
        <v>27523.907412745451</v>
      </c>
      <c r="BJ29" s="101">
        <f t="shared" si="20"/>
        <v>24214.761781254543</v>
      </c>
      <c r="BK29" s="101">
        <f t="shared" si="20"/>
        <v>34182.542585763636</v>
      </c>
      <c r="BL29" s="101">
        <f t="shared" si="20"/>
        <v>30882.138216709092</v>
      </c>
      <c r="BM29" s="101">
        <f t="shared" si="20"/>
        <v>30594.828955072728</v>
      </c>
      <c r="BN29" s="101">
        <f t="shared" si="20"/>
        <v>55963.462716072725</v>
      </c>
      <c r="BO29" s="101">
        <f t="shared" si="20"/>
        <v>97810.110294654543</v>
      </c>
      <c r="BP29" s="101">
        <f t="shared" si="20"/>
        <v>124377.45442001818</v>
      </c>
      <c r="BQ29" s="101">
        <f t="shared" ref="BQ29:CI29" si="21">BQ30*$C$30+BQ31*$C$31+BQ32*$C$32+BQ33*$C$33</f>
        <v>101461.33704998181</v>
      </c>
      <c r="BR29" s="101">
        <f t="shared" si="21"/>
        <v>150514.61749752727</v>
      </c>
      <c r="BS29" s="101">
        <f t="shared" si="21"/>
        <v>59102.538638109087</v>
      </c>
      <c r="BT29" s="101">
        <f t="shared" si="21"/>
        <v>31760.490292181821</v>
      </c>
      <c r="BU29" s="101">
        <f t="shared" si="21"/>
        <v>27523.907412745451</v>
      </c>
      <c r="BV29" s="101">
        <f t="shared" si="21"/>
        <v>24214.761781254543</v>
      </c>
      <c r="BW29" s="101">
        <f t="shared" si="21"/>
        <v>34182.542585763636</v>
      </c>
      <c r="BX29" s="101">
        <f t="shared" si="21"/>
        <v>30882.138216709092</v>
      </c>
      <c r="BY29" s="101">
        <f t="shared" si="21"/>
        <v>30594.828955072728</v>
      </c>
      <c r="BZ29" s="101">
        <f t="shared" si="21"/>
        <v>55963.462716072725</v>
      </c>
      <c r="CA29" s="101">
        <f t="shared" si="21"/>
        <v>97810.110294654543</v>
      </c>
      <c r="CB29" s="101">
        <f t="shared" si="21"/>
        <v>124377.45442001818</v>
      </c>
      <c r="CC29" s="101">
        <f t="shared" si="21"/>
        <v>101461.33704998181</v>
      </c>
      <c r="CD29" s="101">
        <f t="shared" si="21"/>
        <v>150514.61749752727</v>
      </c>
      <c r="CE29" s="101">
        <f t="shared" si="21"/>
        <v>59102.538638109087</v>
      </c>
      <c r="CF29" s="101">
        <f t="shared" si="21"/>
        <v>31760.490292181821</v>
      </c>
      <c r="CG29" s="101">
        <f t="shared" si="21"/>
        <v>27523.907412745451</v>
      </c>
      <c r="CH29" s="101">
        <f t="shared" si="21"/>
        <v>24214.761781254543</v>
      </c>
      <c r="CI29" s="101">
        <f t="shared" si="21"/>
        <v>34182.542585763636</v>
      </c>
    </row>
    <row r="30" spans="1:87" x14ac:dyDescent="0.2">
      <c r="A30" s="1">
        <v>20</v>
      </c>
      <c r="B30" s="1" t="s">
        <v>23</v>
      </c>
      <c r="C30" s="138">
        <f>C21</f>
        <v>48.44</v>
      </c>
      <c r="D30" s="70">
        <f>'Bill Frequency'!C27+'Contract &amp; Vol Adj'!C27</f>
        <v>188</v>
      </c>
      <c r="E30" s="70">
        <f>'Bill Frequency'!D27+'Contract &amp; Vol Adj'!D27</f>
        <v>194</v>
      </c>
      <c r="F30" s="70">
        <f>'Bill Frequency'!E27+'Contract &amp; Vol Adj'!E27</f>
        <v>181</v>
      </c>
      <c r="G30" s="70">
        <f>'Bill Frequency'!F27+'Contract &amp; Vol Adj'!F27</f>
        <v>200</v>
      </c>
      <c r="H30" s="70">
        <f>'Bill Frequency'!G27+'Contract &amp; Vol Adj'!G27</f>
        <v>201</v>
      </c>
      <c r="I30" s="70">
        <f>'Bill Frequency'!H27+'Contract &amp; Vol Adj'!H27</f>
        <v>169</v>
      </c>
      <c r="J30" s="70">
        <f>'Bill Frequency'!I27+'Contract &amp; Vol Adj'!I27</f>
        <v>234</v>
      </c>
      <c r="K30" s="70">
        <f>'Bill Frequency'!J27+'Contract &amp; Vol Adj'!J27</f>
        <v>197</v>
      </c>
      <c r="L30" s="70">
        <f>'Bill Frequency'!K27+'Contract &amp; Vol Adj'!K27</f>
        <v>193</v>
      </c>
      <c r="M30" s="70">
        <f>'Bill Frequency'!L27+'Contract &amp; Vol Adj'!L27</f>
        <v>205</v>
      </c>
      <c r="N30" s="70">
        <f>'Bill Frequency'!M27+'Contract &amp; Vol Adj'!M27</f>
        <v>193</v>
      </c>
      <c r="O30" s="70">
        <f>'Bill Frequency'!N27+'Contract &amp; Vol Adj'!N27</f>
        <v>211</v>
      </c>
      <c r="P30" s="6">
        <f t="shared" ref="P30:Y33" si="22">D30</f>
        <v>188</v>
      </c>
      <c r="Q30" s="6">
        <f t="shared" si="22"/>
        <v>194</v>
      </c>
      <c r="R30" s="6">
        <f t="shared" si="22"/>
        <v>181</v>
      </c>
      <c r="S30" s="6">
        <f t="shared" si="22"/>
        <v>200</v>
      </c>
      <c r="T30" s="6">
        <f t="shared" si="22"/>
        <v>201</v>
      </c>
      <c r="U30" s="6">
        <f t="shared" si="22"/>
        <v>169</v>
      </c>
      <c r="V30" s="6">
        <f t="shared" si="22"/>
        <v>234</v>
      </c>
      <c r="W30" s="6">
        <f t="shared" si="22"/>
        <v>197</v>
      </c>
      <c r="X30" s="6">
        <f t="shared" si="22"/>
        <v>193</v>
      </c>
      <c r="Y30" s="6">
        <f t="shared" si="22"/>
        <v>205</v>
      </c>
      <c r="Z30" s="6">
        <f t="shared" ref="Z30:AI33" si="23">N30</f>
        <v>193</v>
      </c>
      <c r="AA30" s="6">
        <f t="shared" si="23"/>
        <v>211</v>
      </c>
      <c r="AB30" s="6">
        <f t="shared" si="23"/>
        <v>188</v>
      </c>
      <c r="AC30" s="6">
        <f t="shared" si="23"/>
        <v>194</v>
      </c>
      <c r="AD30" s="6">
        <f t="shared" si="23"/>
        <v>181</v>
      </c>
      <c r="AE30" s="6">
        <f t="shared" si="23"/>
        <v>200</v>
      </c>
      <c r="AF30" s="6">
        <f t="shared" si="23"/>
        <v>201</v>
      </c>
      <c r="AG30" s="6">
        <f t="shared" si="23"/>
        <v>169</v>
      </c>
      <c r="AH30" s="6">
        <f t="shared" si="23"/>
        <v>234</v>
      </c>
      <c r="AI30" s="6">
        <f t="shared" si="23"/>
        <v>197</v>
      </c>
      <c r="AJ30" s="6">
        <f t="shared" ref="AJ30:AS33" si="24">X30</f>
        <v>193</v>
      </c>
      <c r="AK30" s="6">
        <f t="shared" si="24"/>
        <v>205</v>
      </c>
      <c r="AL30" s="6">
        <f t="shared" si="24"/>
        <v>193</v>
      </c>
      <c r="AM30" s="6">
        <f t="shared" si="24"/>
        <v>211</v>
      </c>
      <c r="AN30" s="6">
        <f t="shared" si="24"/>
        <v>188</v>
      </c>
      <c r="AO30" s="6">
        <f t="shared" si="24"/>
        <v>194</v>
      </c>
      <c r="AP30" s="6">
        <f t="shared" si="24"/>
        <v>181</v>
      </c>
      <c r="AQ30" s="6">
        <f t="shared" si="24"/>
        <v>200</v>
      </c>
      <c r="AR30" s="6">
        <f t="shared" si="24"/>
        <v>201</v>
      </c>
      <c r="AS30" s="6">
        <f t="shared" si="24"/>
        <v>169</v>
      </c>
      <c r="AT30" s="6">
        <f t="shared" ref="AT30:BC33" si="25">AH30</f>
        <v>234</v>
      </c>
      <c r="AU30" s="6">
        <f t="shared" si="25"/>
        <v>197</v>
      </c>
      <c r="AV30" s="6">
        <f t="shared" si="25"/>
        <v>193</v>
      </c>
      <c r="AW30" s="6">
        <f t="shared" si="25"/>
        <v>205</v>
      </c>
      <c r="AX30" s="6">
        <f t="shared" si="25"/>
        <v>193</v>
      </c>
      <c r="AY30" s="6">
        <f t="shared" si="25"/>
        <v>211</v>
      </c>
      <c r="AZ30" s="6">
        <f t="shared" si="25"/>
        <v>188</v>
      </c>
      <c r="BA30" s="6">
        <f t="shared" si="25"/>
        <v>194</v>
      </c>
      <c r="BB30" s="6">
        <f t="shared" si="25"/>
        <v>181</v>
      </c>
      <c r="BC30" s="6">
        <f t="shared" si="25"/>
        <v>200</v>
      </c>
      <c r="BD30" s="6">
        <f t="shared" ref="BD30:BS33" si="26">AR30</f>
        <v>201</v>
      </c>
      <c r="BE30" s="6">
        <f t="shared" si="26"/>
        <v>169</v>
      </c>
      <c r="BF30" s="6">
        <f t="shared" si="26"/>
        <v>234</v>
      </c>
      <c r="BG30" s="6">
        <f t="shared" si="26"/>
        <v>197</v>
      </c>
      <c r="BH30" s="6">
        <f t="shared" si="26"/>
        <v>193</v>
      </c>
      <c r="BI30" s="6">
        <f t="shared" si="26"/>
        <v>205</v>
      </c>
      <c r="BJ30" s="6">
        <f t="shared" si="26"/>
        <v>193</v>
      </c>
      <c r="BK30" s="6">
        <f t="shared" si="26"/>
        <v>211</v>
      </c>
      <c r="BL30" s="6">
        <f t="shared" si="26"/>
        <v>188</v>
      </c>
      <c r="BM30" s="6">
        <f t="shared" si="26"/>
        <v>194</v>
      </c>
      <c r="BN30" s="6">
        <f t="shared" si="26"/>
        <v>181</v>
      </c>
      <c r="BO30" s="6">
        <f t="shared" si="26"/>
        <v>200</v>
      </c>
      <c r="BP30" s="6">
        <f t="shared" si="26"/>
        <v>201</v>
      </c>
      <c r="BQ30" s="6">
        <f t="shared" si="26"/>
        <v>169</v>
      </c>
      <c r="BR30" s="6">
        <f t="shared" si="26"/>
        <v>234</v>
      </c>
      <c r="BS30" s="6">
        <f t="shared" si="26"/>
        <v>197</v>
      </c>
      <c r="BT30" s="6">
        <f t="shared" ref="BT30:BW33" si="27">BH30</f>
        <v>193</v>
      </c>
      <c r="BU30" s="6">
        <f t="shared" si="27"/>
        <v>205</v>
      </c>
      <c r="BV30" s="6">
        <f t="shared" si="27"/>
        <v>193</v>
      </c>
      <c r="BW30" s="6">
        <f t="shared" si="27"/>
        <v>211</v>
      </c>
      <c r="BX30" s="6">
        <f t="shared" ref="BX30:CI33" si="28">BL30</f>
        <v>188</v>
      </c>
      <c r="BY30" s="6">
        <f t="shared" si="28"/>
        <v>194</v>
      </c>
      <c r="BZ30" s="6">
        <f t="shared" si="28"/>
        <v>181</v>
      </c>
      <c r="CA30" s="6">
        <f t="shared" si="28"/>
        <v>200</v>
      </c>
      <c r="CB30" s="6">
        <f t="shared" si="28"/>
        <v>201</v>
      </c>
      <c r="CC30" s="6">
        <f t="shared" si="28"/>
        <v>169</v>
      </c>
      <c r="CD30" s="6">
        <f t="shared" si="28"/>
        <v>234</v>
      </c>
      <c r="CE30" s="6">
        <f t="shared" si="28"/>
        <v>197</v>
      </c>
      <c r="CF30" s="6">
        <f t="shared" si="28"/>
        <v>193</v>
      </c>
      <c r="CG30" s="6">
        <f t="shared" si="28"/>
        <v>205</v>
      </c>
      <c r="CH30" s="6">
        <f t="shared" si="28"/>
        <v>193</v>
      </c>
      <c r="CI30" s="6">
        <f t="shared" si="28"/>
        <v>211</v>
      </c>
    </row>
    <row r="31" spans="1:87" x14ac:dyDescent="0.2">
      <c r="A31" s="1">
        <v>21</v>
      </c>
      <c r="B31" s="1" t="s">
        <v>24</v>
      </c>
      <c r="C31" s="14">
        <f>C22</f>
        <v>1.3180000000000001</v>
      </c>
      <c r="D31" s="70">
        <f>'Bill Frequency'!C28+'Contract &amp; Vol Adj'!C28</f>
        <v>10101.737645454547</v>
      </c>
      <c r="E31" s="70">
        <f>'Bill Frequency'!D28+'Contract &amp; Vol Adj'!D28</f>
        <v>11349.108463636363</v>
      </c>
      <c r="F31" s="70">
        <f>'Bill Frequency'!E28+'Contract &amp; Vol Adj'!E28</f>
        <v>22690.29796363636</v>
      </c>
      <c r="G31" s="70">
        <f>'Bill Frequency'!F28+'Contract &amp; Vol Adj'!F28</f>
        <v>36089.256672727272</v>
      </c>
      <c r="H31" s="70">
        <f>'Bill Frequency'!G28+'Contract &amp; Vol Adj'!G28</f>
        <v>42579.623990909102</v>
      </c>
      <c r="I31" s="70">
        <f>'Bill Frequency'!H28+'Contract &amp; Vol Adj'!H28</f>
        <v>34343.541009090899</v>
      </c>
      <c r="J31" s="70">
        <f>'Bill Frequency'!I28+'Contract &amp; Vol Adj'!I28</f>
        <v>51216.227236363644</v>
      </c>
      <c r="K31" s="70">
        <f>'Bill Frequency'!J28+'Contract &amp; Vol Adj'!J28</f>
        <v>24163.344945454544</v>
      </c>
      <c r="L31" s="70">
        <f>'Bill Frequency'!K28+'Contract &amp; Vol Adj'!K28</f>
        <v>13009.233909090908</v>
      </c>
      <c r="M31" s="70">
        <f>'Bill Frequency'!L28+'Contract &amp; Vol Adj'!L28</f>
        <v>9589.5276272727278</v>
      </c>
      <c r="N31" s="70">
        <f>'Bill Frequency'!M28+'Contract &amp; Vol Adj'!M28</f>
        <v>8581.6553727272712</v>
      </c>
      <c r="O31" s="70">
        <f>'Bill Frequency'!N28+'Contract &amp; Vol Adj'!N28</f>
        <v>11302.885118181819</v>
      </c>
      <c r="P31" s="6">
        <f t="shared" si="22"/>
        <v>10101.737645454547</v>
      </c>
      <c r="Q31" s="6">
        <f t="shared" si="22"/>
        <v>11349.108463636363</v>
      </c>
      <c r="R31" s="6">
        <f t="shared" si="22"/>
        <v>22690.29796363636</v>
      </c>
      <c r="S31" s="6">
        <f t="shared" si="22"/>
        <v>36089.256672727272</v>
      </c>
      <c r="T31" s="6">
        <f t="shared" si="22"/>
        <v>42579.623990909102</v>
      </c>
      <c r="U31" s="6">
        <f t="shared" si="22"/>
        <v>34343.541009090899</v>
      </c>
      <c r="V31" s="6">
        <f t="shared" si="22"/>
        <v>51216.227236363644</v>
      </c>
      <c r="W31" s="6">
        <f t="shared" si="22"/>
        <v>24163.344945454544</v>
      </c>
      <c r="X31" s="6">
        <f t="shared" si="22"/>
        <v>13009.233909090908</v>
      </c>
      <c r="Y31" s="6">
        <f t="shared" si="22"/>
        <v>9589.5276272727278</v>
      </c>
      <c r="Z31" s="6">
        <f t="shared" si="23"/>
        <v>8581.6553727272712</v>
      </c>
      <c r="AA31" s="6">
        <f t="shared" si="23"/>
        <v>11302.885118181819</v>
      </c>
      <c r="AB31" s="6">
        <f t="shared" si="23"/>
        <v>10101.737645454547</v>
      </c>
      <c r="AC31" s="6">
        <f t="shared" si="23"/>
        <v>11349.108463636363</v>
      </c>
      <c r="AD31" s="6">
        <f t="shared" si="23"/>
        <v>22690.29796363636</v>
      </c>
      <c r="AE31" s="6">
        <f t="shared" si="23"/>
        <v>36089.256672727272</v>
      </c>
      <c r="AF31" s="6">
        <f t="shared" si="23"/>
        <v>42579.623990909102</v>
      </c>
      <c r="AG31" s="6">
        <f t="shared" si="23"/>
        <v>34343.541009090899</v>
      </c>
      <c r="AH31" s="6">
        <f t="shared" si="23"/>
        <v>51216.227236363644</v>
      </c>
      <c r="AI31" s="6">
        <f t="shared" si="23"/>
        <v>24163.344945454544</v>
      </c>
      <c r="AJ31" s="6">
        <f t="shared" si="24"/>
        <v>13009.233909090908</v>
      </c>
      <c r="AK31" s="6">
        <f t="shared" si="24"/>
        <v>9589.5276272727278</v>
      </c>
      <c r="AL31" s="6">
        <f t="shared" si="24"/>
        <v>8581.6553727272712</v>
      </c>
      <c r="AM31" s="6">
        <f t="shared" si="24"/>
        <v>11302.885118181819</v>
      </c>
      <c r="AN31" s="6">
        <f t="shared" si="24"/>
        <v>10101.737645454547</v>
      </c>
      <c r="AO31" s="6">
        <f t="shared" si="24"/>
        <v>11349.108463636363</v>
      </c>
      <c r="AP31" s="6">
        <f t="shared" si="24"/>
        <v>22690.29796363636</v>
      </c>
      <c r="AQ31" s="6">
        <f t="shared" si="24"/>
        <v>36089.256672727272</v>
      </c>
      <c r="AR31" s="6">
        <f t="shared" si="24"/>
        <v>42579.623990909102</v>
      </c>
      <c r="AS31" s="6">
        <f t="shared" si="24"/>
        <v>34343.541009090899</v>
      </c>
      <c r="AT31" s="6">
        <f t="shared" si="25"/>
        <v>51216.227236363644</v>
      </c>
      <c r="AU31" s="6">
        <f t="shared" si="25"/>
        <v>24163.344945454544</v>
      </c>
      <c r="AV31" s="6">
        <f t="shared" si="25"/>
        <v>13009.233909090908</v>
      </c>
      <c r="AW31" s="6">
        <f t="shared" si="25"/>
        <v>9589.5276272727278</v>
      </c>
      <c r="AX31" s="6">
        <f t="shared" si="25"/>
        <v>8581.6553727272712</v>
      </c>
      <c r="AY31" s="6">
        <f t="shared" si="25"/>
        <v>11302.885118181819</v>
      </c>
      <c r="AZ31" s="6">
        <f t="shared" si="25"/>
        <v>10101.737645454547</v>
      </c>
      <c r="BA31" s="6">
        <f t="shared" si="25"/>
        <v>11349.108463636363</v>
      </c>
      <c r="BB31" s="6">
        <f t="shared" si="25"/>
        <v>22690.29796363636</v>
      </c>
      <c r="BC31" s="6">
        <f t="shared" si="25"/>
        <v>36089.256672727272</v>
      </c>
      <c r="BD31" s="6">
        <f t="shared" si="26"/>
        <v>42579.623990909102</v>
      </c>
      <c r="BE31" s="6">
        <f t="shared" si="26"/>
        <v>34343.541009090899</v>
      </c>
      <c r="BF31" s="6">
        <f t="shared" si="26"/>
        <v>51216.227236363644</v>
      </c>
      <c r="BG31" s="6">
        <f t="shared" si="26"/>
        <v>24163.344945454544</v>
      </c>
      <c r="BH31" s="6">
        <f t="shared" si="26"/>
        <v>13009.233909090908</v>
      </c>
      <c r="BI31" s="6">
        <f t="shared" si="26"/>
        <v>9589.5276272727278</v>
      </c>
      <c r="BJ31" s="6">
        <f t="shared" si="26"/>
        <v>8581.6553727272712</v>
      </c>
      <c r="BK31" s="6">
        <f t="shared" si="26"/>
        <v>11302.885118181819</v>
      </c>
      <c r="BL31" s="6">
        <f t="shared" si="26"/>
        <v>10101.737645454547</v>
      </c>
      <c r="BM31" s="6">
        <f t="shared" si="26"/>
        <v>11349.108463636363</v>
      </c>
      <c r="BN31" s="6">
        <f t="shared" si="26"/>
        <v>22690.29796363636</v>
      </c>
      <c r="BO31" s="6">
        <f t="shared" si="26"/>
        <v>36089.256672727272</v>
      </c>
      <c r="BP31" s="6">
        <f t="shared" si="26"/>
        <v>42579.623990909102</v>
      </c>
      <c r="BQ31" s="6">
        <f t="shared" si="26"/>
        <v>34343.541009090899</v>
      </c>
      <c r="BR31" s="6">
        <f t="shared" si="26"/>
        <v>51216.227236363644</v>
      </c>
      <c r="BS31" s="6">
        <f t="shared" si="26"/>
        <v>24163.344945454544</v>
      </c>
      <c r="BT31" s="6">
        <f t="shared" si="27"/>
        <v>13009.233909090908</v>
      </c>
      <c r="BU31" s="6">
        <f t="shared" si="27"/>
        <v>9589.5276272727278</v>
      </c>
      <c r="BV31" s="6">
        <f t="shared" si="27"/>
        <v>8581.6553727272712</v>
      </c>
      <c r="BW31" s="6">
        <f t="shared" si="27"/>
        <v>11302.885118181819</v>
      </c>
      <c r="BX31" s="6">
        <f t="shared" si="28"/>
        <v>10101.737645454547</v>
      </c>
      <c r="BY31" s="6">
        <f t="shared" si="28"/>
        <v>11349.108463636363</v>
      </c>
      <c r="BZ31" s="6">
        <f t="shared" si="28"/>
        <v>22690.29796363636</v>
      </c>
      <c r="CA31" s="6">
        <f t="shared" si="28"/>
        <v>36089.256672727272</v>
      </c>
      <c r="CB31" s="6">
        <f t="shared" si="28"/>
        <v>42579.623990909102</v>
      </c>
      <c r="CC31" s="6">
        <f t="shared" si="28"/>
        <v>34343.541009090899</v>
      </c>
      <c r="CD31" s="6">
        <f t="shared" si="28"/>
        <v>51216.227236363644</v>
      </c>
      <c r="CE31" s="6">
        <f t="shared" si="28"/>
        <v>24163.344945454544</v>
      </c>
      <c r="CF31" s="6">
        <f t="shared" si="28"/>
        <v>13009.233909090908</v>
      </c>
      <c r="CG31" s="6">
        <f t="shared" si="28"/>
        <v>9589.5276272727278</v>
      </c>
      <c r="CH31" s="6">
        <f t="shared" si="28"/>
        <v>8581.6553727272712</v>
      </c>
      <c r="CI31" s="6">
        <f t="shared" si="28"/>
        <v>11302.885118181819</v>
      </c>
    </row>
    <row r="32" spans="1:87" x14ac:dyDescent="0.2">
      <c r="A32" s="1">
        <v>22</v>
      </c>
      <c r="B32" s="1" t="s">
        <v>25</v>
      </c>
      <c r="C32" s="14">
        <f>C23</f>
        <v>0.87999999999999989</v>
      </c>
      <c r="D32" s="70">
        <f>'Bill Frequency'!C29+'Contract &amp; Vol Adj'!C29</f>
        <v>9615.1454545454544</v>
      </c>
      <c r="E32" s="70">
        <f>'Bill Frequency'!D29+'Contract &amp; Vol Adj'!D29</f>
        <v>7090.1636363636371</v>
      </c>
      <c r="F32" s="70">
        <f>'Bill Frequency'!E29+'Contract &amp; Vol Adj'!E29</f>
        <v>19647.738636363636</v>
      </c>
      <c r="G32" s="70">
        <f>'Bill Frequency'!F29+'Contract &amp; Vol Adj'!F29</f>
        <v>46086.897727272728</v>
      </c>
      <c r="H32" s="70">
        <f>'Bill Frequency'!G29+'Contract &amp; Vol Adj'!G29</f>
        <v>66501.215909090912</v>
      </c>
      <c r="I32" s="70">
        <f>'Bill Frequency'!H29+'Contract &amp; Vol Adj'!H29</f>
        <v>54557.034090909096</v>
      </c>
      <c r="J32" s="70">
        <f>'Bill Frequency'!I29+'Contract &amp; Vol Adj'!I29</f>
        <v>81450.761363636368</v>
      </c>
      <c r="K32" s="70">
        <f>'Bill Frequency'!J29+'Contract &amp; Vol Adj'!J29</f>
        <v>20127.920454545456</v>
      </c>
      <c r="L32" s="70">
        <f>'Bill Frequency'!K29+'Contract &amp; Vol Adj'!K29</f>
        <v>5983.409090909091</v>
      </c>
      <c r="M32" s="70">
        <f>'Bill Frequency'!L29+'Contract &amp; Vol Adj'!L29</f>
        <v>5630.352272727273</v>
      </c>
      <c r="N32" s="70">
        <f>'Bill Frequency'!M29+'Contract &amp; Vol Adj'!M29</f>
        <v>4040.022727272727</v>
      </c>
      <c r="O32" s="70">
        <f>'Bill Frequency'!N29+'Contract &amp; Vol Adj'!N29</f>
        <v>10300.568181818182</v>
      </c>
      <c r="P32" s="6">
        <f t="shared" si="22"/>
        <v>9615.1454545454544</v>
      </c>
      <c r="Q32" s="6">
        <f t="shared" si="22"/>
        <v>7090.1636363636371</v>
      </c>
      <c r="R32" s="6">
        <f t="shared" si="22"/>
        <v>19647.738636363636</v>
      </c>
      <c r="S32" s="6">
        <f t="shared" si="22"/>
        <v>46086.897727272728</v>
      </c>
      <c r="T32" s="6">
        <f t="shared" si="22"/>
        <v>66501.215909090912</v>
      </c>
      <c r="U32" s="6">
        <f t="shared" si="22"/>
        <v>54557.034090909096</v>
      </c>
      <c r="V32" s="6">
        <f t="shared" si="22"/>
        <v>81450.761363636368</v>
      </c>
      <c r="W32" s="6">
        <f t="shared" si="22"/>
        <v>20127.920454545456</v>
      </c>
      <c r="X32" s="6">
        <f t="shared" si="22"/>
        <v>5983.409090909091</v>
      </c>
      <c r="Y32" s="6">
        <f t="shared" si="22"/>
        <v>5630.352272727273</v>
      </c>
      <c r="Z32" s="6">
        <f t="shared" si="23"/>
        <v>4040.022727272727</v>
      </c>
      <c r="AA32" s="6">
        <f t="shared" si="23"/>
        <v>10300.568181818182</v>
      </c>
      <c r="AB32" s="6">
        <f t="shared" si="23"/>
        <v>9615.1454545454544</v>
      </c>
      <c r="AC32" s="6">
        <f t="shared" si="23"/>
        <v>7090.1636363636371</v>
      </c>
      <c r="AD32" s="6">
        <f t="shared" si="23"/>
        <v>19647.738636363636</v>
      </c>
      <c r="AE32" s="6">
        <f t="shared" si="23"/>
        <v>46086.897727272728</v>
      </c>
      <c r="AF32" s="6">
        <f t="shared" si="23"/>
        <v>66501.215909090912</v>
      </c>
      <c r="AG32" s="6">
        <f t="shared" si="23"/>
        <v>54557.034090909096</v>
      </c>
      <c r="AH32" s="6">
        <f t="shared" si="23"/>
        <v>81450.761363636368</v>
      </c>
      <c r="AI32" s="6">
        <f t="shared" si="23"/>
        <v>20127.920454545456</v>
      </c>
      <c r="AJ32" s="6">
        <f t="shared" si="24"/>
        <v>5983.409090909091</v>
      </c>
      <c r="AK32" s="6">
        <f t="shared" si="24"/>
        <v>5630.352272727273</v>
      </c>
      <c r="AL32" s="6">
        <f t="shared" si="24"/>
        <v>4040.022727272727</v>
      </c>
      <c r="AM32" s="6">
        <f t="shared" si="24"/>
        <v>10300.568181818182</v>
      </c>
      <c r="AN32" s="6">
        <f t="shared" si="24"/>
        <v>9615.1454545454544</v>
      </c>
      <c r="AO32" s="6">
        <f t="shared" si="24"/>
        <v>7090.1636363636371</v>
      </c>
      <c r="AP32" s="6">
        <f t="shared" si="24"/>
        <v>19647.738636363636</v>
      </c>
      <c r="AQ32" s="6">
        <f t="shared" si="24"/>
        <v>46086.897727272728</v>
      </c>
      <c r="AR32" s="6">
        <f t="shared" si="24"/>
        <v>66501.215909090912</v>
      </c>
      <c r="AS32" s="6">
        <f t="shared" si="24"/>
        <v>54557.034090909096</v>
      </c>
      <c r="AT32" s="6">
        <f t="shared" si="25"/>
        <v>81450.761363636368</v>
      </c>
      <c r="AU32" s="6">
        <f t="shared" si="25"/>
        <v>20127.920454545456</v>
      </c>
      <c r="AV32" s="6">
        <f t="shared" si="25"/>
        <v>5983.409090909091</v>
      </c>
      <c r="AW32" s="6">
        <f t="shared" si="25"/>
        <v>5630.352272727273</v>
      </c>
      <c r="AX32" s="6">
        <f t="shared" si="25"/>
        <v>4040.022727272727</v>
      </c>
      <c r="AY32" s="6">
        <f t="shared" si="25"/>
        <v>10300.568181818182</v>
      </c>
      <c r="AZ32" s="6">
        <f t="shared" si="25"/>
        <v>9615.1454545454544</v>
      </c>
      <c r="BA32" s="6">
        <f t="shared" si="25"/>
        <v>7090.1636363636371</v>
      </c>
      <c r="BB32" s="6">
        <f t="shared" si="25"/>
        <v>19647.738636363636</v>
      </c>
      <c r="BC32" s="6">
        <f t="shared" si="25"/>
        <v>46086.897727272728</v>
      </c>
      <c r="BD32" s="6">
        <f t="shared" si="26"/>
        <v>66501.215909090912</v>
      </c>
      <c r="BE32" s="6">
        <f t="shared" si="26"/>
        <v>54557.034090909096</v>
      </c>
      <c r="BF32" s="6">
        <f t="shared" si="26"/>
        <v>81450.761363636368</v>
      </c>
      <c r="BG32" s="6">
        <f t="shared" si="26"/>
        <v>20127.920454545456</v>
      </c>
      <c r="BH32" s="6">
        <f t="shared" si="26"/>
        <v>5983.409090909091</v>
      </c>
      <c r="BI32" s="6">
        <f t="shared" si="26"/>
        <v>5630.352272727273</v>
      </c>
      <c r="BJ32" s="6">
        <f t="shared" si="26"/>
        <v>4040.022727272727</v>
      </c>
      <c r="BK32" s="6">
        <f t="shared" si="26"/>
        <v>10300.568181818182</v>
      </c>
      <c r="BL32" s="6">
        <f t="shared" si="26"/>
        <v>9615.1454545454544</v>
      </c>
      <c r="BM32" s="6">
        <f t="shared" si="26"/>
        <v>7090.1636363636371</v>
      </c>
      <c r="BN32" s="6">
        <f t="shared" si="26"/>
        <v>19647.738636363636</v>
      </c>
      <c r="BO32" s="6">
        <f t="shared" si="26"/>
        <v>46086.897727272728</v>
      </c>
      <c r="BP32" s="6">
        <f t="shared" si="26"/>
        <v>66501.215909090912</v>
      </c>
      <c r="BQ32" s="6">
        <f t="shared" si="26"/>
        <v>54557.034090909096</v>
      </c>
      <c r="BR32" s="6">
        <f t="shared" si="26"/>
        <v>81450.761363636368</v>
      </c>
      <c r="BS32" s="6">
        <f t="shared" si="26"/>
        <v>20127.920454545456</v>
      </c>
      <c r="BT32" s="6">
        <f t="shared" si="27"/>
        <v>5983.409090909091</v>
      </c>
      <c r="BU32" s="6">
        <f t="shared" si="27"/>
        <v>5630.352272727273</v>
      </c>
      <c r="BV32" s="6">
        <f t="shared" si="27"/>
        <v>4040.022727272727</v>
      </c>
      <c r="BW32" s="6">
        <f t="shared" si="27"/>
        <v>10300.568181818182</v>
      </c>
      <c r="BX32" s="6">
        <f t="shared" si="28"/>
        <v>9615.1454545454544</v>
      </c>
      <c r="BY32" s="6">
        <f t="shared" si="28"/>
        <v>7090.1636363636371</v>
      </c>
      <c r="BZ32" s="6">
        <f t="shared" si="28"/>
        <v>19647.738636363636</v>
      </c>
      <c r="CA32" s="6">
        <f t="shared" si="28"/>
        <v>46086.897727272728</v>
      </c>
      <c r="CB32" s="6">
        <f t="shared" si="28"/>
        <v>66501.215909090912</v>
      </c>
      <c r="CC32" s="6">
        <f t="shared" si="28"/>
        <v>54557.034090909096</v>
      </c>
      <c r="CD32" s="6">
        <f t="shared" si="28"/>
        <v>81450.761363636368</v>
      </c>
      <c r="CE32" s="6">
        <f t="shared" si="28"/>
        <v>20127.920454545456</v>
      </c>
      <c r="CF32" s="6">
        <f t="shared" si="28"/>
        <v>5983.409090909091</v>
      </c>
      <c r="CG32" s="6">
        <f t="shared" si="28"/>
        <v>5630.352272727273</v>
      </c>
      <c r="CH32" s="6">
        <f t="shared" si="28"/>
        <v>4040.022727272727</v>
      </c>
      <c r="CI32" s="6">
        <f t="shared" si="28"/>
        <v>10300.568181818182</v>
      </c>
    </row>
    <row r="33" spans="1:87" x14ac:dyDescent="0.2">
      <c r="A33" s="1">
        <v>23</v>
      </c>
      <c r="B33" s="1" t="s">
        <v>81</v>
      </c>
      <c r="C33" s="14">
        <f>C24</f>
        <v>0.62</v>
      </c>
      <c r="D33" s="70">
        <f>'Bill Frequency'!C30+'Contract &amp; Vol Adj'!C30</f>
        <v>0</v>
      </c>
      <c r="E33" s="70">
        <f>'Bill Frequency'!D30+'Contract &amp; Vol Adj'!D30</f>
        <v>0</v>
      </c>
      <c r="F33" s="70">
        <f>'Bill Frequency'!E30+'Contract &amp; Vol Adj'!E30</f>
        <v>0</v>
      </c>
      <c r="G33" s="70">
        <f>'Bill Frequency'!F30+'Contract &amp; Vol Adj'!F30</f>
        <v>0</v>
      </c>
      <c r="H33" s="70">
        <f>'Bill Frequency'!G30+'Contract &amp; Vol Adj'!G30</f>
        <v>0</v>
      </c>
      <c r="I33" s="70">
        <f>'Bill Frequency'!H30+'Contract &amp; Vol Adj'!H30</f>
        <v>0</v>
      </c>
      <c r="J33" s="70">
        <f>'Bill Frequency'!I30+'Contract &amp; Vol Adj'!I30</f>
        <v>0</v>
      </c>
      <c r="K33" s="70">
        <f>'Bill Frequency'!J30+'Contract &amp; Vol Adj'!J30</f>
        <v>0</v>
      </c>
      <c r="L33" s="70">
        <f>'Bill Frequency'!K30+'Contract &amp; Vol Adj'!K30</f>
        <v>0</v>
      </c>
      <c r="M33" s="70">
        <f>'Bill Frequency'!L30+'Contract &amp; Vol Adj'!L30</f>
        <v>0</v>
      </c>
      <c r="N33" s="70">
        <f>'Bill Frequency'!M30+'Contract &amp; Vol Adj'!M30</f>
        <v>0</v>
      </c>
      <c r="O33" s="70">
        <f>'Bill Frequency'!N30+'Contract &amp; Vol Adj'!N30</f>
        <v>0</v>
      </c>
      <c r="P33" s="6">
        <f t="shared" si="22"/>
        <v>0</v>
      </c>
      <c r="Q33" s="6">
        <f t="shared" si="22"/>
        <v>0</v>
      </c>
      <c r="R33" s="6">
        <f t="shared" si="22"/>
        <v>0</v>
      </c>
      <c r="S33" s="6">
        <f t="shared" si="22"/>
        <v>0</v>
      </c>
      <c r="T33" s="6">
        <f t="shared" si="22"/>
        <v>0</v>
      </c>
      <c r="U33" s="6">
        <f t="shared" si="22"/>
        <v>0</v>
      </c>
      <c r="V33" s="6">
        <f t="shared" si="22"/>
        <v>0</v>
      </c>
      <c r="W33" s="6">
        <f t="shared" si="22"/>
        <v>0</v>
      </c>
      <c r="X33" s="6">
        <f t="shared" si="22"/>
        <v>0</v>
      </c>
      <c r="Y33" s="6">
        <f t="shared" si="22"/>
        <v>0</v>
      </c>
      <c r="Z33" s="6">
        <f t="shared" si="23"/>
        <v>0</v>
      </c>
      <c r="AA33" s="6">
        <f t="shared" si="23"/>
        <v>0</v>
      </c>
      <c r="AB33" s="6">
        <f t="shared" si="23"/>
        <v>0</v>
      </c>
      <c r="AC33" s="6">
        <f t="shared" si="23"/>
        <v>0</v>
      </c>
      <c r="AD33" s="6">
        <f t="shared" si="23"/>
        <v>0</v>
      </c>
      <c r="AE33" s="6">
        <f t="shared" si="23"/>
        <v>0</v>
      </c>
      <c r="AF33" s="6">
        <f t="shared" si="23"/>
        <v>0</v>
      </c>
      <c r="AG33" s="6">
        <f t="shared" si="23"/>
        <v>0</v>
      </c>
      <c r="AH33" s="6">
        <f t="shared" si="23"/>
        <v>0</v>
      </c>
      <c r="AI33" s="6">
        <f t="shared" si="23"/>
        <v>0</v>
      </c>
      <c r="AJ33" s="6">
        <f t="shared" si="24"/>
        <v>0</v>
      </c>
      <c r="AK33" s="6">
        <f t="shared" si="24"/>
        <v>0</v>
      </c>
      <c r="AL33" s="6">
        <f t="shared" si="24"/>
        <v>0</v>
      </c>
      <c r="AM33" s="6">
        <f t="shared" si="24"/>
        <v>0</v>
      </c>
      <c r="AN33" s="6">
        <f t="shared" si="24"/>
        <v>0</v>
      </c>
      <c r="AO33" s="6">
        <f t="shared" si="24"/>
        <v>0</v>
      </c>
      <c r="AP33" s="6">
        <f t="shared" si="24"/>
        <v>0</v>
      </c>
      <c r="AQ33" s="6">
        <f t="shared" si="24"/>
        <v>0</v>
      </c>
      <c r="AR33" s="6">
        <f t="shared" si="24"/>
        <v>0</v>
      </c>
      <c r="AS33" s="6">
        <f t="shared" si="24"/>
        <v>0</v>
      </c>
      <c r="AT33" s="6">
        <f t="shared" si="25"/>
        <v>0</v>
      </c>
      <c r="AU33" s="6">
        <f t="shared" si="25"/>
        <v>0</v>
      </c>
      <c r="AV33" s="6">
        <f t="shared" si="25"/>
        <v>0</v>
      </c>
      <c r="AW33" s="6">
        <f t="shared" si="25"/>
        <v>0</v>
      </c>
      <c r="AX33" s="6">
        <f t="shared" si="25"/>
        <v>0</v>
      </c>
      <c r="AY33" s="6">
        <f t="shared" si="25"/>
        <v>0</v>
      </c>
      <c r="AZ33" s="6">
        <f t="shared" si="25"/>
        <v>0</v>
      </c>
      <c r="BA33" s="6">
        <f t="shared" si="25"/>
        <v>0</v>
      </c>
      <c r="BB33" s="6">
        <f t="shared" si="25"/>
        <v>0</v>
      </c>
      <c r="BC33" s="6">
        <f t="shared" si="25"/>
        <v>0</v>
      </c>
      <c r="BD33" s="6">
        <f t="shared" si="26"/>
        <v>0</v>
      </c>
      <c r="BE33" s="6">
        <f t="shared" si="26"/>
        <v>0</v>
      </c>
      <c r="BF33" s="6">
        <f t="shared" si="26"/>
        <v>0</v>
      </c>
      <c r="BG33" s="6">
        <f t="shared" si="26"/>
        <v>0</v>
      </c>
      <c r="BH33" s="6">
        <f t="shared" si="26"/>
        <v>0</v>
      </c>
      <c r="BI33" s="6">
        <f t="shared" si="26"/>
        <v>0</v>
      </c>
      <c r="BJ33" s="6">
        <f t="shared" si="26"/>
        <v>0</v>
      </c>
      <c r="BK33" s="6">
        <f t="shared" si="26"/>
        <v>0</v>
      </c>
      <c r="BL33" s="6">
        <f t="shared" si="26"/>
        <v>0</v>
      </c>
      <c r="BM33" s="6">
        <f t="shared" si="26"/>
        <v>0</v>
      </c>
      <c r="BN33" s="6">
        <f t="shared" si="26"/>
        <v>0</v>
      </c>
      <c r="BO33" s="6">
        <f t="shared" si="26"/>
        <v>0</v>
      </c>
      <c r="BP33" s="6">
        <f t="shared" si="26"/>
        <v>0</v>
      </c>
      <c r="BQ33" s="6">
        <f t="shared" si="26"/>
        <v>0</v>
      </c>
      <c r="BR33" s="6">
        <f t="shared" si="26"/>
        <v>0</v>
      </c>
      <c r="BS33" s="6">
        <f t="shared" si="26"/>
        <v>0</v>
      </c>
      <c r="BT33" s="6">
        <f t="shared" si="27"/>
        <v>0</v>
      </c>
      <c r="BU33" s="6">
        <f t="shared" si="27"/>
        <v>0</v>
      </c>
      <c r="BV33" s="6">
        <f t="shared" si="27"/>
        <v>0</v>
      </c>
      <c r="BW33" s="6">
        <f t="shared" si="27"/>
        <v>0</v>
      </c>
      <c r="BX33" s="6">
        <f t="shared" si="28"/>
        <v>0</v>
      </c>
      <c r="BY33" s="6">
        <f t="shared" si="28"/>
        <v>0</v>
      </c>
      <c r="BZ33" s="6">
        <f t="shared" si="28"/>
        <v>0</v>
      </c>
      <c r="CA33" s="6">
        <f t="shared" si="28"/>
        <v>0</v>
      </c>
      <c r="CB33" s="6">
        <f t="shared" si="28"/>
        <v>0</v>
      </c>
      <c r="CC33" s="6">
        <f t="shared" si="28"/>
        <v>0</v>
      </c>
      <c r="CD33" s="6">
        <f t="shared" si="28"/>
        <v>0</v>
      </c>
      <c r="CE33" s="6">
        <f t="shared" si="28"/>
        <v>0</v>
      </c>
      <c r="CF33" s="6">
        <f t="shared" si="28"/>
        <v>0</v>
      </c>
      <c r="CG33" s="6">
        <f t="shared" si="28"/>
        <v>0</v>
      </c>
      <c r="CH33" s="6">
        <f t="shared" si="28"/>
        <v>0</v>
      </c>
      <c r="CI33" s="6">
        <f t="shared" si="28"/>
        <v>0</v>
      </c>
    </row>
    <row r="34" spans="1:87" x14ac:dyDescent="0.2">
      <c r="A34" s="1">
        <v>24</v>
      </c>
      <c r="B34" s="32" t="s">
        <v>79</v>
      </c>
      <c r="C34" s="32"/>
      <c r="D34" s="31">
        <f t="shared" ref="D34:AI34" si="29">D31+D32+D33</f>
        <v>19716.883099999999</v>
      </c>
      <c r="E34" s="31">
        <f t="shared" si="29"/>
        <v>18439.272100000002</v>
      </c>
      <c r="F34" s="31">
        <f t="shared" si="29"/>
        <v>42338.036599999992</v>
      </c>
      <c r="G34" s="31">
        <f t="shared" si="29"/>
        <v>82176.154399999999</v>
      </c>
      <c r="H34" s="31">
        <f t="shared" si="29"/>
        <v>109080.83990000002</v>
      </c>
      <c r="I34" s="31">
        <f t="shared" si="29"/>
        <v>88900.575099999987</v>
      </c>
      <c r="J34" s="31">
        <f t="shared" si="29"/>
        <v>132666.98860000001</v>
      </c>
      <c r="K34" s="31">
        <f t="shared" si="29"/>
        <v>44291.265400000004</v>
      </c>
      <c r="L34" s="31">
        <f t="shared" si="29"/>
        <v>18992.643</v>
      </c>
      <c r="M34" s="31">
        <f t="shared" si="29"/>
        <v>15219.8799</v>
      </c>
      <c r="N34" s="31">
        <f t="shared" si="29"/>
        <v>12621.678099999997</v>
      </c>
      <c r="O34" s="31">
        <f t="shared" si="29"/>
        <v>21603.453300000001</v>
      </c>
      <c r="P34" s="31">
        <f t="shared" si="29"/>
        <v>19716.883099999999</v>
      </c>
      <c r="Q34" s="31">
        <f t="shared" si="29"/>
        <v>18439.272100000002</v>
      </c>
      <c r="R34" s="31">
        <f t="shared" si="29"/>
        <v>42338.036599999992</v>
      </c>
      <c r="S34" s="31">
        <f t="shared" si="29"/>
        <v>82176.154399999999</v>
      </c>
      <c r="T34" s="31">
        <f t="shared" si="29"/>
        <v>109080.83990000002</v>
      </c>
      <c r="U34" s="31">
        <f t="shared" si="29"/>
        <v>88900.575099999987</v>
      </c>
      <c r="V34" s="31">
        <f t="shared" si="29"/>
        <v>132666.98860000001</v>
      </c>
      <c r="W34" s="31">
        <f t="shared" si="29"/>
        <v>44291.265400000004</v>
      </c>
      <c r="X34" s="31">
        <f t="shared" si="29"/>
        <v>18992.643</v>
      </c>
      <c r="Y34" s="31">
        <f t="shared" si="29"/>
        <v>15219.8799</v>
      </c>
      <c r="Z34" s="31">
        <f t="shared" si="29"/>
        <v>12621.678099999997</v>
      </c>
      <c r="AA34" s="31">
        <f t="shared" si="29"/>
        <v>21603.453300000001</v>
      </c>
      <c r="AB34" s="31">
        <f t="shared" si="29"/>
        <v>19716.883099999999</v>
      </c>
      <c r="AC34" s="31">
        <f t="shared" si="29"/>
        <v>18439.272100000002</v>
      </c>
      <c r="AD34" s="31">
        <f t="shared" si="29"/>
        <v>42338.036599999992</v>
      </c>
      <c r="AE34" s="31">
        <f t="shared" si="29"/>
        <v>82176.154399999999</v>
      </c>
      <c r="AF34" s="31">
        <f t="shared" si="29"/>
        <v>109080.83990000002</v>
      </c>
      <c r="AG34" s="31">
        <f t="shared" si="29"/>
        <v>88900.575099999987</v>
      </c>
      <c r="AH34" s="31">
        <f t="shared" si="29"/>
        <v>132666.98860000001</v>
      </c>
      <c r="AI34" s="31">
        <f t="shared" si="29"/>
        <v>44291.265400000004</v>
      </c>
      <c r="AJ34" s="31">
        <f t="shared" ref="AJ34:BW34" si="30">AJ31+AJ32+AJ33</f>
        <v>18992.643</v>
      </c>
      <c r="AK34" s="31">
        <f t="shared" si="30"/>
        <v>15219.8799</v>
      </c>
      <c r="AL34" s="31">
        <f t="shared" si="30"/>
        <v>12621.678099999997</v>
      </c>
      <c r="AM34" s="31">
        <f t="shared" si="30"/>
        <v>21603.453300000001</v>
      </c>
      <c r="AN34" s="31">
        <f t="shared" si="30"/>
        <v>19716.883099999999</v>
      </c>
      <c r="AO34" s="31">
        <f t="shared" si="30"/>
        <v>18439.272100000002</v>
      </c>
      <c r="AP34" s="31">
        <f t="shared" si="30"/>
        <v>42338.036599999992</v>
      </c>
      <c r="AQ34" s="31">
        <f t="shared" si="30"/>
        <v>82176.154399999999</v>
      </c>
      <c r="AR34" s="31">
        <f t="shared" si="30"/>
        <v>109080.83990000002</v>
      </c>
      <c r="AS34" s="31">
        <f t="shared" si="30"/>
        <v>88900.575099999987</v>
      </c>
      <c r="AT34" s="31">
        <f t="shared" si="30"/>
        <v>132666.98860000001</v>
      </c>
      <c r="AU34" s="31">
        <f t="shared" si="30"/>
        <v>44291.265400000004</v>
      </c>
      <c r="AV34" s="31">
        <f t="shared" si="30"/>
        <v>18992.643</v>
      </c>
      <c r="AW34" s="31">
        <f t="shared" si="30"/>
        <v>15219.8799</v>
      </c>
      <c r="AX34" s="31">
        <f t="shared" si="30"/>
        <v>12621.678099999997</v>
      </c>
      <c r="AY34" s="31">
        <f t="shared" si="30"/>
        <v>21603.453300000001</v>
      </c>
      <c r="AZ34" s="31">
        <f t="shared" si="30"/>
        <v>19716.883099999999</v>
      </c>
      <c r="BA34" s="31">
        <f t="shared" si="30"/>
        <v>18439.272100000002</v>
      </c>
      <c r="BB34" s="31">
        <f t="shared" si="30"/>
        <v>42338.036599999992</v>
      </c>
      <c r="BC34" s="31">
        <f t="shared" si="30"/>
        <v>82176.154399999999</v>
      </c>
      <c r="BD34" s="31">
        <f t="shared" si="30"/>
        <v>109080.83990000002</v>
      </c>
      <c r="BE34" s="31">
        <f t="shared" si="30"/>
        <v>88900.575099999987</v>
      </c>
      <c r="BF34" s="31">
        <f t="shared" si="30"/>
        <v>132666.98860000001</v>
      </c>
      <c r="BG34" s="31">
        <f t="shared" si="30"/>
        <v>44291.265400000004</v>
      </c>
      <c r="BH34" s="31">
        <f t="shared" si="30"/>
        <v>18992.643</v>
      </c>
      <c r="BI34" s="31">
        <f t="shared" si="30"/>
        <v>15219.8799</v>
      </c>
      <c r="BJ34" s="31">
        <f t="shared" si="30"/>
        <v>12621.678099999997</v>
      </c>
      <c r="BK34" s="31">
        <f t="shared" si="30"/>
        <v>21603.453300000001</v>
      </c>
      <c r="BL34" s="31">
        <f t="shared" si="30"/>
        <v>19716.883099999999</v>
      </c>
      <c r="BM34" s="31">
        <f t="shared" si="30"/>
        <v>18439.272100000002</v>
      </c>
      <c r="BN34" s="31">
        <f t="shared" si="30"/>
        <v>42338.036599999992</v>
      </c>
      <c r="BO34" s="31">
        <f t="shared" si="30"/>
        <v>82176.154399999999</v>
      </c>
      <c r="BP34" s="31">
        <f t="shared" si="30"/>
        <v>109080.83990000002</v>
      </c>
      <c r="BQ34" s="31">
        <f t="shared" si="30"/>
        <v>88900.575099999987</v>
      </c>
      <c r="BR34" s="31">
        <f t="shared" si="30"/>
        <v>132666.98860000001</v>
      </c>
      <c r="BS34" s="31">
        <f t="shared" si="30"/>
        <v>44291.265400000004</v>
      </c>
      <c r="BT34" s="31">
        <f t="shared" si="30"/>
        <v>18992.643</v>
      </c>
      <c r="BU34" s="31">
        <f t="shared" si="30"/>
        <v>15219.8799</v>
      </c>
      <c r="BV34" s="31">
        <f t="shared" si="30"/>
        <v>12621.678099999997</v>
      </c>
      <c r="BW34" s="31">
        <f t="shared" si="30"/>
        <v>21603.453300000001</v>
      </c>
      <c r="BX34" s="31">
        <f t="shared" ref="BX34:CI34" si="31">BX31+BX32+BX33</f>
        <v>19716.883099999999</v>
      </c>
      <c r="BY34" s="31">
        <f t="shared" si="31"/>
        <v>18439.272100000002</v>
      </c>
      <c r="BZ34" s="31">
        <f t="shared" si="31"/>
        <v>42338.036599999992</v>
      </c>
      <c r="CA34" s="31">
        <f t="shared" si="31"/>
        <v>82176.154399999999</v>
      </c>
      <c r="CB34" s="31">
        <f t="shared" si="31"/>
        <v>109080.83990000002</v>
      </c>
      <c r="CC34" s="31">
        <f t="shared" si="31"/>
        <v>88900.575099999987</v>
      </c>
      <c r="CD34" s="31">
        <f t="shared" si="31"/>
        <v>132666.98860000001</v>
      </c>
      <c r="CE34" s="31">
        <f t="shared" si="31"/>
        <v>44291.265400000004</v>
      </c>
      <c r="CF34" s="31">
        <f t="shared" si="31"/>
        <v>18992.643</v>
      </c>
      <c r="CG34" s="31">
        <f t="shared" si="31"/>
        <v>15219.8799</v>
      </c>
      <c r="CH34" s="31">
        <f t="shared" si="31"/>
        <v>12621.678099999997</v>
      </c>
      <c r="CI34" s="31">
        <f t="shared" si="31"/>
        <v>21603.453300000001</v>
      </c>
    </row>
    <row r="35" spans="1:87" x14ac:dyDescent="0.2">
      <c r="A35" s="1">
        <v>25</v>
      </c>
      <c r="B35" s="16" t="s">
        <v>237</v>
      </c>
      <c r="C35" s="1"/>
      <c r="D35" s="93">
        <f>D26</f>
        <v>6.6699000000000002</v>
      </c>
      <c r="E35" s="93">
        <f t="shared" ref="E35:P35" si="32">E26</f>
        <v>6.6699000000000002</v>
      </c>
      <c r="F35" s="93">
        <f t="shared" si="32"/>
        <v>5.7476000000000003</v>
      </c>
      <c r="G35" s="93">
        <f t="shared" si="32"/>
        <v>5.7476000000000003</v>
      </c>
      <c r="H35" s="93">
        <f t="shared" si="32"/>
        <v>5.8611000000000004</v>
      </c>
      <c r="I35" s="93">
        <f t="shared" si="32"/>
        <v>5.8914999999999997</v>
      </c>
      <c r="J35" s="93">
        <f t="shared" si="32"/>
        <v>5.8914999999999997</v>
      </c>
      <c r="K35" s="93">
        <f t="shared" si="32"/>
        <v>5.6984999999999992</v>
      </c>
      <c r="L35" s="93">
        <f t="shared" si="32"/>
        <v>5.1452</v>
      </c>
      <c r="M35" s="93">
        <f t="shared" si="32"/>
        <v>5.1452</v>
      </c>
      <c r="N35" s="93">
        <f t="shared" si="32"/>
        <v>5.1452</v>
      </c>
      <c r="O35" s="93">
        <f t="shared" si="32"/>
        <v>4.2233000000000001</v>
      </c>
      <c r="P35" s="93">
        <f t="shared" si="32"/>
        <v>4.2233000000000001</v>
      </c>
      <c r="Q35" s="93">
        <f t="shared" ref="Q35:BW35" si="33">Q26</f>
        <v>4.2233000000000001</v>
      </c>
      <c r="R35" s="93">
        <f t="shared" si="33"/>
        <v>4.3381667607171224</v>
      </c>
      <c r="S35" s="93">
        <f t="shared" si="33"/>
        <v>4.3381667607171224</v>
      </c>
      <c r="T35" s="93">
        <f t="shared" si="33"/>
        <v>4.3381667607171224</v>
      </c>
      <c r="U35" s="93">
        <f t="shared" si="33"/>
        <v>4.4924452138791438</v>
      </c>
      <c r="V35" s="93">
        <f t="shared" si="33"/>
        <v>4.4924452138791438</v>
      </c>
      <c r="W35" s="93">
        <f t="shared" si="33"/>
        <v>4.4924452138791438</v>
      </c>
      <c r="X35" s="93">
        <f t="shared" si="33"/>
        <v>4.576446110502566</v>
      </c>
      <c r="Y35" s="93">
        <f t="shared" si="33"/>
        <v>4.576446110502566</v>
      </c>
      <c r="Z35" s="93">
        <f t="shared" si="33"/>
        <v>4.576446110502566</v>
      </c>
      <c r="AA35" s="93">
        <f t="shared" si="33"/>
        <v>4.6088710472168026</v>
      </c>
      <c r="AB35" s="93">
        <f t="shared" si="33"/>
        <v>4.6088710472168026</v>
      </c>
      <c r="AC35" s="93">
        <f t="shared" si="33"/>
        <v>4.6088710472168026</v>
      </c>
      <c r="AD35" s="93">
        <f t="shared" si="33"/>
        <v>4.5535112981864572</v>
      </c>
      <c r="AE35" s="93">
        <f t="shared" si="33"/>
        <v>4.5535112981864572</v>
      </c>
      <c r="AF35" s="93">
        <f t="shared" si="33"/>
        <v>4.5535112981864572</v>
      </c>
      <c r="AG35" s="93">
        <f t="shared" si="33"/>
        <v>4.5576361502621516</v>
      </c>
      <c r="AH35" s="93">
        <f t="shared" si="33"/>
        <v>4.5576361502621516</v>
      </c>
      <c r="AI35" s="93">
        <f t="shared" si="33"/>
        <v>4.5576361502621516</v>
      </c>
      <c r="AJ35" s="93">
        <f t="shared" si="33"/>
        <v>4.83392198302381</v>
      </c>
      <c r="AK35" s="93">
        <f t="shared" si="33"/>
        <v>4.83392198302381</v>
      </c>
      <c r="AL35" s="93">
        <f t="shared" si="33"/>
        <v>4.83392198302381</v>
      </c>
      <c r="AM35" s="93">
        <f t="shared" si="33"/>
        <v>4.8519223754666072</v>
      </c>
      <c r="AN35" s="93">
        <f t="shared" si="33"/>
        <v>4.8519223754666072</v>
      </c>
      <c r="AO35" s="93">
        <f t="shared" si="33"/>
        <v>4.8519223754666072</v>
      </c>
      <c r="AP35" s="93">
        <f t="shared" si="33"/>
        <v>4.7235732633872862</v>
      </c>
      <c r="AQ35" s="93">
        <f t="shared" si="33"/>
        <v>4.7235732633872862</v>
      </c>
      <c r="AR35" s="93">
        <f t="shared" si="33"/>
        <v>4.7235732633872862</v>
      </c>
      <c r="AS35" s="93">
        <f t="shared" si="33"/>
        <v>4.7016051095232001</v>
      </c>
      <c r="AT35" s="93">
        <f t="shared" si="33"/>
        <v>4.7016051095232001</v>
      </c>
      <c r="AU35" s="93">
        <f t="shared" si="33"/>
        <v>4.7016051095232001</v>
      </c>
      <c r="AV35" s="93">
        <f t="shared" si="33"/>
        <v>4.9184938000819312</v>
      </c>
      <c r="AW35" s="93">
        <f t="shared" si="33"/>
        <v>4.9184938000819312</v>
      </c>
      <c r="AX35" s="93">
        <f t="shared" si="33"/>
        <v>4.9184938000819312</v>
      </c>
      <c r="AY35" s="93">
        <f t="shared" si="33"/>
        <v>4.9221234839243824</v>
      </c>
      <c r="AZ35" s="93">
        <f t="shared" si="33"/>
        <v>4.9221234839243824</v>
      </c>
      <c r="BA35" s="93">
        <f t="shared" si="33"/>
        <v>4.9221234839243824</v>
      </c>
      <c r="BB35" s="93">
        <f t="shared" si="33"/>
        <v>4.811658481577866</v>
      </c>
      <c r="BC35" s="93">
        <f t="shared" si="33"/>
        <v>4.811658481577866</v>
      </c>
      <c r="BD35" s="93">
        <f t="shared" si="33"/>
        <v>4.811658481577866</v>
      </c>
      <c r="BE35" s="93">
        <f t="shared" si="33"/>
        <v>4.795201887089128</v>
      </c>
      <c r="BF35" s="93">
        <f t="shared" si="33"/>
        <v>4.795201887089128</v>
      </c>
      <c r="BG35" s="93">
        <f t="shared" si="33"/>
        <v>4.795201887089128</v>
      </c>
      <c r="BH35" s="93">
        <f t="shared" si="33"/>
        <v>5.0068912841604094</v>
      </c>
      <c r="BI35" s="93">
        <f t="shared" si="33"/>
        <v>5.0068912841604094</v>
      </c>
      <c r="BJ35" s="93">
        <f t="shared" si="33"/>
        <v>5.0068912841604094</v>
      </c>
      <c r="BK35" s="93">
        <f t="shared" si="33"/>
        <v>5.0138460799231694</v>
      </c>
      <c r="BL35" s="93">
        <f t="shared" si="33"/>
        <v>5.0138460799231694</v>
      </c>
      <c r="BM35" s="93">
        <f t="shared" si="33"/>
        <v>5.0138460799231694</v>
      </c>
      <c r="BN35" s="93">
        <f t="shared" si="33"/>
        <v>4.9176211320497707</v>
      </c>
      <c r="BO35" s="93">
        <f t="shared" si="33"/>
        <v>4.9176211320497707</v>
      </c>
      <c r="BP35" s="93">
        <f t="shared" si="33"/>
        <v>4.9176211320497707</v>
      </c>
      <c r="BQ35" s="93">
        <f t="shared" si="33"/>
        <v>4.9054463050499564</v>
      </c>
      <c r="BR35" s="93">
        <f t="shared" si="33"/>
        <v>4.9054463050499564</v>
      </c>
      <c r="BS35" s="93">
        <f t="shared" si="33"/>
        <v>4.9054463050499564</v>
      </c>
      <c r="BT35" s="93">
        <f t="shared" si="33"/>
        <v>5.1288189327537044</v>
      </c>
      <c r="BU35" s="93">
        <f t="shared" si="33"/>
        <v>5.1288189327537044</v>
      </c>
      <c r="BV35" s="93">
        <f t="shared" si="33"/>
        <v>5.1288189327537044</v>
      </c>
      <c r="BW35" s="93">
        <f t="shared" si="33"/>
        <v>5.1452532950186676</v>
      </c>
      <c r="BX35" s="93">
        <f t="shared" ref="BX35:CI35" si="34">BX26</f>
        <v>5.1452532950186676</v>
      </c>
      <c r="BY35" s="93">
        <f t="shared" si="34"/>
        <v>5.1452532950186676</v>
      </c>
      <c r="BZ35" s="93">
        <f t="shared" si="34"/>
        <v>5.0525787355762493</v>
      </c>
      <c r="CA35" s="93">
        <f t="shared" si="34"/>
        <v>5.0525787355762493</v>
      </c>
      <c r="CB35" s="93">
        <f t="shared" si="34"/>
        <v>5.0525787355762493</v>
      </c>
      <c r="CC35" s="93">
        <f t="shared" si="34"/>
        <v>5.0418000232208371</v>
      </c>
      <c r="CD35" s="93">
        <f t="shared" si="34"/>
        <v>5.0418000232208371</v>
      </c>
      <c r="CE35" s="93">
        <f t="shared" si="34"/>
        <v>5.0418000232208371</v>
      </c>
      <c r="CF35" s="93">
        <f t="shared" si="34"/>
        <v>5.2763719984585293</v>
      </c>
      <c r="CG35" s="93">
        <f t="shared" si="34"/>
        <v>5.2763719984585293</v>
      </c>
      <c r="CH35" s="93">
        <f t="shared" si="34"/>
        <v>5.2763719984585293</v>
      </c>
      <c r="CI35" s="93">
        <f t="shared" si="34"/>
        <v>5.3063335447273658</v>
      </c>
    </row>
    <row r="36" spans="1:87" x14ac:dyDescent="0.2">
      <c r="A36" s="1">
        <v>26</v>
      </c>
      <c r="B36" s="16" t="s">
        <v>229</v>
      </c>
      <c r="C36" s="1"/>
      <c r="D36" s="38">
        <f t="shared" ref="D36:AI36" si="35">D35*D34</f>
        <v>131509.63858869</v>
      </c>
      <c r="E36" s="38">
        <f t="shared" si="35"/>
        <v>122988.10097979002</v>
      </c>
      <c r="F36" s="38">
        <f t="shared" si="35"/>
        <v>243342.09916215995</v>
      </c>
      <c r="G36" s="38">
        <f t="shared" si="35"/>
        <v>472315.66502944002</v>
      </c>
      <c r="H36" s="38">
        <f t="shared" si="35"/>
        <v>639333.71073789021</v>
      </c>
      <c r="I36" s="38">
        <f t="shared" si="35"/>
        <v>523757.73820164992</v>
      </c>
      <c r="J36" s="38">
        <f t="shared" si="35"/>
        <v>781607.56333690009</v>
      </c>
      <c r="K36" s="38">
        <f t="shared" si="35"/>
        <v>252393.77588189999</v>
      </c>
      <c r="L36" s="38">
        <f t="shared" si="35"/>
        <v>97720.946763600004</v>
      </c>
      <c r="M36" s="38">
        <f t="shared" si="35"/>
        <v>78309.326061479995</v>
      </c>
      <c r="N36" s="38">
        <f t="shared" si="35"/>
        <v>64941.058160119988</v>
      </c>
      <c r="O36" s="38">
        <f t="shared" si="35"/>
        <v>91237.864321890011</v>
      </c>
      <c r="P36" s="38">
        <f t="shared" si="35"/>
        <v>83270.312396230001</v>
      </c>
      <c r="Q36" s="38">
        <f t="shared" si="35"/>
        <v>77874.57785993001</v>
      </c>
      <c r="R36" s="38">
        <f t="shared" si="35"/>
        <v>183669.46309214493</v>
      </c>
      <c r="S36" s="38">
        <f t="shared" si="35"/>
        <v>356493.86154163809</v>
      </c>
      <c r="T36" s="38">
        <f t="shared" si="35"/>
        <v>473210.8738852861</v>
      </c>
      <c r="U36" s="38">
        <f t="shared" si="35"/>
        <v>399380.96311909833</v>
      </c>
      <c r="V36" s="38">
        <f t="shared" si="35"/>
        <v>595999.17797582899</v>
      </c>
      <c r="W36" s="38">
        <f t="shared" si="35"/>
        <v>198976.08326288094</v>
      </c>
      <c r="X36" s="38">
        <f t="shared" si="35"/>
        <v>86918.807185513782</v>
      </c>
      <c r="Y36" s="44">
        <f t="shared" si="35"/>
        <v>69652.960170671184</v>
      </c>
      <c r="Z36" s="44">
        <f t="shared" si="35"/>
        <v>57762.429648760408</v>
      </c>
      <c r="AA36" s="44">
        <f t="shared" si="35"/>
        <v>99567.530434270302</v>
      </c>
      <c r="AB36" s="44">
        <f t="shared" si="35"/>
        <v>90872.571660948277</v>
      </c>
      <c r="AC36" s="44">
        <f t="shared" si="35"/>
        <v>84984.227313442578</v>
      </c>
      <c r="AD36" s="44">
        <f t="shared" si="35"/>
        <v>192786.72800113171</v>
      </c>
      <c r="AE36" s="44">
        <f t="shared" si="35"/>
        <v>374190.04750191473</v>
      </c>
      <c r="AF36" s="44">
        <f t="shared" si="35"/>
        <v>496700.83690031822</v>
      </c>
      <c r="AG36" s="44">
        <f t="shared" si="35"/>
        <v>405176.47485485522</v>
      </c>
      <c r="AH36" s="44">
        <f t="shared" si="35"/>
        <v>604647.86318977678</v>
      </c>
      <c r="AI36" s="44">
        <f t="shared" si="35"/>
        <v>201863.47232789526</v>
      </c>
      <c r="AJ36" s="44">
        <f t="shared" ref="AJ36:BW36" si="36">AJ35*AJ34</f>
        <v>91808.95451342329</v>
      </c>
      <c r="AK36" s="38">
        <f t="shared" si="36"/>
        <v>73571.712027592221</v>
      </c>
      <c r="AL36" s="38">
        <f t="shared" si="36"/>
        <v>61012.207230240179</v>
      </c>
      <c r="AM36" s="38">
        <f t="shared" si="36"/>
        <v>104818.27845361792</v>
      </c>
      <c r="AN36" s="38">
        <f t="shared" si="36"/>
        <v>95664.786287349401</v>
      </c>
      <c r="AO36" s="38">
        <f t="shared" si="36"/>
        <v>89465.916889307147</v>
      </c>
      <c r="AP36" s="38">
        <f t="shared" si="36"/>
        <v>199986.81770807234</v>
      </c>
      <c r="AQ36" s="38">
        <f t="shared" si="36"/>
        <v>388165.08581182547</v>
      </c>
      <c r="AR36" s="38">
        <f t="shared" si="36"/>
        <v>515251.33889946918</v>
      </c>
      <c r="AS36" s="38">
        <f t="shared" si="36"/>
        <v>417975.39812971093</v>
      </c>
      <c r="AT36" s="38">
        <f t="shared" si="36"/>
        <v>623747.79146681621</v>
      </c>
      <c r="AU36" s="38">
        <f t="shared" si="36"/>
        <v>208240.03971188815</v>
      </c>
      <c r="AV36" s="38">
        <f t="shared" si="36"/>
        <v>93415.196842669495</v>
      </c>
      <c r="AW36" s="38">
        <f t="shared" si="36"/>
        <v>74858.884926141604</v>
      </c>
      <c r="AX36" s="38">
        <f t="shared" si="36"/>
        <v>62079.645481479878</v>
      </c>
      <c r="AY36" s="38">
        <f t="shared" si="36"/>
        <v>106334.8648217937</v>
      </c>
      <c r="AZ36" s="38">
        <f t="shared" si="36"/>
        <v>97048.933336301765</v>
      </c>
      <c r="BA36" s="38">
        <f t="shared" si="36"/>
        <v>90760.374229881665</v>
      </c>
      <c r="BB36" s="38">
        <f t="shared" si="36"/>
        <v>203716.17289974407</v>
      </c>
      <c r="BC36" s="38">
        <f t="shared" si="36"/>
        <v>395403.59030221228</v>
      </c>
      <c r="BD36" s="38">
        <f t="shared" si="36"/>
        <v>524859.74848247238</v>
      </c>
      <c r="BE36" s="38">
        <f t="shared" si="36"/>
        <v>426296.20548282866</v>
      </c>
      <c r="BF36" s="38">
        <f t="shared" si="36"/>
        <v>636164.99408915185</v>
      </c>
      <c r="BG36" s="38">
        <f t="shared" si="36"/>
        <v>212385.55942764541</v>
      </c>
      <c r="BH36" s="38">
        <f t="shared" si="36"/>
        <v>95094.098699870214</v>
      </c>
      <c r="BI36" s="38">
        <f t="shared" si="36"/>
        <v>76204.284017278202</v>
      </c>
      <c r="BJ36" s="38">
        <f t="shared" si="36"/>
        <v>63195.370070368306</v>
      </c>
      <c r="BK36" s="38">
        <f t="shared" si="36"/>
        <v>108316.38964100827</v>
      </c>
      <c r="BL36" s="38">
        <f t="shared" si="36"/>
        <v>98857.417039238382</v>
      </c>
      <c r="BM36" s="38">
        <f t="shared" si="36"/>
        <v>92451.672135221685</v>
      </c>
      <c r="BN36" s="38">
        <f t="shared" si="36"/>
        <v>208202.42347365658</v>
      </c>
      <c r="BO36" s="38">
        <f t="shared" si="36"/>
        <v>404111.19342802477</v>
      </c>
      <c r="BP36" s="38">
        <f t="shared" si="36"/>
        <v>536418.24339397787</v>
      </c>
      <c r="BQ36" s="38">
        <f t="shared" si="36"/>
        <v>436096.99764111108</v>
      </c>
      <c r="BR36" s="38">
        <f t="shared" si="36"/>
        <v>650790.78902997472</v>
      </c>
      <c r="BS36" s="38">
        <f t="shared" si="36"/>
        <v>217268.42420241699</v>
      </c>
      <c r="BT36" s="38">
        <f t="shared" si="36"/>
        <v>97409.827001432117</v>
      </c>
      <c r="BU36" s="38">
        <f t="shared" si="36"/>
        <v>78060.008185357554</v>
      </c>
      <c r="BV36" s="38">
        <f t="shared" si="36"/>
        <v>64734.301602402789</v>
      </c>
      <c r="BW36" s="38">
        <f t="shared" si="36"/>
        <v>111155.23927560692</v>
      </c>
      <c r="BX36" s="38">
        <f t="shared" ref="BX36:CI36" si="37">BX35*BX34</f>
        <v>101448.35773777288</v>
      </c>
      <c r="BY36" s="38">
        <f t="shared" si="37"/>
        <v>94874.725530270793</v>
      </c>
      <c r="BZ36" s="38">
        <f t="shared" si="37"/>
        <v>213916.26343120894</v>
      </c>
      <c r="CA36" s="38">
        <f t="shared" si="37"/>
        <v>415201.49029287061</v>
      </c>
      <c r="CB36" s="38">
        <f t="shared" si="37"/>
        <v>551139.53213753738</v>
      </c>
      <c r="CC36" s="38">
        <f t="shared" si="37"/>
        <v>448218.9216035257</v>
      </c>
      <c r="CD36" s="38">
        <f t="shared" si="37"/>
        <v>668880.42620411864</v>
      </c>
      <c r="CE36" s="38">
        <f t="shared" si="37"/>
        <v>223307.70292220029</v>
      </c>
      <c r="CF36" s="38">
        <f t="shared" si="37"/>
        <v>100212.2497019194</v>
      </c>
      <c r="CG36" s="38">
        <f t="shared" si="37"/>
        <v>80305.748124261794</v>
      </c>
      <c r="CH36" s="38">
        <f t="shared" si="37"/>
        <v>66596.668900397242</v>
      </c>
      <c r="CI36" s="38">
        <f t="shared" si="37"/>
        <v>114635.12892774111</v>
      </c>
    </row>
    <row r="37" spans="1:87" x14ac:dyDescent="0.2">
      <c r="A37" s="1">
        <v>27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6"/>
      <c r="V37" s="16"/>
      <c r="W37" s="16"/>
      <c r="X37" s="16"/>
      <c r="Y37" s="572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x14ac:dyDescent="0.2">
      <c r="A38" s="1">
        <v>28</v>
      </c>
      <c r="B38" s="35" t="s">
        <v>82</v>
      </c>
      <c r="C38" s="14"/>
      <c r="D38" s="101">
        <f t="shared" ref="D38:BO38" si="38">D39*$C$30+D40*$C$31+D41*$C$32+D42*$C$33</f>
        <v>109665.73366538968</v>
      </c>
      <c r="E38" s="101">
        <f t="shared" si="38"/>
        <v>130430.96743695627</v>
      </c>
      <c r="F38" s="101">
        <f t="shared" si="38"/>
        <v>195369.2141675138</v>
      </c>
      <c r="G38" s="101">
        <f t="shared" si="38"/>
        <v>270667.07410051412</v>
      </c>
      <c r="H38" s="101">
        <f t="shared" si="38"/>
        <v>298265.81086946809</v>
      </c>
      <c r="I38" s="101">
        <f t="shared" si="38"/>
        <v>279389.10525719856</v>
      </c>
      <c r="J38" s="101">
        <f t="shared" si="38"/>
        <v>283063.40443832707</v>
      </c>
      <c r="K38" s="101">
        <f t="shared" si="38"/>
        <v>192460.4644310021</v>
      </c>
      <c r="L38" s="101">
        <f t="shared" si="38"/>
        <v>136249.41069830031</v>
      </c>
      <c r="M38" s="101">
        <f t="shared" si="38"/>
        <v>115757.39806292095</v>
      </c>
      <c r="N38" s="101">
        <f t="shared" si="38"/>
        <v>110482.02831845015</v>
      </c>
      <c r="O38" s="101">
        <f t="shared" si="38"/>
        <v>105931.18981022482</v>
      </c>
      <c r="P38" s="101">
        <f t="shared" si="38"/>
        <v>109665.73366538968</v>
      </c>
      <c r="Q38" s="101">
        <f t="shared" si="38"/>
        <v>130430.96743695627</v>
      </c>
      <c r="R38" s="101">
        <f t="shared" si="38"/>
        <v>195369.2141675138</v>
      </c>
      <c r="S38" s="101">
        <f t="shared" si="38"/>
        <v>270667.07410051412</v>
      </c>
      <c r="T38" s="101">
        <f t="shared" si="38"/>
        <v>298265.81086946809</v>
      </c>
      <c r="U38" s="101">
        <f t="shared" si="38"/>
        <v>279389.10525719856</v>
      </c>
      <c r="V38" s="101">
        <f t="shared" si="38"/>
        <v>283063.40443832707</v>
      </c>
      <c r="W38" s="101">
        <f t="shared" si="38"/>
        <v>192460.4644310021</v>
      </c>
      <c r="X38" s="101">
        <f t="shared" si="38"/>
        <v>136249.41069830031</v>
      </c>
      <c r="Y38" s="101">
        <f t="shared" si="38"/>
        <v>115757.39806292095</v>
      </c>
      <c r="Z38" s="101">
        <f t="shared" si="38"/>
        <v>110482.02831845015</v>
      </c>
      <c r="AA38" s="101">
        <f t="shared" si="38"/>
        <v>105931.18981022482</v>
      </c>
      <c r="AB38" s="101">
        <f t="shared" si="38"/>
        <v>109665.73366538968</v>
      </c>
      <c r="AC38" s="101">
        <f t="shared" si="38"/>
        <v>130430.96743695627</v>
      </c>
      <c r="AD38" s="101">
        <f t="shared" si="38"/>
        <v>195369.2141675138</v>
      </c>
      <c r="AE38" s="101">
        <f t="shared" si="38"/>
        <v>270667.07410051412</v>
      </c>
      <c r="AF38" s="101">
        <f t="shared" si="38"/>
        <v>298265.81086946809</v>
      </c>
      <c r="AG38" s="101">
        <f t="shared" si="38"/>
        <v>279389.10525719856</v>
      </c>
      <c r="AH38" s="101">
        <f t="shared" si="38"/>
        <v>283063.40443832707</v>
      </c>
      <c r="AI38" s="101">
        <f t="shared" si="38"/>
        <v>192460.4644310021</v>
      </c>
      <c r="AJ38" s="101">
        <f t="shared" si="38"/>
        <v>136249.41069830031</v>
      </c>
      <c r="AK38" s="101">
        <f t="shared" si="38"/>
        <v>115757.39806292095</v>
      </c>
      <c r="AL38" s="101">
        <f t="shared" si="38"/>
        <v>110482.02831845015</v>
      </c>
      <c r="AM38" s="101">
        <f t="shared" si="38"/>
        <v>105931.18981022482</v>
      </c>
      <c r="AN38" s="101">
        <f t="shared" si="38"/>
        <v>109665.73366538968</v>
      </c>
      <c r="AO38" s="101">
        <f t="shared" si="38"/>
        <v>130430.96743695627</v>
      </c>
      <c r="AP38" s="101">
        <f t="shared" si="38"/>
        <v>195369.2141675138</v>
      </c>
      <c r="AQ38" s="101">
        <f t="shared" si="38"/>
        <v>270667.07410051412</v>
      </c>
      <c r="AR38" s="101">
        <f t="shared" si="38"/>
        <v>298265.81086946809</v>
      </c>
      <c r="AS38" s="101">
        <f t="shared" si="38"/>
        <v>279389.10525719856</v>
      </c>
      <c r="AT38" s="101">
        <f t="shared" si="38"/>
        <v>283063.40443832707</v>
      </c>
      <c r="AU38" s="101">
        <f t="shared" si="38"/>
        <v>192460.4644310021</v>
      </c>
      <c r="AV38" s="101">
        <f t="shared" si="38"/>
        <v>136249.41069830031</v>
      </c>
      <c r="AW38" s="101">
        <f t="shared" si="38"/>
        <v>115757.39806292095</v>
      </c>
      <c r="AX38" s="101">
        <f t="shared" si="38"/>
        <v>110482.02831845015</v>
      </c>
      <c r="AY38" s="101">
        <f t="shared" si="38"/>
        <v>105931.18981022482</v>
      </c>
      <c r="AZ38" s="101">
        <f t="shared" si="38"/>
        <v>109665.73366538968</v>
      </c>
      <c r="BA38" s="101">
        <f t="shared" si="38"/>
        <v>130430.96743695627</v>
      </c>
      <c r="BB38" s="101">
        <f t="shared" si="38"/>
        <v>195369.2141675138</v>
      </c>
      <c r="BC38" s="101">
        <f t="shared" si="38"/>
        <v>270667.07410051412</v>
      </c>
      <c r="BD38" s="101">
        <f t="shared" si="38"/>
        <v>298265.81086946809</v>
      </c>
      <c r="BE38" s="101">
        <f t="shared" si="38"/>
        <v>279389.10525719856</v>
      </c>
      <c r="BF38" s="101">
        <f t="shared" si="38"/>
        <v>283063.40443832707</v>
      </c>
      <c r="BG38" s="101">
        <f t="shared" si="38"/>
        <v>192460.4644310021</v>
      </c>
      <c r="BH38" s="101">
        <f t="shared" si="38"/>
        <v>136249.41069830031</v>
      </c>
      <c r="BI38" s="101">
        <f t="shared" si="38"/>
        <v>115757.39806292095</v>
      </c>
      <c r="BJ38" s="101">
        <f t="shared" si="38"/>
        <v>110482.02831845015</v>
      </c>
      <c r="BK38" s="101">
        <f t="shared" si="38"/>
        <v>105931.18981022482</v>
      </c>
      <c r="BL38" s="101">
        <f t="shared" si="38"/>
        <v>109665.73366538968</v>
      </c>
      <c r="BM38" s="101">
        <f t="shared" si="38"/>
        <v>130430.96743695627</v>
      </c>
      <c r="BN38" s="101">
        <f t="shared" si="38"/>
        <v>195369.2141675138</v>
      </c>
      <c r="BO38" s="101">
        <f t="shared" si="38"/>
        <v>270667.07410051412</v>
      </c>
      <c r="BP38" s="101">
        <f t="shared" ref="BP38:CI38" si="39">BP39*$C$30+BP40*$C$31+BP41*$C$32+BP42*$C$33</f>
        <v>298265.81086946809</v>
      </c>
      <c r="BQ38" s="101">
        <f t="shared" si="39"/>
        <v>279389.10525719856</v>
      </c>
      <c r="BR38" s="101">
        <f t="shared" si="39"/>
        <v>283063.40443832707</v>
      </c>
      <c r="BS38" s="101">
        <f t="shared" si="39"/>
        <v>192460.4644310021</v>
      </c>
      <c r="BT38" s="101">
        <f t="shared" si="39"/>
        <v>136249.41069830031</v>
      </c>
      <c r="BU38" s="101">
        <f t="shared" si="39"/>
        <v>115757.39806292095</v>
      </c>
      <c r="BV38" s="101">
        <f t="shared" si="39"/>
        <v>110482.02831845015</v>
      </c>
      <c r="BW38" s="101">
        <f t="shared" si="39"/>
        <v>105931.18981022482</v>
      </c>
      <c r="BX38" s="101">
        <f t="shared" si="39"/>
        <v>109665.73366538968</v>
      </c>
      <c r="BY38" s="101">
        <f t="shared" si="39"/>
        <v>130430.96743695627</v>
      </c>
      <c r="BZ38" s="101">
        <f t="shared" si="39"/>
        <v>195369.2141675138</v>
      </c>
      <c r="CA38" s="101">
        <f t="shared" si="39"/>
        <v>270667.07410051412</v>
      </c>
      <c r="CB38" s="101">
        <f t="shared" si="39"/>
        <v>298265.81086946809</v>
      </c>
      <c r="CC38" s="101">
        <f t="shared" si="39"/>
        <v>279389.10525719856</v>
      </c>
      <c r="CD38" s="101">
        <f t="shared" si="39"/>
        <v>283063.40443832707</v>
      </c>
      <c r="CE38" s="101">
        <f t="shared" si="39"/>
        <v>192460.4644310021</v>
      </c>
      <c r="CF38" s="101">
        <f t="shared" si="39"/>
        <v>136249.41069830031</v>
      </c>
      <c r="CG38" s="101">
        <f t="shared" si="39"/>
        <v>115757.39806292095</v>
      </c>
      <c r="CH38" s="101">
        <f t="shared" si="39"/>
        <v>110482.02831845015</v>
      </c>
      <c r="CI38" s="101">
        <f t="shared" si="39"/>
        <v>105931.18981022482</v>
      </c>
    </row>
    <row r="39" spans="1:87" x14ac:dyDescent="0.2">
      <c r="A39" s="1">
        <v>29</v>
      </c>
      <c r="B39" s="1" t="s">
        <v>23</v>
      </c>
      <c r="C39" s="138">
        <f>C30</f>
        <v>48.44</v>
      </c>
      <c r="D39" s="70">
        <f>WNA!C84</f>
        <v>1544</v>
      </c>
      <c r="E39" s="70">
        <f>WNA!D84</f>
        <v>1572</v>
      </c>
      <c r="F39" s="70">
        <f>WNA!E84</f>
        <v>1520</v>
      </c>
      <c r="G39" s="70">
        <f>WNA!F84</f>
        <v>1559</v>
      </c>
      <c r="H39" s="70">
        <f>WNA!G84</f>
        <v>1567</v>
      </c>
      <c r="I39" s="70">
        <f>WNA!H84</f>
        <v>1378</v>
      </c>
      <c r="J39" s="70">
        <f>WNA!I84</f>
        <v>1769</v>
      </c>
      <c r="K39" s="70">
        <f>WNA!J84</f>
        <v>1555</v>
      </c>
      <c r="L39" s="70">
        <f>WNA!K84</f>
        <v>1550</v>
      </c>
      <c r="M39" s="70">
        <f>WNA!L84</f>
        <v>1563</v>
      </c>
      <c r="N39" s="70">
        <f>WNA!M84</f>
        <v>1563</v>
      </c>
      <c r="O39" s="70">
        <f>WNA!N84</f>
        <v>1507</v>
      </c>
      <c r="P39" s="70">
        <f>WNA!O84</f>
        <v>1544</v>
      </c>
      <c r="Q39" s="70">
        <f>WNA!P84</f>
        <v>1572</v>
      </c>
      <c r="R39" s="70">
        <f>WNA!Q84</f>
        <v>1520</v>
      </c>
      <c r="S39" s="70">
        <f>WNA!R84</f>
        <v>1559</v>
      </c>
      <c r="T39" s="70">
        <f>WNA!S84</f>
        <v>1567</v>
      </c>
      <c r="U39" s="70">
        <f>WNA!T84</f>
        <v>1378</v>
      </c>
      <c r="V39" s="70">
        <f>WNA!U84</f>
        <v>1769</v>
      </c>
      <c r="W39" s="70">
        <f>WNA!V84</f>
        <v>1555</v>
      </c>
      <c r="X39" s="70">
        <f>WNA!W84</f>
        <v>1550</v>
      </c>
      <c r="Y39" s="70">
        <f>WNA!X84</f>
        <v>1563</v>
      </c>
      <c r="Z39" s="70">
        <f>WNA!Y84</f>
        <v>1563</v>
      </c>
      <c r="AA39" s="70">
        <f>WNA!Z84</f>
        <v>1507</v>
      </c>
      <c r="AB39" s="70">
        <f>WNA!AA84</f>
        <v>1544</v>
      </c>
      <c r="AC39" s="70">
        <f>WNA!AB84</f>
        <v>1572</v>
      </c>
      <c r="AD39" s="70">
        <f>WNA!AC84</f>
        <v>1520</v>
      </c>
      <c r="AE39" s="70">
        <f>WNA!AD84</f>
        <v>1559</v>
      </c>
      <c r="AF39" s="70">
        <f>WNA!AE84</f>
        <v>1567</v>
      </c>
      <c r="AG39" s="70">
        <f>WNA!AF84</f>
        <v>1378</v>
      </c>
      <c r="AH39" s="70">
        <f>WNA!AG84</f>
        <v>1769</v>
      </c>
      <c r="AI39" s="70">
        <f>WNA!AH84</f>
        <v>1555</v>
      </c>
      <c r="AJ39" s="70">
        <f>WNA!AI84</f>
        <v>1550</v>
      </c>
      <c r="AK39" s="70">
        <f>WNA!AJ84</f>
        <v>1563</v>
      </c>
      <c r="AL39" s="70">
        <f>WNA!AK84</f>
        <v>1563</v>
      </c>
      <c r="AM39" s="70">
        <f>WNA!AL84</f>
        <v>1507</v>
      </c>
      <c r="AN39" s="70">
        <f>WNA!AM84</f>
        <v>1544</v>
      </c>
      <c r="AO39" s="70">
        <f>WNA!AN84</f>
        <v>1572</v>
      </c>
      <c r="AP39" s="70">
        <f>WNA!AO84</f>
        <v>1520</v>
      </c>
      <c r="AQ39" s="70">
        <f>WNA!AP84</f>
        <v>1559</v>
      </c>
      <c r="AR39" s="70">
        <f>WNA!AQ84</f>
        <v>1567</v>
      </c>
      <c r="AS39" s="70">
        <f>WNA!AR84</f>
        <v>1378</v>
      </c>
      <c r="AT39" s="70">
        <f>WNA!AS84</f>
        <v>1769</v>
      </c>
      <c r="AU39" s="70">
        <f>WNA!AT84</f>
        <v>1555</v>
      </c>
      <c r="AV39" s="70">
        <f>WNA!AU84</f>
        <v>1550</v>
      </c>
      <c r="AW39" s="70">
        <f>WNA!AV84</f>
        <v>1563</v>
      </c>
      <c r="AX39" s="70">
        <f>WNA!AW84</f>
        <v>1563</v>
      </c>
      <c r="AY39" s="70">
        <f>WNA!AX84</f>
        <v>1507</v>
      </c>
      <c r="AZ39" s="70">
        <f>WNA!AY84</f>
        <v>1544</v>
      </c>
      <c r="BA39" s="70">
        <f>WNA!AZ84</f>
        <v>1572</v>
      </c>
      <c r="BB39" s="70">
        <f>WNA!BA84</f>
        <v>1520</v>
      </c>
      <c r="BC39" s="70">
        <f>WNA!BB84</f>
        <v>1559</v>
      </c>
      <c r="BD39" s="70">
        <f>WNA!BC84</f>
        <v>1567</v>
      </c>
      <c r="BE39" s="70">
        <f>WNA!BD84</f>
        <v>1378</v>
      </c>
      <c r="BF39" s="70">
        <f>WNA!BE84</f>
        <v>1769</v>
      </c>
      <c r="BG39" s="70">
        <f>WNA!BF84</f>
        <v>1555</v>
      </c>
      <c r="BH39" s="70">
        <f>WNA!BG84</f>
        <v>1550</v>
      </c>
      <c r="BI39" s="70">
        <f>WNA!BH84</f>
        <v>1563</v>
      </c>
      <c r="BJ39" s="70">
        <f>WNA!BI84</f>
        <v>1563</v>
      </c>
      <c r="BK39" s="70">
        <f>WNA!BJ84</f>
        <v>1507</v>
      </c>
      <c r="BL39" s="70">
        <f>WNA!BK84</f>
        <v>1544</v>
      </c>
      <c r="BM39" s="70">
        <f>WNA!BL84</f>
        <v>1572</v>
      </c>
      <c r="BN39" s="70">
        <f>WNA!BM84</f>
        <v>1520</v>
      </c>
      <c r="BO39" s="70">
        <f>WNA!BN84</f>
        <v>1559</v>
      </c>
      <c r="BP39" s="70">
        <f>WNA!BO84</f>
        <v>1567</v>
      </c>
      <c r="BQ39" s="70">
        <f>WNA!BP84</f>
        <v>1378</v>
      </c>
      <c r="BR39" s="70">
        <f>WNA!BQ84</f>
        <v>1769</v>
      </c>
      <c r="BS39" s="70">
        <f>WNA!BR84</f>
        <v>1555</v>
      </c>
      <c r="BT39" s="70">
        <f>WNA!BS84</f>
        <v>1550</v>
      </c>
      <c r="BU39" s="70">
        <f>WNA!BT84</f>
        <v>1563</v>
      </c>
      <c r="BV39" s="70">
        <f>WNA!BU84</f>
        <v>1563</v>
      </c>
      <c r="BW39" s="70">
        <f>WNA!BV84</f>
        <v>1507</v>
      </c>
      <c r="BX39" s="70">
        <f>WNA!BW84</f>
        <v>1544</v>
      </c>
      <c r="BY39" s="70">
        <f>WNA!BX84</f>
        <v>1572</v>
      </c>
      <c r="BZ39" s="70">
        <f>WNA!BY84</f>
        <v>1520</v>
      </c>
      <c r="CA39" s="70">
        <f>WNA!BZ84</f>
        <v>1559</v>
      </c>
      <c r="CB39" s="70">
        <f>WNA!CA84</f>
        <v>1567</v>
      </c>
      <c r="CC39" s="70">
        <f>WNA!CB84</f>
        <v>1378</v>
      </c>
      <c r="CD39" s="70">
        <f>WNA!CC84</f>
        <v>1769</v>
      </c>
      <c r="CE39" s="70">
        <f>WNA!CD84</f>
        <v>1555</v>
      </c>
      <c r="CF39" s="70">
        <f>WNA!CE84</f>
        <v>1550</v>
      </c>
      <c r="CG39" s="70">
        <f>WNA!CF84</f>
        <v>1563</v>
      </c>
      <c r="CH39" s="70">
        <f>WNA!CG84</f>
        <v>1563</v>
      </c>
      <c r="CI39" s="70">
        <f>WNA!CH84</f>
        <v>1507</v>
      </c>
    </row>
    <row r="40" spans="1:87" x14ac:dyDescent="0.2">
      <c r="A40" s="1">
        <v>30</v>
      </c>
      <c r="B40" s="1" t="s">
        <v>24</v>
      </c>
      <c r="C40" s="14">
        <f>C31</f>
        <v>1.3180000000000001</v>
      </c>
      <c r="D40" s="70">
        <f>'Bill Frequency'!C35+WNA!C92+'Contract &amp; Vol Adj'!C35</f>
        <v>23077.926012305208</v>
      </c>
      <c r="E40" s="70">
        <f>'Bill Frequency'!D35+WNA!D92+'Contract &amp; Vol Adj'!D35</f>
        <v>34965.721308119355</v>
      </c>
      <c r="F40" s="70">
        <f>'Bill Frequency'!E35+WNA!E92+'Contract &amp; Vol Adj'!E35</f>
        <v>82771.732017154733</v>
      </c>
      <c r="G40" s="70">
        <f>'Bill Frequency'!F35+WNA!F92+'Contract &amp; Vol Adj'!F35</f>
        <v>127113.07717925601</v>
      </c>
      <c r="H40" s="70">
        <f>'Bill Frequency'!G35+WNA!G92+'Contract &amp; Vol Adj'!G35</f>
        <v>135814.18695312337</v>
      </c>
      <c r="I40" s="70">
        <f>'Bill Frequency'!H35+WNA!H92+'Contract &amp; Vol Adj'!H35</f>
        <v>130292.12603013362</v>
      </c>
      <c r="J40" s="70">
        <f>'Bill Frequency'!I35+WNA!I92+'Contract &amp; Vol Adj'!I35</f>
        <v>120844.82003271015</v>
      </c>
      <c r="K40" s="70">
        <f>'Bill Frequency'!J35+WNA!J92+'Contract &amp; Vol Adj'!J35</f>
        <v>79228.315102744426</v>
      </c>
      <c r="L40" s="70">
        <f>'Bill Frequency'!K35+WNA!K92+'Contract &amp; Vol Adj'!K35</f>
        <v>39398.500991553163</v>
      </c>
      <c r="M40" s="70">
        <f>'Bill Frequency'!L35+WNA!L92+'Contract &amp; Vol Adj'!L35</f>
        <v>26754.768472422253</v>
      </c>
      <c r="N40" s="70">
        <f>'Bill Frequency'!M35+WNA!M92+'Contract &amp; Vol Adj'!M35</f>
        <v>23258.624617466066</v>
      </c>
      <c r="O40" s="70">
        <f>'Bill Frequency'!N35+WNA!N92+'Contract &amp; Vol Adj'!N35</f>
        <v>21072.44857128954</v>
      </c>
      <c r="P40" s="70">
        <f>D40+WNA!O92</f>
        <v>23077.926012305208</v>
      </c>
      <c r="Q40" s="70">
        <f>E40+WNA!P92</f>
        <v>34965.721308119355</v>
      </c>
      <c r="R40" s="70">
        <f>F40+WNA!Q92</f>
        <v>82771.732017154733</v>
      </c>
      <c r="S40" s="70">
        <f>G40+WNA!R92</f>
        <v>127113.07717925601</v>
      </c>
      <c r="T40" s="70">
        <f>H40+WNA!S92</f>
        <v>135814.18695312337</v>
      </c>
      <c r="U40" s="70">
        <f>I40+WNA!T92</f>
        <v>130292.12603013362</v>
      </c>
      <c r="V40" s="70">
        <f>J40+WNA!U92</f>
        <v>120844.82003271015</v>
      </c>
      <c r="W40" s="70">
        <f>K40+WNA!V92</f>
        <v>79228.315102744426</v>
      </c>
      <c r="X40" s="70">
        <f>L40+WNA!W92</f>
        <v>39398.500991553163</v>
      </c>
      <c r="Y40" s="70">
        <f>M40+WNA!X92</f>
        <v>26754.768472422253</v>
      </c>
      <c r="Z40" s="70">
        <f>N40+WNA!Y92</f>
        <v>23258.624617466066</v>
      </c>
      <c r="AA40" s="70">
        <f>O40+WNA!Z92</f>
        <v>21072.44857128954</v>
      </c>
      <c r="AB40" s="70">
        <f>P40+WNA!AA92</f>
        <v>23077.926012305208</v>
      </c>
      <c r="AC40" s="70">
        <f>Q40+WNA!AB92</f>
        <v>34965.721308119355</v>
      </c>
      <c r="AD40" s="70">
        <f>R40+WNA!AC92</f>
        <v>82771.732017154733</v>
      </c>
      <c r="AE40" s="70">
        <f>S40+WNA!AD92</f>
        <v>127113.07717925601</v>
      </c>
      <c r="AF40" s="70">
        <f>T40+WNA!AE92</f>
        <v>135814.18695312337</v>
      </c>
      <c r="AG40" s="70">
        <f>U40+WNA!AF92</f>
        <v>130292.12603013362</v>
      </c>
      <c r="AH40" s="70">
        <f>V40+WNA!AG92</f>
        <v>120844.82003271015</v>
      </c>
      <c r="AI40" s="70">
        <f>W40+WNA!AH92</f>
        <v>79228.315102744426</v>
      </c>
      <c r="AJ40" s="70">
        <f>X40+WNA!AI92</f>
        <v>39398.500991553163</v>
      </c>
      <c r="AK40" s="70">
        <f>Y40+WNA!AJ92</f>
        <v>26754.768472422253</v>
      </c>
      <c r="AL40" s="70">
        <f>Z40+WNA!AK92</f>
        <v>23258.624617466066</v>
      </c>
      <c r="AM40" s="70">
        <f>AA40+WNA!AL92</f>
        <v>21072.44857128954</v>
      </c>
      <c r="AN40" s="70">
        <f>AB40+WNA!AM92</f>
        <v>23077.926012305208</v>
      </c>
      <c r="AO40" s="70">
        <f>AC40+WNA!AN92</f>
        <v>34965.721308119355</v>
      </c>
      <c r="AP40" s="70">
        <f>AD40+WNA!AO92</f>
        <v>82771.732017154733</v>
      </c>
      <c r="AQ40" s="70">
        <f>AE40+WNA!AP92</f>
        <v>127113.07717925601</v>
      </c>
      <c r="AR40" s="70">
        <f>AF40+WNA!AQ92</f>
        <v>135814.18695312337</v>
      </c>
      <c r="AS40" s="70">
        <f>AG40+WNA!AR92</f>
        <v>130292.12603013362</v>
      </c>
      <c r="AT40" s="70">
        <f>AH40+WNA!AS92</f>
        <v>120844.82003271015</v>
      </c>
      <c r="AU40" s="70">
        <f>AI40+WNA!AT92</f>
        <v>79228.315102744426</v>
      </c>
      <c r="AV40" s="70">
        <f>AJ40+WNA!AU92</f>
        <v>39398.500991553163</v>
      </c>
      <c r="AW40" s="70">
        <f>AK40+WNA!AV92</f>
        <v>26754.768472422253</v>
      </c>
      <c r="AX40" s="70">
        <f>AL40+WNA!AW92</f>
        <v>23258.624617466066</v>
      </c>
      <c r="AY40" s="70">
        <f>AM40+WNA!AX92</f>
        <v>21072.44857128954</v>
      </c>
      <c r="AZ40" s="70">
        <f>AN40+WNA!AY92</f>
        <v>23077.926012305208</v>
      </c>
      <c r="BA40" s="70">
        <f>AO40+WNA!AZ92</f>
        <v>34965.721308119355</v>
      </c>
      <c r="BB40" s="70">
        <f>AP40+WNA!BA92</f>
        <v>82771.732017154733</v>
      </c>
      <c r="BC40" s="70">
        <f>AQ40+WNA!BB92</f>
        <v>127113.07717925601</v>
      </c>
      <c r="BD40" s="70">
        <f>AR40+WNA!BC92</f>
        <v>135814.18695312337</v>
      </c>
      <c r="BE40" s="70">
        <f>AS40+WNA!BD92</f>
        <v>130292.12603013362</v>
      </c>
      <c r="BF40" s="70">
        <f>AT40+WNA!BE92</f>
        <v>120844.82003271015</v>
      </c>
      <c r="BG40" s="70">
        <f>AU40+WNA!BF92</f>
        <v>79228.315102744426</v>
      </c>
      <c r="BH40" s="70">
        <f>AV40+WNA!BG92</f>
        <v>39398.500991553163</v>
      </c>
      <c r="BI40" s="70">
        <f>AW40+WNA!BH92</f>
        <v>26754.768472422253</v>
      </c>
      <c r="BJ40" s="70">
        <f>AX40+WNA!BI92</f>
        <v>23258.624617466066</v>
      </c>
      <c r="BK40" s="70">
        <f>AY40+WNA!BJ92</f>
        <v>21072.44857128954</v>
      </c>
      <c r="BL40" s="70">
        <f>AZ40+WNA!BK92</f>
        <v>23077.926012305208</v>
      </c>
      <c r="BM40" s="70">
        <f>BA40+WNA!BL92</f>
        <v>34965.721308119355</v>
      </c>
      <c r="BN40" s="70">
        <f>BB40+WNA!BM92</f>
        <v>82771.732017154733</v>
      </c>
      <c r="BO40" s="70">
        <f>BC40+WNA!BN92</f>
        <v>127113.07717925601</v>
      </c>
      <c r="BP40" s="70">
        <f>BD40+WNA!BO92</f>
        <v>135814.18695312337</v>
      </c>
      <c r="BQ40" s="70">
        <f>BE40+WNA!BP92</f>
        <v>130292.12603013362</v>
      </c>
      <c r="BR40" s="70">
        <f>BF40+WNA!BQ92</f>
        <v>120844.82003271015</v>
      </c>
      <c r="BS40" s="70">
        <f>BG40+WNA!BR92</f>
        <v>79228.315102744426</v>
      </c>
      <c r="BT40" s="70">
        <f>BH40+WNA!BS92</f>
        <v>39398.500991553163</v>
      </c>
      <c r="BU40" s="70">
        <f>BI40+WNA!BT92</f>
        <v>26754.768472422253</v>
      </c>
      <c r="BV40" s="70">
        <f>BJ40+WNA!BU92</f>
        <v>23258.624617466066</v>
      </c>
      <c r="BW40" s="70">
        <f>BK40+WNA!BV92</f>
        <v>21072.44857128954</v>
      </c>
      <c r="BX40" s="70">
        <f>BL40+WNA!BW92</f>
        <v>23077.926012305208</v>
      </c>
      <c r="BY40" s="70">
        <f>BM40+WNA!BX92</f>
        <v>34965.721308119355</v>
      </c>
      <c r="BZ40" s="70">
        <f>BN40+WNA!BY92</f>
        <v>82771.732017154733</v>
      </c>
      <c r="CA40" s="70">
        <f>BO40+WNA!BZ92</f>
        <v>127113.07717925601</v>
      </c>
      <c r="CB40" s="70">
        <f>BP40+WNA!CA92</f>
        <v>135814.18695312337</v>
      </c>
      <c r="CC40" s="70">
        <f>BQ40+WNA!CB92</f>
        <v>130292.12603013362</v>
      </c>
      <c r="CD40" s="70">
        <f>BR40+WNA!CC92</f>
        <v>120844.82003271015</v>
      </c>
      <c r="CE40" s="70">
        <f>BS40+WNA!CD92</f>
        <v>79228.315102744426</v>
      </c>
      <c r="CF40" s="70">
        <f>BT40+WNA!CE92</f>
        <v>39398.500991553163</v>
      </c>
      <c r="CG40" s="70">
        <f>BU40+WNA!CF92</f>
        <v>26754.768472422253</v>
      </c>
      <c r="CH40" s="70">
        <f>BV40+WNA!CG92</f>
        <v>23258.624617466066</v>
      </c>
      <c r="CI40" s="70">
        <f>BW40+WNA!CH92</f>
        <v>21072.44857128954</v>
      </c>
    </row>
    <row r="41" spans="1:87" x14ac:dyDescent="0.2">
      <c r="A41" s="1">
        <v>31</v>
      </c>
      <c r="B41" s="1" t="s">
        <v>25</v>
      </c>
      <c r="C41" s="14">
        <f>C32</f>
        <v>0.87999999999999989</v>
      </c>
      <c r="D41" s="70">
        <f>'Bill Frequency'!C36+WNA!C93+'Contract &amp; Vol Adj'!C36</f>
        <v>5065.5308876947893</v>
      </c>
      <c r="E41" s="70">
        <f>'Bill Frequency'!D36+WNA!D93+'Contract &amp; Vol Adj'!D36</f>
        <v>9316.4394918806447</v>
      </c>
      <c r="F41" s="70">
        <f>'Bill Frequency'!E36+WNA!E93+'Contract &amp; Vol Adj'!E36</f>
        <v>14371.899282845256</v>
      </c>
      <c r="G41" s="70">
        <f>'Bill Frequency'!F36+WNA!F93+'Contract &amp; Vol Adj'!F36</f>
        <v>31379.634520744003</v>
      </c>
      <c r="H41" s="70">
        <f>'Bill Frequency'!G36+WNA!G93+'Contract &amp; Vol Adj'!G36</f>
        <v>49269.582346876661</v>
      </c>
      <c r="I41" s="70">
        <f>'Bill Frequency'!H36+WNA!H93+'Contract &amp; Vol Adj'!H36</f>
        <v>46492.912669866404</v>
      </c>
      <c r="J41" s="70">
        <f>'Bill Frequency'!I36+WNA!I93+'Contract &amp; Vol Adj'!I36</f>
        <v>43294.96776728984</v>
      </c>
      <c r="K41" s="70">
        <f>'Bill Frequency'!J36+WNA!J93+'Contract &amp; Vol Adj'!J36</f>
        <v>14446.983097255577</v>
      </c>
      <c r="L41" s="70">
        <f>'Bill Frequency'!K36+WNA!K93+'Contract &amp; Vol Adj'!K36</f>
        <v>10500.211808446846</v>
      </c>
      <c r="M41" s="70">
        <f>'Bill Frequency'!L36+WNA!L93+'Contract &amp; Vol Adj'!L36</f>
        <v>5435.1059275777461</v>
      </c>
      <c r="N41" s="70">
        <f>'Bill Frequency'!M36+WNA!M93+'Contract &amp; Vol Adj'!M36</f>
        <v>4676.6375825339346</v>
      </c>
      <c r="O41" s="70">
        <f>'Bill Frequency'!N36+WNA!N93+'Contract &amp; Vol Adj'!N36</f>
        <v>5862.0711287104614</v>
      </c>
      <c r="P41" s="70">
        <f>D41+WNA!O93</f>
        <v>5065.5308876947893</v>
      </c>
      <c r="Q41" s="70">
        <f>E41+WNA!P93</f>
        <v>9316.4394918806447</v>
      </c>
      <c r="R41" s="70">
        <f>F41+WNA!Q93</f>
        <v>14371.899282845256</v>
      </c>
      <c r="S41" s="70">
        <f>G41+WNA!R93</f>
        <v>31379.634520744003</v>
      </c>
      <c r="T41" s="70">
        <f>H41+WNA!S93</f>
        <v>49269.582346876661</v>
      </c>
      <c r="U41" s="70">
        <f>I41+WNA!T93</f>
        <v>46492.912669866404</v>
      </c>
      <c r="V41" s="70">
        <f>J41+WNA!U93</f>
        <v>43294.96776728984</v>
      </c>
      <c r="W41" s="70">
        <f>K41+WNA!V93</f>
        <v>14446.983097255577</v>
      </c>
      <c r="X41" s="70">
        <f>L41+WNA!W93</f>
        <v>10500.211808446846</v>
      </c>
      <c r="Y41" s="70">
        <f>M41+WNA!X93</f>
        <v>5435.1059275777461</v>
      </c>
      <c r="Z41" s="70">
        <f>N41+WNA!Y93</f>
        <v>4676.6375825339346</v>
      </c>
      <c r="AA41" s="70">
        <f>O41+WNA!Z93</f>
        <v>5862.0711287104614</v>
      </c>
      <c r="AB41" s="70">
        <f>P41+WNA!AA93</f>
        <v>5065.5308876947893</v>
      </c>
      <c r="AC41" s="70">
        <f>Q41+WNA!AB93</f>
        <v>9316.4394918806447</v>
      </c>
      <c r="AD41" s="70">
        <f>R41+WNA!AC93</f>
        <v>14371.899282845256</v>
      </c>
      <c r="AE41" s="70">
        <f>S41+WNA!AD93</f>
        <v>31379.634520744003</v>
      </c>
      <c r="AF41" s="70">
        <f>T41+WNA!AE93</f>
        <v>49269.582346876661</v>
      </c>
      <c r="AG41" s="70">
        <f>U41+WNA!AF93</f>
        <v>46492.912669866404</v>
      </c>
      <c r="AH41" s="70">
        <f>V41+WNA!AG93</f>
        <v>43294.96776728984</v>
      </c>
      <c r="AI41" s="70">
        <f>W41+WNA!AH93</f>
        <v>14446.983097255577</v>
      </c>
      <c r="AJ41" s="70">
        <f>X41+WNA!AI93</f>
        <v>10500.211808446846</v>
      </c>
      <c r="AK41" s="70">
        <f>Y41+WNA!AJ93</f>
        <v>5435.1059275777461</v>
      </c>
      <c r="AL41" s="70">
        <f>Z41+WNA!AK93</f>
        <v>4676.6375825339346</v>
      </c>
      <c r="AM41" s="70">
        <f>AA41+WNA!AL93</f>
        <v>5862.0711287104614</v>
      </c>
      <c r="AN41" s="70">
        <f>AB41+WNA!AM93</f>
        <v>5065.5308876947893</v>
      </c>
      <c r="AO41" s="70">
        <f>AC41+WNA!AN93</f>
        <v>9316.4394918806447</v>
      </c>
      <c r="AP41" s="70">
        <f>AD41+WNA!AO93</f>
        <v>14371.899282845256</v>
      </c>
      <c r="AQ41" s="70">
        <f>AE41+WNA!AP93</f>
        <v>31379.634520744003</v>
      </c>
      <c r="AR41" s="70">
        <f>AF41+WNA!AQ93</f>
        <v>49269.582346876661</v>
      </c>
      <c r="AS41" s="70">
        <f>AG41+WNA!AR93</f>
        <v>46492.912669866404</v>
      </c>
      <c r="AT41" s="70">
        <f>AH41+WNA!AS93</f>
        <v>43294.96776728984</v>
      </c>
      <c r="AU41" s="70">
        <f>AI41+WNA!AT93</f>
        <v>14446.983097255577</v>
      </c>
      <c r="AV41" s="70">
        <f>AJ41+WNA!AU93</f>
        <v>10500.211808446846</v>
      </c>
      <c r="AW41" s="70">
        <f>AK41+WNA!AV93</f>
        <v>5435.1059275777461</v>
      </c>
      <c r="AX41" s="70">
        <f>AL41+WNA!AW93</f>
        <v>4676.6375825339346</v>
      </c>
      <c r="AY41" s="70">
        <f>AM41+WNA!AX93</f>
        <v>5862.0711287104614</v>
      </c>
      <c r="AZ41" s="70">
        <f>AN41+WNA!AY93</f>
        <v>5065.5308876947893</v>
      </c>
      <c r="BA41" s="70">
        <f>AO41+WNA!AZ93</f>
        <v>9316.4394918806447</v>
      </c>
      <c r="BB41" s="70">
        <f>AP41+WNA!BA93</f>
        <v>14371.899282845256</v>
      </c>
      <c r="BC41" s="70">
        <f>AQ41+WNA!BB93</f>
        <v>31379.634520744003</v>
      </c>
      <c r="BD41" s="70">
        <f>AR41+WNA!BC93</f>
        <v>49269.582346876661</v>
      </c>
      <c r="BE41" s="70">
        <f>AS41+WNA!BD93</f>
        <v>46492.912669866404</v>
      </c>
      <c r="BF41" s="70">
        <f>AT41+WNA!BE93</f>
        <v>43294.96776728984</v>
      </c>
      <c r="BG41" s="70">
        <f>AU41+WNA!BF93</f>
        <v>14446.983097255577</v>
      </c>
      <c r="BH41" s="70">
        <f>AV41+WNA!BG93</f>
        <v>10500.211808446846</v>
      </c>
      <c r="BI41" s="70">
        <f>AW41+WNA!BH93</f>
        <v>5435.1059275777461</v>
      </c>
      <c r="BJ41" s="70">
        <f>AX41+WNA!BI93</f>
        <v>4676.6375825339346</v>
      </c>
      <c r="BK41" s="70">
        <f>AY41+WNA!BJ93</f>
        <v>5862.0711287104614</v>
      </c>
      <c r="BL41" s="70">
        <f>AZ41+WNA!BK93</f>
        <v>5065.5308876947893</v>
      </c>
      <c r="BM41" s="70">
        <f>BA41+WNA!BL93</f>
        <v>9316.4394918806447</v>
      </c>
      <c r="BN41" s="70">
        <f>BB41+WNA!BM93</f>
        <v>14371.899282845256</v>
      </c>
      <c r="BO41" s="70">
        <f>BC41+WNA!BN93</f>
        <v>31379.634520744003</v>
      </c>
      <c r="BP41" s="70">
        <f>BD41+WNA!BO93</f>
        <v>49269.582346876661</v>
      </c>
      <c r="BQ41" s="70">
        <f>BE41+WNA!BP93</f>
        <v>46492.912669866404</v>
      </c>
      <c r="BR41" s="70">
        <f>BF41+WNA!BQ93</f>
        <v>43294.96776728984</v>
      </c>
      <c r="BS41" s="70">
        <f>BG41+WNA!BR93</f>
        <v>14446.983097255577</v>
      </c>
      <c r="BT41" s="70">
        <f>BH41+WNA!BS93</f>
        <v>10500.211808446846</v>
      </c>
      <c r="BU41" s="70">
        <f>BI41+WNA!BT93</f>
        <v>5435.1059275777461</v>
      </c>
      <c r="BV41" s="70">
        <f>BJ41+WNA!BU93</f>
        <v>4676.6375825339346</v>
      </c>
      <c r="BW41" s="70">
        <f>BK41+WNA!BV93</f>
        <v>5862.0711287104614</v>
      </c>
      <c r="BX41" s="70">
        <f>BL41+WNA!BW93</f>
        <v>5065.5308876947893</v>
      </c>
      <c r="BY41" s="70">
        <f>BM41+WNA!BX93</f>
        <v>9316.4394918806447</v>
      </c>
      <c r="BZ41" s="70">
        <f>BN41+WNA!BY93</f>
        <v>14371.899282845256</v>
      </c>
      <c r="CA41" s="70">
        <f>BO41+WNA!BZ93</f>
        <v>31379.634520744003</v>
      </c>
      <c r="CB41" s="70">
        <f>BP41+WNA!CA93</f>
        <v>49269.582346876661</v>
      </c>
      <c r="CC41" s="70">
        <f>BQ41+WNA!CB93</f>
        <v>46492.912669866404</v>
      </c>
      <c r="CD41" s="70">
        <f>BR41+WNA!CC93</f>
        <v>43294.96776728984</v>
      </c>
      <c r="CE41" s="70">
        <f>BS41+WNA!CD93</f>
        <v>14446.983097255577</v>
      </c>
      <c r="CF41" s="70">
        <f>BT41+WNA!CE93</f>
        <v>10500.211808446846</v>
      </c>
      <c r="CG41" s="70">
        <f>BU41+WNA!CF93</f>
        <v>5435.1059275777461</v>
      </c>
      <c r="CH41" s="70">
        <f>BV41+WNA!CG93</f>
        <v>4676.6375825339346</v>
      </c>
      <c r="CI41" s="70">
        <f>BW41+WNA!CH93</f>
        <v>5862.0711287104614</v>
      </c>
    </row>
    <row r="42" spans="1:87" x14ac:dyDescent="0.2">
      <c r="A42" s="1">
        <v>32</v>
      </c>
      <c r="B42" s="1" t="s">
        <v>81</v>
      </c>
      <c r="C42" s="14">
        <f>C33</f>
        <v>0.62</v>
      </c>
      <c r="D42" s="70">
        <f>'Bill Frequency'!C37+WNA!C94+'Contract &amp; Vol Adj'!C37</f>
        <v>0</v>
      </c>
      <c r="E42" s="70">
        <f>'Bill Frequency'!D37+WNA!D94+'Contract &amp; Vol Adj'!D37</f>
        <v>0</v>
      </c>
      <c r="F42" s="70">
        <f>'Bill Frequency'!E37+WNA!E94+'Contract &amp; Vol Adj'!E37</f>
        <v>0</v>
      </c>
      <c r="G42" s="70">
        <f>'Bill Frequency'!F37+WNA!F94+'Contract &amp; Vol Adj'!F37</f>
        <v>0</v>
      </c>
      <c r="H42" s="70">
        <f>'Bill Frequency'!G37+WNA!G94+'Contract &amp; Vol Adj'!G37</f>
        <v>0</v>
      </c>
      <c r="I42" s="70">
        <f>'Bill Frequency'!H37+WNA!H94+'Contract &amp; Vol Adj'!H37</f>
        <v>0</v>
      </c>
      <c r="J42" s="70">
        <f>'Bill Frequency'!I37+WNA!I94+'Contract &amp; Vol Adj'!I37</f>
        <v>0</v>
      </c>
      <c r="K42" s="70">
        <f>'Bill Frequency'!J37+WNA!J94+'Contract &amp; Vol Adj'!J37</f>
        <v>0</v>
      </c>
      <c r="L42" s="70">
        <f>'Bill Frequency'!K37+WNA!K94+'Contract &amp; Vol Adj'!K37</f>
        <v>0</v>
      </c>
      <c r="M42" s="70">
        <f>'Bill Frequency'!L37+WNA!L94+'Contract &amp; Vol Adj'!L37</f>
        <v>0</v>
      </c>
      <c r="N42" s="70">
        <f>'Bill Frequency'!M37+WNA!M94+'Contract &amp; Vol Adj'!M37</f>
        <v>0</v>
      </c>
      <c r="O42" s="70">
        <f>'Bill Frequency'!N37+WNA!N94+'Contract &amp; Vol Adj'!N37</f>
        <v>0</v>
      </c>
      <c r="P42" s="70">
        <f>D42+WNA!O94</f>
        <v>0</v>
      </c>
      <c r="Q42" s="70">
        <f>E42+WNA!P94</f>
        <v>0</v>
      </c>
      <c r="R42" s="70">
        <f>F42+WNA!Q94</f>
        <v>0</v>
      </c>
      <c r="S42" s="70">
        <f>G42+WNA!R94</f>
        <v>0</v>
      </c>
      <c r="T42" s="70">
        <f>H42+WNA!S94</f>
        <v>0</v>
      </c>
      <c r="U42" s="70">
        <f>I42+WNA!T94</f>
        <v>0</v>
      </c>
      <c r="V42" s="70">
        <f>J42+WNA!U94</f>
        <v>0</v>
      </c>
      <c r="W42" s="70">
        <f>K42+WNA!V94</f>
        <v>0</v>
      </c>
      <c r="X42" s="70">
        <f>L42+WNA!W94</f>
        <v>0</v>
      </c>
      <c r="Y42" s="70">
        <f>M42+WNA!X94</f>
        <v>0</v>
      </c>
      <c r="Z42" s="70">
        <f>N42+WNA!Y94</f>
        <v>0</v>
      </c>
      <c r="AA42" s="70">
        <f>O42+WNA!Z94</f>
        <v>0</v>
      </c>
      <c r="AB42" s="70">
        <f>P42+WNA!AA94</f>
        <v>0</v>
      </c>
      <c r="AC42" s="70">
        <f>Q42+WNA!AB94</f>
        <v>0</v>
      </c>
      <c r="AD42" s="70">
        <f>R42+WNA!AC94</f>
        <v>0</v>
      </c>
      <c r="AE42" s="70">
        <f>S42+WNA!AD94</f>
        <v>0</v>
      </c>
      <c r="AF42" s="70">
        <f>T42+WNA!AE94</f>
        <v>0</v>
      </c>
      <c r="AG42" s="70">
        <f>U42+WNA!AF94</f>
        <v>0</v>
      </c>
      <c r="AH42" s="70">
        <f>V42+WNA!AG94</f>
        <v>0</v>
      </c>
      <c r="AI42" s="70">
        <f>W42+WNA!AH94</f>
        <v>0</v>
      </c>
      <c r="AJ42" s="70">
        <f>X42+WNA!AI94</f>
        <v>0</v>
      </c>
      <c r="AK42" s="70">
        <f>Y42+WNA!AJ94</f>
        <v>0</v>
      </c>
      <c r="AL42" s="70">
        <f>Z42+WNA!AK94</f>
        <v>0</v>
      </c>
      <c r="AM42" s="70">
        <f>AA42+WNA!AL94</f>
        <v>0</v>
      </c>
      <c r="AN42" s="70">
        <f>AB42+WNA!AM94</f>
        <v>0</v>
      </c>
      <c r="AO42" s="70">
        <f>AC42+WNA!AN94</f>
        <v>0</v>
      </c>
      <c r="AP42" s="70">
        <f>AD42+WNA!AO94</f>
        <v>0</v>
      </c>
      <c r="AQ42" s="70">
        <f>AE42+WNA!AP94</f>
        <v>0</v>
      </c>
      <c r="AR42" s="70">
        <f>AF42+WNA!AQ94</f>
        <v>0</v>
      </c>
      <c r="AS42" s="70">
        <f>AG42+WNA!AR94</f>
        <v>0</v>
      </c>
      <c r="AT42" s="70">
        <f>AH42+WNA!AS94</f>
        <v>0</v>
      </c>
      <c r="AU42" s="70">
        <f>AI42+WNA!AT94</f>
        <v>0</v>
      </c>
      <c r="AV42" s="70">
        <f>AJ42+WNA!AU94</f>
        <v>0</v>
      </c>
      <c r="AW42" s="70">
        <f>AK42+WNA!AV94</f>
        <v>0</v>
      </c>
      <c r="AX42" s="70">
        <f>AL42+WNA!AW94</f>
        <v>0</v>
      </c>
      <c r="AY42" s="70">
        <f>AM42+WNA!AX94</f>
        <v>0</v>
      </c>
      <c r="AZ42" s="70">
        <f>AN42+WNA!AY94</f>
        <v>0</v>
      </c>
      <c r="BA42" s="70">
        <f>AO42+WNA!AZ94</f>
        <v>0</v>
      </c>
      <c r="BB42" s="70">
        <f>AP42+WNA!BA94</f>
        <v>0</v>
      </c>
      <c r="BC42" s="70">
        <f>AQ42+WNA!BB94</f>
        <v>0</v>
      </c>
      <c r="BD42" s="70">
        <f>AR42+WNA!BC94</f>
        <v>0</v>
      </c>
      <c r="BE42" s="70">
        <f>AS42+WNA!BD94</f>
        <v>0</v>
      </c>
      <c r="BF42" s="70">
        <f>AT42+WNA!BE94</f>
        <v>0</v>
      </c>
      <c r="BG42" s="70">
        <f>AU42+WNA!BF94</f>
        <v>0</v>
      </c>
      <c r="BH42" s="70">
        <f>AV42+WNA!BG94</f>
        <v>0</v>
      </c>
      <c r="BI42" s="70">
        <f>AW42+WNA!BH94</f>
        <v>0</v>
      </c>
      <c r="BJ42" s="70">
        <f>AX42+WNA!BI94</f>
        <v>0</v>
      </c>
      <c r="BK42" s="70">
        <f>AY42+WNA!BJ94</f>
        <v>0</v>
      </c>
      <c r="BL42" s="70">
        <f>AZ42+WNA!BK94</f>
        <v>0</v>
      </c>
      <c r="BM42" s="70">
        <f>BA42+WNA!BL94</f>
        <v>0</v>
      </c>
      <c r="BN42" s="70">
        <f>BB42+WNA!BM94</f>
        <v>0</v>
      </c>
      <c r="BO42" s="70">
        <f>BC42+WNA!BN94</f>
        <v>0</v>
      </c>
      <c r="BP42" s="70">
        <f>BD42+WNA!BO94</f>
        <v>0</v>
      </c>
      <c r="BQ42" s="70">
        <f>BE42+WNA!BP94</f>
        <v>0</v>
      </c>
      <c r="BR42" s="70">
        <f>BF42+WNA!BQ94</f>
        <v>0</v>
      </c>
      <c r="BS42" s="70">
        <f>BG42+WNA!BR94</f>
        <v>0</v>
      </c>
      <c r="BT42" s="70">
        <f>BH42+WNA!BS94</f>
        <v>0</v>
      </c>
      <c r="BU42" s="70">
        <f>BI42+WNA!BT94</f>
        <v>0</v>
      </c>
      <c r="BV42" s="70">
        <f>BJ42+WNA!BU94</f>
        <v>0</v>
      </c>
      <c r="BW42" s="70">
        <f>BK42+WNA!BV94</f>
        <v>0</v>
      </c>
      <c r="BX42" s="70">
        <f>BL42+WNA!BW94</f>
        <v>0</v>
      </c>
      <c r="BY42" s="70">
        <f>BM42+WNA!BX94</f>
        <v>0</v>
      </c>
      <c r="BZ42" s="70">
        <f>BN42+WNA!BY94</f>
        <v>0</v>
      </c>
      <c r="CA42" s="70">
        <f>BO42+WNA!BZ94</f>
        <v>0</v>
      </c>
      <c r="CB42" s="70">
        <f>BP42+WNA!CA94</f>
        <v>0</v>
      </c>
      <c r="CC42" s="70">
        <f>BQ42+WNA!CB94</f>
        <v>0</v>
      </c>
      <c r="CD42" s="70">
        <f>BR42+WNA!CC94</f>
        <v>0</v>
      </c>
      <c r="CE42" s="70">
        <f>BS42+WNA!CD94</f>
        <v>0</v>
      </c>
      <c r="CF42" s="70">
        <f>BT42+WNA!CE94</f>
        <v>0</v>
      </c>
      <c r="CG42" s="70">
        <f>BU42+WNA!CF94</f>
        <v>0</v>
      </c>
      <c r="CH42" s="70">
        <f>BV42+WNA!CG94</f>
        <v>0</v>
      </c>
      <c r="CI42" s="70">
        <f>BW42+WNA!CH94</f>
        <v>0</v>
      </c>
    </row>
    <row r="43" spans="1:87" x14ac:dyDescent="0.2">
      <c r="A43" s="1">
        <v>33</v>
      </c>
      <c r="B43" s="32" t="s">
        <v>79</v>
      </c>
      <c r="C43" s="32"/>
      <c r="D43" s="31">
        <f t="shared" ref="D43:AI43" si="40">D40+D41+D42</f>
        <v>28143.456899999997</v>
      </c>
      <c r="E43" s="31">
        <f t="shared" si="40"/>
        <v>44282.160799999998</v>
      </c>
      <c r="F43" s="31">
        <f t="shared" si="40"/>
        <v>97143.631299999994</v>
      </c>
      <c r="G43" s="31">
        <f t="shared" si="40"/>
        <v>158492.71170000001</v>
      </c>
      <c r="H43" s="31">
        <f t="shared" si="40"/>
        <v>185083.76930000004</v>
      </c>
      <c r="I43" s="31">
        <f t="shared" si="40"/>
        <v>176785.03870000003</v>
      </c>
      <c r="J43" s="31">
        <f t="shared" si="40"/>
        <v>164139.78779999999</v>
      </c>
      <c r="K43" s="31">
        <f t="shared" si="40"/>
        <v>93675.298200000005</v>
      </c>
      <c r="L43" s="31">
        <f t="shared" si="40"/>
        <v>49898.712800000008</v>
      </c>
      <c r="M43" s="31">
        <f t="shared" si="40"/>
        <v>32189.874400000001</v>
      </c>
      <c r="N43" s="31">
        <f t="shared" si="40"/>
        <v>27935.262200000001</v>
      </c>
      <c r="O43" s="31">
        <f t="shared" si="40"/>
        <v>26934.519700000001</v>
      </c>
      <c r="P43" s="31">
        <f t="shared" si="40"/>
        <v>28143.456899999997</v>
      </c>
      <c r="Q43" s="31">
        <f t="shared" si="40"/>
        <v>44282.160799999998</v>
      </c>
      <c r="R43" s="31">
        <f t="shared" si="40"/>
        <v>97143.631299999994</v>
      </c>
      <c r="S43" s="31">
        <f t="shared" si="40"/>
        <v>158492.71170000001</v>
      </c>
      <c r="T43" s="31">
        <f t="shared" si="40"/>
        <v>185083.76930000004</v>
      </c>
      <c r="U43" s="31">
        <f t="shared" si="40"/>
        <v>176785.03870000003</v>
      </c>
      <c r="V43" s="31">
        <f t="shared" si="40"/>
        <v>164139.78779999999</v>
      </c>
      <c r="W43" s="31">
        <f t="shared" si="40"/>
        <v>93675.298200000005</v>
      </c>
      <c r="X43" s="31">
        <f t="shared" si="40"/>
        <v>49898.712800000008</v>
      </c>
      <c r="Y43" s="31">
        <f t="shared" si="40"/>
        <v>32189.874400000001</v>
      </c>
      <c r="Z43" s="31">
        <f t="shared" si="40"/>
        <v>27935.262200000001</v>
      </c>
      <c r="AA43" s="31">
        <f t="shared" si="40"/>
        <v>26934.519700000001</v>
      </c>
      <c r="AB43" s="31">
        <f t="shared" si="40"/>
        <v>28143.456899999997</v>
      </c>
      <c r="AC43" s="31">
        <f t="shared" si="40"/>
        <v>44282.160799999998</v>
      </c>
      <c r="AD43" s="31">
        <f t="shared" si="40"/>
        <v>97143.631299999994</v>
      </c>
      <c r="AE43" s="31">
        <f t="shared" si="40"/>
        <v>158492.71170000001</v>
      </c>
      <c r="AF43" s="31">
        <f t="shared" si="40"/>
        <v>185083.76930000004</v>
      </c>
      <c r="AG43" s="31">
        <f t="shared" si="40"/>
        <v>176785.03870000003</v>
      </c>
      <c r="AH43" s="31">
        <f t="shared" si="40"/>
        <v>164139.78779999999</v>
      </c>
      <c r="AI43" s="31">
        <f t="shared" si="40"/>
        <v>93675.298200000005</v>
      </c>
      <c r="AJ43" s="31">
        <f t="shared" ref="AJ43:BW43" si="41">AJ40+AJ41+AJ42</f>
        <v>49898.712800000008</v>
      </c>
      <c r="AK43" s="31">
        <f t="shared" si="41"/>
        <v>32189.874400000001</v>
      </c>
      <c r="AL43" s="31">
        <f t="shared" si="41"/>
        <v>27935.262200000001</v>
      </c>
      <c r="AM43" s="31">
        <f t="shared" si="41"/>
        <v>26934.519700000001</v>
      </c>
      <c r="AN43" s="31">
        <f t="shared" si="41"/>
        <v>28143.456899999997</v>
      </c>
      <c r="AO43" s="31">
        <f t="shared" si="41"/>
        <v>44282.160799999998</v>
      </c>
      <c r="AP43" s="31">
        <f t="shared" si="41"/>
        <v>97143.631299999994</v>
      </c>
      <c r="AQ43" s="31">
        <f t="shared" si="41"/>
        <v>158492.71170000001</v>
      </c>
      <c r="AR43" s="31">
        <f t="shared" si="41"/>
        <v>185083.76930000004</v>
      </c>
      <c r="AS43" s="31">
        <f t="shared" si="41"/>
        <v>176785.03870000003</v>
      </c>
      <c r="AT43" s="31">
        <f t="shared" si="41"/>
        <v>164139.78779999999</v>
      </c>
      <c r="AU43" s="31">
        <f t="shared" si="41"/>
        <v>93675.298200000005</v>
      </c>
      <c r="AV43" s="31">
        <f t="shared" si="41"/>
        <v>49898.712800000008</v>
      </c>
      <c r="AW43" s="31">
        <f t="shared" si="41"/>
        <v>32189.874400000001</v>
      </c>
      <c r="AX43" s="31">
        <f t="shared" si="41"/>
        <v>27935.262200000001</v>
      </c>
      <c r="AY43" s="31">
        <f t="shared" si="41"/>
        <v>26934.519700000001</v>
      </c>
      <c r="AZ43" s="31">
        <f t="shared" si="41"/>
        <v>28143.456899999997</v>
      </c>
      <c r="BA43" s="31">
        <f t="shared" si="41"/>
        <v>44282.160799999998</v>
      </c>
      <c r="BB43" s="31">
        <f t="shared" si="41"/>
        <v>97143.631299999994</v>
      </c>
      <c r="BC43" s="31">
        <f t="shared" si="41"/>
        <v>158492.71170000001</v>
      </c>
      <c r="BD43" s="31">
        <f t="shared" si="41"/>
        <v>185083.76930000004</v>
      </c>
      <c r="BE43" s="31">
        <f t="shared" si="41"/>
        <v>176785.03870000003</v>
      </c>
      <c r="BF43" s="31">
        <f t="shared" si="41"/>
        <v>164139.78779999999</v>
      </c>
      <c r="BG43" s="31">
        <f t="shared" si="41"/>
        <v>93675.298200000005</v>
      </c>
      <c r="BH43" s="31">
        <f t="shared" si="41"/>
        <v>49898.712800000008</v>
      </c>
      <c r="BI43" s="31">
        <f t="shared" si="41"/>
        <v>32189.874400000001</v>
      </c>
      <c r="BJ43" s="31">
        <f t="shared" si="41"/>
        <v>27935.262200000001</v>
      </c>
      <c r="BK43" s="31">
        <f t="shared" si="41"/>
        <v>26934.519700000001</v>
      </c>
      <c r="BL43" s="31">
        <f t="shared" si="41"/>
        <v>28143.456899999997</v>
      </c>
      <c r="BM43" s="31">
        <f t="shared" si="41"/>
        <v>44282.160799999998</v>
      </c>
      <c r="BN43" s="31">
        <f t="shared" si="41"/>
        <v>97143.631299999994</v>
      </c>
      <c r="BO43" s="31">
        <f t="shared" si="41"/>
        <v>158492.71170000001</v>
      </c>
      <c r="BP43" s="31">
        <f t="shared" si="41"/>
        <v>185083.76930000004</v>
      </c>
      <c r="BQ43" s="31">
        <f t="shared" si="41"/>
        <v>176785.03870000003</v>
      </c>
      <c r="BR43" s="31">
        <f t="shared" si="41"/>
        <v>164139.78779999999</v>
      </c>
      <c r="BS43" s="31">
        <f t="shared" si="41"/>
        <v>93675.298200000005</v>
      </c>
      <c r="BT43" s="31">
        <f t="shared" si="41"/>
        <v>49898.712800000008</v>
      </c>
      <c r="BU43" s="31">
        <f t="shared" si="41"/>
        <v>32189.874400000001</v>
      </c>
      <c r="BV43" s="31">
        <f t="shared" si="41"/>
        <v>27935.262200000001</v>
      </c>
      <c r="BW43" s="31">
        <f t="shared" si="41"/>
        <v>26934.519700000001</v>
      </c>
      <c r="BX43" s="31">
        <f t="shared" ref="BX43:CI43" si="42">BX40+BX41+BX42</f>
        <v>28143.456899999997</v>
      </c>
      <c r="BY43" s="31">
        <f t="shared" si="42"/>
        <v>44282.160799999998</v>
      </c>
      <c r="BZ43" s="31">
        <f t="shared" si="42"/>
        <v>97143.631299999994</v>
      </c>
      <c r="CA43" s="31">
        <f t="shared" si="42"/>
        <v>158492.71170000001</v>
      </c>
      <c r="CB43" s="31">
        <f t="shared" si="42"/>
        <v>185083.76930000004</v>
      </c>
      <c r="CC43" s="31">
        <f t="shared" si="42"/>
        <v>176785.03870000003</v>
      </c>
      <c r="CD43" s="31">
        <f t="shared" si="42"/>
        <v>164139.78779999999</v>
      </c>
      <c r="CE43" s="31">
        <f t="shared" si="42"/>
        <v>93675.298200000005</v>
      </c>
      <c r="CF43" s="31">
        <f t="shared" si="42"/>
        <v>49898.712800000008</v>
      </c>
      <c r="CG43" s="31">
        <f t="shared" si="42"/>
        <v>32189.874400000001</v>
      </c>
      <c r="CH43" s="31">
        <f t="shared" si="42"/>
        <v>27935.262200000001</v>
      </c>
      <c r="CI43" s="31">
        <f t="shared" si="42"/>
        <v>26934.519700000001</v>
      </c>
    </row>
    <row r="44" spans="1:87" x14ac:dyDescent="0.2">
      <c r="A44" s="1">
        <v>34</v>
      </c>
      <c r="B44" s="16" t="s">
        <v>237</v>
      </c>
      <c r="C44" s="1"/>
      <c r="D44" s="93">
        <f>D35</f>
        <v>6.6699000000000002</v>
      </c>
      <c r="E44" s="93">
        <f t="shared" ref="E44:P44" si="43">E35</f>
        <v>6.6699000000000002</v>
      </c>
      <c r="F44" s="93">
        <f t="shared" si="43"/>
        <v>5.7476000000000003</v>
      </c>
      <c r="G44" s="93">
        <f t="shared" si="43"/>
        <v>5.7476000000000003</v>
      </c>
      <c r="H44" s="93">
        <f t="shared" si="43"/>
        <v>5.8611000000000004</v>
      </c>
      <c r="I44" s="93">
        <f t="shared" si="43"/>
        <v>5.8914999999999997</v>
      </c>
      <c r="J44" s="93">
        <f t="shared" si="43"/>
        <v>5.8914999999999997</v>
      </c>
      <c r="K44" s="93">
        <f t="shared" si="43"/>
        <v>5.6984999999999992</v>
      </c>
      <c r="L44" s="93">
        <f t="shared" si="43"/>
        <v>5.1452</v>
      </c>
      <c r="M44" s="93">
        <f t="shared" si="43"/>
        <v>5.1452</v>
      </c>
      <c r="N44" s="93">
        <f t="shared" si="43"/>
        <v>5.1452</v>
      </c>
      <c r="O44" s="93">
        <f t="shared" si="43"/>
        <v>4.2233000000000001</v>
      </c>
      <c r="P44" s="93">
        <f t="shared" si="43"/>
        <v>4.2233000000000001</v>
      </c>
      <c r="Q44" s="93">
        <f t="shared" ref="Q44:BW44" si="44">Q35</f>
        <v>4.2233000000000001</v>
      </c>
      <c r="R44" s="93">
        <f t="shared" si="44"/>
        <v>4.3381667607171224</v>
      </c>
      <c r="S44" s="93">
        <f t="shared" si="44"/>
        <v>4.3381667607171224</v>
      </c>
      <c r="T44" s="93">
        <f t="shared" si="44"/>
        <v>4.3381667607171224</v>
      </c>
      <c r="U44" s="93">
        <f t="shared" si="44"/>
        <v>4.4924452138791438</v>
      </c>
      <c r="V44" s="93">
        <f t="shared" si="44"/>
        <v>4.4924452138791438</v>
      </c>
      <c r="W44" s="93">
        <f t="shared" si="44"/>
        <v>4.4924452138791438</v>
      </c>
      <c r="X44" s="93">
        <f t="shared" si="44"/>
        <v>4.576446110502566</v>
      </c>
      <c r="Y44" s="93">
        <f t="shared" si="44"/>
        <v>4.576446110502566</v>
      </c>
      <c r="Z44" s="93">
        <f t="shared" si="44"/>
        <v>4.576446110502566</v>
      </c>
      <c r="AA44" s="93">
        <f t="shared" si="44"/>
        <v>4.6088710472168026</v>
      </c>
      <c r="AB44" s="93">
        <f t="shared" si="44"/>
        <v>4.6088710472168026</v>
      </c>
      <c r="AC44" s="93">
        <f t="shared" si="44"/>
        <v>4.6088710472168026</v>
      </c>
      <c r="AD44" s="93">
        <f t="shared" si="44"/>
        <v>4.5535112981864572</v>
      </c>
      <c r="AE44" s="93">
        <f t="shared" si="44"/>
        <v>4.5535112981864572</v>
      </c>
      <c r="AF44" s="93">
        <f t="shared" si="44"/>
        <v>4.5535112981864572</v>
      </c>
      <c r="AG44" s="93">
        <f t="shared" si="44"/>
        <v>4.5576361502621516</v>
      </c>
      <c r="AH44" s="93">
        <f t="shared" si="44"/>
        <v>4.5576361502621516</v>
      </c>
      <c r="AI44" s="93">
        <f t="shared" si="44"/>
        <v>4.5576361502621516</v>
      </c>
      <c r="AJ44" s="93">
        <f t="shared" si="44"/>
        <v>4.83392198302381</v>
      </c>
      <c r="AK44" s="93">
        <f t="shared" si="44"/>
        <v>4.83392198302381</v>
      </c>
      <c r="AL44" s="93">
        <f t="shared" si="44"/>
        <v>4.83392198302381</v>
      </c>
      <c r="AM44" s="93">
        <f t="shared" si="44"/>
        <v>4.8519223754666072</v>
      </c>
      <c r="AN44" s="93">
        <f t="shared" si="44"/>
        <v>4.8519223754666072</v>
      </c>
      <c r="AO44" s="93">
        <f t="shared" si="44"/>
        <v>4.8519223754666072</v>
      </c>
      <c r="AP44" s="93">
        <f t="shared" si="44"/>
        <v>4.7235732633872862</v>
      </c>
      <c r="AQ44" s="93">
        <f t="shared" si="44"/>
        <v>4.7235732633872862</v>
      </c>
      <c r="AR44" s="93">
        <f t="shared" si="44"/>
        <v>4.7235732633872862</v>
      </c>
      <c r="AS44" s="93">
        <f t="shared" si="44"/>
        <v>4.7016051095232001</v>
      </c>
      <c r="AT44" s="93">
        <f t="shared" si="44"/>
        <v>4.7016051095232001</v>
      </c>
      <c r="AU44" s="93">
        <f t="shared" si="44"/>
        <v>4.7016051095232001</v>
      </c>
      <c r="AV44" s="93">
        <f t="shared" si="44"/>
        <v>4.9184938000819312</v>
      </c>
      <c r="AW44" s="93">
        <f t="shared" si="44"/>
        <v>4.9184938000819312</v>
      </c>
      <c r="AX44" s="93">
        <f t="shared" si="44"/>
        <v>4.9184938000819312</v>
      </c>
      <c r="AY44" s="93">
        <f t="shared" si="44"/>
        <v>4.9221234839243824</v>
      </c>
      <c r="AZ44" s="93">
        <f t="shared" si="44"/>
        <v>4.9221234839243824</v>
      </c>
      <c r="BA44" s="93">
        <f t="shared" si="44"/>
        <v>4.9221234839243824</v>
      </c>
      <c r="BB44" s="93">
        <f t="shared" si="44"/>
        <v>4.811658481577866</v>
      </c>
      <c r="BC44" s="93">
        <f t="shared" si="44"/>
        <v>4.811658481577866</v>
      </c>
      <c r="BD44" s="93">
        <f t="shared" si="44"/>
        <v>4.811658481577866</v>
      </c>
      <c r="BE44" s="93">
        <f t="shared" si="44"/>
        <v>4.795201887089128</v>
      </c>
      <c r="BF44" s="93">
        <f t="shared" si="44"/>
        <v>4.795201887089128</v>
      </c>
      <c r="BG44" s="93">
        <f t="shared" si="44"/>
        <v>4.795201887089128</v>
      </c>
      <c r="BH44" s="93">
        <f t="shared" si="44"/>
        <v>5.0068912841604094</v>
      </c>
      <c r="BI44" s="93">
        <f t="shared" si="44"/>
        <v>5.0068912841604094</v>
      </c>
      <c r="BJ44" s="93">
        <f t="shared" si="44"/>
        <v>5.0068912841604094</v>
      </c>
      <c r="BK44" s="93">
        <f t="shared" si="44"/>
        <v>5.0138460799231694</v>
      </c>
      <c r="BL44" s="93">
        <f t="shared" si="44"/>
        <v>5.0138460799231694</v>
      </c>
      <c r="BM44" s="93">
        <f t="shared" si="44"/>
        <v>5.0138460799231694</v>
      </c>
      <c r="BN44" s="93">
        <f t="shared" si="44"/>
        <v>4.9176211320497707</v>
      </c>
      <c r="BO44" s="93">
        <f t="shared" si="44"/>
        <v>4.9176211320497707</v>
      </c>
      <c r="BP44" s="93">
        <f t="shared" si="44"/>
        <v>4.9176211320497707</v>
      </c>
      <c r="BQ44" s="93">
        <f t="shared" si="44"/>
        <v>4.9054463050499564</v>
      </c>
      <c r="BR44" s="93">
        <f t="shared" si="44"/>
        <v>4.9054463050499564</v>
      </c>
      <c r="BS44" s="93">
        <f t="shared" si="44"/>
        <v>4.9054463050499564</v>
      </c>
      <c r="BT44" s="93">
        <f t="shared" si="44"/>
        <v>5.1288189327537044</v>
      </c>
      <c r="BU44" s="93">
        <f t="shared" si="44"/>
        <v>5.1288189327537044</v>
      </c>
      <c r="BV44" s="93">
        <f t="shared" si="44"/>
        <v>5.1288189327537044</v>
      </c>
      <c r="BW44" s="93">
        <f t="shared" si="44"/>
        <v>5.1452532950186676</v>
      </c>
      <c r="BX44" s="93">
        <f t="shared" ref="BX44:CI44" si="45">BX35</f>
        <v>5.1452532950186676</v>
      </c>
      <c r="BY44" s="93">
        <f t="shared" si="45"/>
        <v>5.1452532950186676</v>
      </c>
      <c r="BZ44" s="93">
        <f t="shared" si="45"/>
        <v>5.0525787355762493</v>
      </c>
      <c r="CA44" s="93">
        <f t="shared" si="45"/>
        <v>5.0525787355762493</v>
      </c>
      <c r="CB44" s="93">
        <f t="shared" si="45"/>
        <v>5.0525787355762493</v>
      </c>
      <c r="CC44" s="93">
        <f t="shared" si="45"/>
        <v>5.0418000232208371</v>
      </c>
      <c r="CD44" s="93">
        <f t="shared" si="45"/>
        <v>5.0418000232208371</v>
      </c>
      <c r="CE44" s="93">
        <f t="shared" si="45"/>
        <v>5.0418000232208371</v>
      </c>
      <c r="CF44" s="93">
        <f t="shared" si="45"/>
        <v>5.2763719984585293</v>
      </c>
      <c r="CG44" s="93">
        <f t="shared" si="45"/>
        <v>5.2763719984585293</v>
      </c>
      <c r="CH44" s="93">
        <f t="shared" si="45"/>
        <v>5.2763719984585293</v>
      </c>
      <c r="CI44" s="93">
        <f t="shared" si="45"/>
        <v>5.3063335447273658</v>
      </c>
    </row>
    <row r="45" spans="1:87" x14ac:dyDescent="0.2">
      <c r="A45" s="1">
        <v>35</v>
      </c>
      <c r="B45" s="16" t="s">
        <v>229</v>
      </c>
      <c r="C45" s="1"/>
      <c r="D45" s="38">
        <f t="shared" ref="D45:AI45" si="46">D44*D43</f>
        <v>187714.04317731</v>
      </c>
      <c r="E45" s="38">
        <f t="shared" si="46"/>
        <v>295357.58431991999</v>
      </c>
      <c r="F45" s="38">
        <f t="shared" si="46"/>
        <v>558342.73525987996</v>
      </c>
      <c r="G45" s="38">
        <f t="shared" si="46"/>
        <v>910952.70976692007</v>
      </c>
      <c r="H45" s="38">
        <f t="shared" si="46"/>
        <v>1084794.4802442302</v>
      </c>
      <c r="I45" s="38">
        <f t="shared" si="46"/>
        <v>1041529.0555010502</v>
      </c>
      <c r="J45" s="38">
        <f t="shared" si="46"/>
        <v>967029.55982369988</v>
      </c>
      <c r="K45" s="38">
        <f t="shared" si="46"/>
        <v>533808.68679269997</v>
      </c>
      <c r="L45" s="38">
        <f t="shared" si="46"/>
        <v>256738.85709856005</v>
      </c>
      <c r="M45" s="38">
        <f t="shared" si="46"/>
        <v>165623.34176288001</v>
      </c>
      <c r="N45" s="38">
        <f t="shared" si="46"/>
        <v>143732.51107144001</v>
      </c>
      <c r="O45" s="38">
        <f t="shared" si="46"/>
        <v>113752.55704901001</v>
      </c>
      <c r="P45" s="38">
        <f t="shared" si="46"/>
        <v>118858.26152576999</v>
      </c>
      <c r="Q45" s="38">
        <f t="shared" si="46"/>
        <v>187016.84970664</v>
      </c>
      <c r="R45" s="38">
        <f t="shared" si="46"/>
        <v>421425.27232101944</v>
      </c>
      <c r="S45" s="38">
        <f t="shared" si="46"/>
        <v>687567.81371286185</v>
      </c>
      <c r="T45" s="38">
        <f t="shared" si="46"/>
        <v>802924.25592549634</v>
      </c>
      <c r="U45" s="38">
        <f t="shared" si="46"/>
        <v>794197.10099325434</v>
      </c>
      <c r="V45" s="38">
        <f t="shared" si="46"/>
        <v>737389.00410924829</v>
      </c>
      <c r="W45" s="38">
        <f t="shared" si="46"/>
        <v>420831.14505729161</v>
      </c>
      <c r="X45" s="38">
        <f t="shared" si="46"/>
        <v>228358.77011264465</v>
      </c>
      <c r="Y45" s="38">
        <f t="shared" si="46"/>
        <v>147315.22549544612</v>
      </c>
      <c r="Z45" s="38">
        <f t="shared" si="46"/>
        <v>127844.22204105936</v>
      </c>
      <c r="AA45" s="38">
        <f t="shared" si="46"/>
        <v>124137.7280160206</v>
      </c>
      <c r="AB45" s="38">
        <f t="shared" si="46"/>
        <v>129709.56367500394</v>
      </c>
      <c r="AC45" s="38">
        <f t="shared" si="46"/>
        <v>204090.76881931882</v>
      </c>
      <c r="AD45" s="38">
        <f t="shared" si="46"/>
        <v>442344.62267140951</v>
      </c>
      <c r="AE45" s="38">
        <f t="shared" si="46"/>
        <v>721698.35340615897</v>
      </c>
      <c r="AF45" s="38">
        <f t="shared" si="46"/>
        <v>842781.03461848595</v>
      </c>
      <c r="AG45" s="38">
        <f t="shared" si="46"/>
        <v>805721.8832046137</v>
      </c>
      <c r="AH45" s="38">
        <f t="shared" si="46"/>
        <v>748089.43057363841</v>
      </c>
      <c r="AI45" s="38">
        <f t="shared" si="46"/>
        <v>426937.92546290706</v>
      </c>
      <c r="AJ45" s="38">
        <f t="shared" ref="AJ45:BW45" si="47">AJ44*AJ43</f>
        <v>241206.48472851163</v>
      </c>
      <c r="AK45" s="38">
        <f t="shared" si="47"/>
        <v>155603.34149293537</v>
      </c>
      <c r="AL45" s="38">
        <f t="shared" si="47"/>
        <v>135036.87805011409</v>
      </c>
      <c r="AM45" s="38">
        <f t="shared" si="47"/>
        <v>130684.19880487613</v>
      </c>
      <c r="AN45" s="38">
        <f t="shared" si="47"/>
        <v>136549.86825609006</v>
      </c>
      <c r="AO45" s="38">
        <f t="shared" si="47"/>
        <v>214853.60681953025</v>
      </c>
      <c r="AP45" s="38">
        <f t="shared" si="47"/>
        <v>458865.05951703229</v>
      </c>
      <c r="AQ45" s="38">
        <f t="shared" si="47"/>
        <v>748651.93542786944</v>
      </c>
      <c r="AR45" s="38">
        <f t="shared" si="47"/>
        <v>874256.74415242078</v>
      </c>
      <c r="AS45" s="38">
        <f t="shared" si="47"/>
        <v>831173.44123917678</v>
      </c>
      <c r="AT45" s="38">
        <f t="shared" si="47"/>
        <v>771720.46499653382</v>
      </c>
      <c r="AU45" s="38">
        <f t="shared" si="47"/>
        <v>440424.26065322943</v>
      </c>
      <c r="AV45" s="38">
        <f t="shared" si="47"/>
        <v>245426.50953886894</v>
      </c>
      <c r="AW45" s="38">
        <f t="shared" si="47"/>
        <v>158325.69766181608</v>
      </c>
      <c r="AX45" s="38">
        <f t="shared" si="47"/>
        <v>137399.41393436314</v>
      </c>
      <c r="AY45" s="38">
        <f t="shared" si="47"/>
        <v>132575.0319435939</v>
      </c>
      <c r="AZ45" s="38">
        <f t="shared" si="47"/>
        <v>138525.57012630368</v>
      </c>
      <c r="BA45" s="38">
        <f t="shared" si="47"/>
        <v>217962.2635925957</v>
      </c>
      <c r="BB45" s="38">
        <f t="shared" si="47"/>
        <v>467421.97747591801</v>
      </c>
      <c r="BC45" s="38">
        <f t="shared" si="47"/>
        <v>762612.8005195806</v>
      </c>
      <c r="BD45" s="38">
        <f t="shared" si="47"/>
        <v>890559.88835474628</v>
      </c>
      <c r="BE45" s="38">
        <f t="shared" si="47"/>
        <v>847719.95118336473</v>
      </c>
      <c r="BF45" s="38">
        <f t="shared" si="47"/>
        <v>787083.42020496901</v>
      </c>
      <c r="BG45" s="38">
        <f t="shared" si="47"/>
        <v>449191.96670227684</v>
      </c>
      <c r="BH45" s="38">
        <f t="shared" si="47"/>
        <v>249837.43020914349</v>
      </c>
      <c r="BI45" s="38">
        <f t="shared" si="47"/>
        <v>161171.20157157831</v>
      </c>
      <c r="BJ45" s="38">
        <f t="shared" si="47"/>
        <v>139868.82082991576</v>
      </c>
      <c r="BK45" s="38">
        <f t="shared" si="47"/>
        <v>135045.53601245838</v>
      </c>
      <c r="BL45" s="38">
        <f t="shared" si="47"/>
        <v>141106.96105355167</v>
      </c>
      <c r="BM45" s="38">
        <f t="shared" si="47"/>
        <v>222023.93833760743</v>
      </c>
      <c r="BN45" s="38">
        <f t="shared" si="47"/>
        <v>477715.57412493153</v>
      </c>
      <c r="BO45" s="38">
        <f t="shared" si="47"/>
        <v>779407.10833179206</v>
      </c>
      <c r="BP45" s="38">
        <f t="shared" si="47"/>
        <v>910171.85510910477</v>
      </c>
      <c r="BQ45" s="38">
        <f t="shared" si="47"/>
        <v>867209.51487902866</v>
      </c>
      <c r="BR45" s="38">
        <f t="shared" si="47"/>
        <v>805178.91557519382</v>
      </c>
      <c r="BS45" s="38">
        <f t="shared" si="47"/>
        <v>459519.14542964287</v>
      </c>
      <c r="BT45" s="38">
        <f t="shared" si="47"/>
        <v>255921.46292867966</v>
      </c>
      <c r="BU45" s="38">
        <f t="shared" si="47"/>
        <v>165096.03726568379</v>
      </c>
      <c r="BV45" s="38">
        <f t="shared" si="47"/>
        <v>143274.90166279892</v>
      </c>
      <c r="BW45" s="38">
        <f t="shared" si="47"/>
        <v>138584.92623617023</v>
      </c>
      <c r="BX45" s="38">
        <f t="shared" ref="BX45:CI45" si="48">BX44*BX43</f>
        <v>144805.21434794084</v>
      </c>
      <c r="BY45" s="38">
        <f t="shared" si="48"/>
        <v>227842.93376674646</v>
      </c>
      <c r="BZ45" s="38">
        <f t="shared" si="48"/>
        <v>490825.84580303932</v>
      </c>
      <c r="CA45" s="38">
        <f t="shared" si="48"/>
        <v>800796.90487923706</v>
      </c>
      <c r="CB45" s="38">
        <f t="shared" si="48"/>
        <v>935150.3170654804</v>
      </c>
      <c r="CC45" s="38">
        <f t="shared" si="48"/>
        <v>891314.81222275679</v>
      </c>
      <c r="CD45" s="38">
        <f t="shared" si="48"/>
        <v>827559.9859415032</v>
      </c>
      <c r="CE45" s="38">
        <f t="shared" si="48"/>
        <v>472292.12063997885</v>
      </c>
      <c r="CF45" s="38">
        <f t="shared" si="48"/>
        <v>263284.17097704427</v>
      </c>
      <c r="CG45" s="38">
        <f t="shared" si="48"/>
        <v>169845.75191805707</v>
      </c>
      <c r="CH45" s="38">
        <f t="shared" si="48"/>
        <v>147396.83524167701</v>
      </c>
      <c r="CI45" s="38">
        <f t="shared" si="48"/>
        <v>142923.54539523006</v>
      </c>
    </row>
    <row r="46" spans="1:87" x14ac:dyDescent="0.2">
      <c r="A46" s="1">
        <v>36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x14ac:dyDescent="0.2">
      <c r="A47" s="1">
        <v>37</v>
      </c>
      <c r="B47" s="171" t="s">
        <v>83</v>
      </c>
      <c r="C47" s="1"/>
      <c r="D47" s="101">
        <f>D48*$C$48+D49*$C$49+D50*$C$50</f>
        <v>814.86662231000003</v>
      </c>
      <c r="E47" s="101">
        <f t="shared" ref="E47:BP47" si="49">E48*$C$48+E49*$C$49+E50*$C$50</f>
        <v>847.43324785000004</v>
      </c>
      <c r="F47" s="101">
        <f t="shared" si="49"/>
        <v>977.15511790000005</v>
      </c>
      <c r="G47" s="101">
        <f t="shared" si="49"/>
        <v>3353.2973688700004</v>
      </c>
      <c r="H47" s="101">
        <f t="shared" si="49"/>
        <v>3755.45264322</v>
      </c>
      <c r="I47" s="101">
        <f t="shared" si="49"/>
        <v>3193.29199887</v>
      </c>
      <c r="J47" s="101">
        <f t="shared" si="49"/>
        <v>3705.1020078199999</v>
      </c>
      <c r="K47" s="101">
        <f t="shared" si="49"/>
        <v>2978.68488781</v>
      </c>
      <c r="L47" s="101">
        <f t="shared" si="49"/>
        <v>833.21910093999998</v>
      </c>
      <c r="M47" s="101">
        <f t="shared" si="49"/>
        <v>807.88462119999997</v>
      </c>
      <c r="N47" s="101">
        <f t="shared" si="49"/>
        <v>797.68223941999997</v>
      </c>
      <c r="O47" s="101">
        <f t="shared" si="49"/>
        <v>811.77482748</v>
      </c>
      <c r="P47" s="101">
        <f t="shared" si="49"/>
        <v>814.86662231000003</v>
      </c>
      <c r="Q47" s="101">
        <f t="shared" si="49"/>
        <v>847.43324785000004</v>
      </c>
      <c r="R47" s="101">
        <f t="shared" si="49"/>
        <v>977.15511790000005</v>
      </c>
      <c r="S47" s="101">
        <f t="shared" si="49"/>
        <v>3353.2973688700004</v>
      </c>
      <c r="T47" s="101">
        <f t="shared" si="49"/>
        <v>3755.45264322</v>
      </c>
      <c r="U47" s="101">
        <f t="shared" si="49"/>
        <v>3193.29199887</v>
      </c>
      <c r="V47" s="101">
        <f t="shared" si="49"/>
        <v>3705.1020078199999</v>
      </c>
      <c r="W47" s="101">
        <f t="shared" si="49"/>
        <v>2978.68488781</v>
      </c>
      <c r="X47" s="101">
        <f t="shared" si="49"/>
        <v>833.21910093999998</v>
      </c>
      <c r="Y47" s="101">
        <f t="shared" si="49"/>
        <v>807.88462119999997</v>
      </c>
      <c r="Z47" s="101">
        <f t="shared" si="49"/>
        <v>797.68223941999997</v>
      </c>
      <c r="AA47" s="101">
        <f t="shared" si="49"/>
        <v>811.77482748</v>
      </c>
      <c r="AB47" s="101">
        <f t="shared" si="49"/>
        <v>814.86662231000003</v>
      </c>
      <c r="AC47" s="101">
        <f t="shared" si="49"/>
        <v>847.43324785000004</v>
      </c>
      <c r="AD47" s="101">
        <f t="shared" si="49"/>
        <v>977.15511790000005</v>
      </c>
      <c r="AE47" s="101">
        <f t="shared" si="49"/>
        <v>3353.2973688700004</v>
      </c>
      <c r="AF47" s="101">
        <f t="shared" si="49"/>
        <v>3755.45264322</v>
      </c>
      <c r="AG47" s="101">
        <f t="shared" si="49"/>
        <v>3193.29199887</v>
      </c>
      <c r="AH47" s="101">
        <f t="shared" si="49"/>
        <v>3705.1020078199999</v>
      </c>
      <c r="AI47" s="101">
        <f t="shared" si="49"/>
        <v>2978.68488781</v>
      </c>
      <c r="AJ47" s="101">
        <f t="shared" si="49"/>
        <v>833.21910093999998</v>
      </c>
      <c r="AK47" s="101">
        <f t="shared" si="49"/>
        <v>807.88462119999997</v>
      </c>
      <c r="AL47" s="101">
        <f t="shared" si="49"/>
        <v>797.68223941999997</v>
      </c>
      <c r="AM47" s="101">
        <f t="shared" si="49"/>
        <v>811.77482748</v>
      </c>
      <c r="AN47" s="101">
        <f t="shared" si="49"/>
        <v>814.86662231000003</v>
      </c>
      <c r="AO47" s="101">
        <f t="shared" si="49"/>
        <v>847.43324785000004</v>
      </c>
      <c r="AP47" s="101">
        <f t="shared" si="49"/>
        <v>977.15511790000005</v>
      </c>
      <c r="AQ47" s="101">
        <f t="shared" si="49"/>
        <v>3353.2973688700004</v>
      </c>
      <c r="AR47" s="101">
        <f t="shared" si="49"/>
        <v>3755.45264322</v>
      </c>
      <c r="AS47" s="101">
        <f t="shared" si="49"/>
        <v>3193.29199887</v>
      </c>
      <c r="AT47" s="101">
        <f t="shared" si="49"/>
        <v>3705.1020078199999</v>
      </c>
      <c r="AU47" s="101">
        <f t="shared" si="49"/>
        <v>2978.68488781</v>
      </c>
      <c r="AV47" s="101">
        <f t="shared" si="49"/>
        <v>833.21910093999998</v>
      </c>
      <c r="AW47" s="101">
        <f t="shared" si="49"/>
        <v>807.88462119999997</v>
      </c>
      <c r="AX47" s="101">
        <f t="shared" si="49"/>
        <v>797.68223941999997</v>
      </c>
      <c r="AY47" s="101">
        <f t="shared" si="49"/>
        <v>811.77482748</v>
      </c>
      <c r="AZ47" s="101">
        <f t="shared" si="49"/>
        <v>814.86662231000003</v>
      </c>
      <c r="BA47" s="101">
        <f t="shared" si="49"/>
        <v>847.43324785000004</v>
      </c>
      <c r="BB47" s="101">
        <f t="shared" si="49"/>
        <v>977.15511790000005</v>
      </c>
      <c r="BC47" s="101">
        <f t="shared" si="49"/>
        <v>3353.2973688700004</v>
      </c>
      <c r="BD47" s="101">
        <f t="shared" si="49"/>
        <v>3755.45264322</v>
      </c>
      <c r="BE47" s="101">
        <f t="shared" si="49"/>
        <v>3193.29199887</v>
      </c>
      <c r="BF47" s="101">
        <f t="shared" si="49"/>
        <v>3705.1020078199999</v>
      </c>
      <c r="BG47" s="101">
        <f t="shared" si="49"/>
        <v>2978.68488781</v>
      </c>
      <c r="BH47" s="101">
        <f t="shared" si="49"/>
        <v>833.21910093999998</v>
      </c>
      <c r="BI47" s="101">
        <f t="shared" si="49"/>
        <v>807.88462119999997</v>
      </c>
      <c r="BJ47" s="101">
        <f t="shared" si="49"/>
        <v>797.68223941999997</v>
      </c>
      <c r="BK47" s="101">
        <f t="shared" si="49"/>
        <v>811.77482748</v>
      </c>
      <c r="BL47" s="101">
        <f t="shared" si="49"/>
        <v>814.86662231000003</v>
      </c>
      <c r="BM47" s="101">
        <f t="shared" si="49"/>
        <v>847.43324785000004</v>
      </c>
      <c r="BN47" s="101">
        <f t="shared" si="49"/>
        <v>977.15511790000005</v>
      </c>
      <c r="BO47" s="101">
        <f t="shared" si="49"/>
        <v>3353.2973688700004</v>
      </c>
      <c r="BP47" s="101">
        <f t="shared" si="49"/>
        <v>3755.45264322</v>
      </c>
      <c r="BQ47" s="101">
        <f t="shared" ref="BQ47:CI47" si="50">BQ48*$C$48+BQ49*$C$49+BQ50*$C$50</f>
        <v>3193.29199887</v>
      </c>
      <c r="BR47" s="101">
        <f t="shared" si="50"/>
        <v>3705.1020078199999</v>
      </c>
      <c r="BS47" s="101">
        <f t="shared" si="50"/>
        <v>2978.68488781</v>
      </c>
      <c r="BT47" s="101">
        <f t="shared" si="50"/>
        <v>833.21910093999998</v>
      </c>
      <c r="BU47" s="101">
        <f t="shared" si="50"/>
        <v>807.88462119999997</v>
      </c>
      <c r="BV47" s="101">
        <f t="shared" si="50"/>
        <v>797.68223941999997</v>
      </c>
      <c r="BW47" s="101">
        <f t="shared" si="50"/>
        <v>811.77482748</v>
      </c>
      <c r="BX47" s="101">
        <f t="shared" si="50"/>
        <v>814.86662231000003</v>
      </c>
      <c r="BY47" s="101">
        <f t="shared" si="50"/>
        <v>847.43324785000004</v>
      </c>
      <c r="BZ47" s="101">
        <f t="shared" si="50"/>
        <v>977.15511790000005</v>
      </c>
      <c r="CA47" s="101">
        <f t="shared" si="50"/>
        <v>3353.2973688700004</v>
      </c>
      <c r="CB47" s="101">
        <f t="shared" si="50"/>
        <v>3755.45264322</v>
      </c>
      <c r="CC47" s="101">
        <f t="shared" si="50"/>
        <v>3193.29199887</v>
      </c>
      <c r="CD47" s="101">
        <f t="shared" si="50"/>
        <v>3705.1020078199999</v>
      </c>
      <c r="CE47" s="101">
        <f t="shared" si="50"/>
        <v>2978.68488781</v>
      </c>
      <c r="CF47" s="101">
        <f t="shared" si="50"/>
        <v>833.21910093999998</v>
      </c>
      <c r="CG47" s="101">
        <f t="shared" si="50"/>
        <v>807.88462119999997</v>
      </c>
      <c r="CH47" s="101">
        <f t="shared" si="50"/>
        <v>797.68223941999997</v>
      </c>
      <c r="CI47" s="101">
        <f t="shared" si="50"/>
        <v>811.77482748</v>
      </c>
    </row>
    <row r="48" spans="1:87" x14ac:dyDescent="0.2">
      <c r="A48" s="1">
        <v>38</v>
      </c>
      <c r="B48" s="1" t="s">
        <v>84</v>
      </c>
      <c r="C48" s="99">
        <f>'Rate Design'!F14</f>
        <v>395.56</v>
      </c>
      <c r="D48" s="70">
        <f>'Bill Frequency'!C41+'Contract &amp; Vol Adj'!C41</f>
        <v>2</v>
      </c>
      <c r="E48" s="70">
        <f>'Bill Frequency'!D41+'Contract &amp; Vol Adj'!D41</f>
        <v>2</v>
      </c>
      <c r="F48" s="70">
        <f>'Bill Frequency'!E41+'Contract &amp; Vol Adj'!E41</f>
        <v>2</v>
      </c>
      <c r="G48" s="70">
        <f>'Bill Frequency'!F41+'Contract &amp; Vol Adj'!F41</f>
        <v>3</v>
      </c>
      <c r="H48" s="70">
        <f>'Bill Frequency'!G41+'Contract &amp; Vol Adj'!G41</f>
        <v>4</v>
      </c>
      <c r="I48" s="70">
        <f>'Bill Frequency'!H41+'Contract &amp; Vol Adj'!H41</f>
        <v>3</v>
      </c>
      <c r="J48" s="70">
        <f>'Bill Frequency'!I41+'Contract &amp; Vol Adj'!I41</f>
        <v>3</v>
      </c>
      <c r="K48" s="70">
        <f>'Bill Frequency'!J41+'Contract &amp; Vol Adj'!J41</f>
        <v>4</v>
      </c>
      <c r="L48" s="70">
        <f>'Bill Frequency'!K41+'Contract &amp; Vol Adj'!K41</f>
        <v>2</v>
      </c>
      <c r="M48" s="70">
        <f>'Bill Frequency'!L41+'Contract &amp; Vol Adj'!L41</f>
        <v>2</v>
      </c>
      <c r="N48" s="70">
        <f>'Bill Frequency'!M41+'Contract &amp; Vol Adj'!M41</f>
        <v>2</v>
      </c>
      <c r="O48" s="70">
        <f>'Bill Frequency'!N41+'Contract &amp; Vol Adj'!N41</f>
        <v>2</v>
      </c>
      <c r="P48" s="6">
        <f t="shared" ref="P48:Y50" si="51">D48</f>
        <v>2</v>
      </c>
      <c r="Q48" s="6">
        <f t="shared" si="51"/>
        <v>2</v>
      </c>
      <c r="R48" s="6">
        <f t="shared" si="51"/>
        <v>2</v>
      </c>
      <c r="S48" s="6">
        <f t="shared" si="51"/>
        <v>3</v>
      </c>
      <c r="T48" s="6">
        <f t="shared" si="51"/>
        <v>4</v>
      </c>
      <c r="U48" s="6">
        <f t="shared" si="51"/>
        <v>3</v>
      </c>
      <c r="V48" s="6">
        <f t="shared" si="51"/>
        <v>3</v>
      </c>
      <c r="W48" s="6">
        <f t="shared" si="51"/>
        <v>4</v>
      </c>
      <c r="X48" s="6">
        <f t="shared" si="51"/>
        <v>2</v>
      </c>
      <c r="Y48" s="6">
        <f t="shared" si="51"/>
        <v>2</v>
      </c>
      <c r="Z48" s="6">
        <f t="shared" ref="Z48:AI50" si="52">N48</f>
        <v>2</v>
      </c>
      <c r="AA48" s="6">
        <f t="shared" si="52"/>
        <v>2</v>
      </c>
      <c r="AB48" s="6">
        <f t="shared" si="52"/>
        <v>2</v>
      </c>
      <c r="AC48" s="6">
        <f t="shared" si="52"/>
        <v>2</v>
      </c>
      <c r="AD48" s="6">
        <f t="shared" si="52"/>
        <v>2</v>
      </c>
      <c r="AE48" s="6">
        <f t="shared" si="52"/>
        <v>3</v>
      </c>
      <c r="AF48" s="6">
        <f t="shared" si="52"/>
        <v>4</v>
      </c>
      <c r="AG48" s="6">
        <f t="shared" si="52"/>
        <v>3</v>
      </c>
      <c r="AH48" s="6">
        <f t="shared" si="52"/>
        <v>3</v>
      </c>
      <c r="AI48" s="6">
        <f t="shared" si="52"/>
        <v>4</v>
      </c>
      <c r="AJ48" s="6">
        <f t="shared" ref="AJ48:AS50" si="53">X48</f>
        <v>2</v>
      </c>
      <c r="AK48" s="6">
        <f t="shared" si="53"/>
        <v>2</v>
      </c>
      <c r="AL48" s="6">
        <f t="shared" si="53"/>
        <v>2</v>
      </c>
      <c r="AM48" s="6">
        <f t="shared" si="53"/>
        <v>2</v>
      </c>
      <c r="AN48" s="6">
        <f t="shared" si="53"/>
        <v>2</v>
      </c>
      <c r="AO48" s="6">
        <f t="shared" si="53"/>
        <v>2</v>
      </c>
      <c r="AP48" s="6">
        <f t="shared" si="53"/>
        <v>2</v>
      </c>
      <c r="AQ48" s="6">
        <f t="shared" si="53"/>
        <v>3</v>
      </c>
      <c r="AR48" s="6">
        <f t="shared" si="53"/>
        <v>4</v>
      </c>
      <c r="AS48" s="6">
        <f t="shared" si="53"/>
        <v>3</v>
      </c>
      <c r="AT48" s="6">
        <f t="shared" ref="AT48:BC50" si="54">AH48</f>
        <v>3</v>
      </c>
      <c r="AU48" s="6">
        <f t="shared" si="54"/>
        <v>4</v>
      </c>
      <c r="AV48" s="6">
        <f t="shared" si="54"/>
        <v>2</v>
      </c>
      <c r="AW48" s="6">
        <f t="shared" si="54"/>
        <v>2</v>
      </c>
      <c r="AX48" s="6">
        <f t="shared" si="54"/>
        <v>2</v>
      </c>
      <c r="AY48" s="6">
        <f t="shared" si="54"/>
        <v>2</v>
      </c>
      <c r="AZ48" s="6">
        <f t="shared" si="54"/>
        <v>2</v>
      </c>
      <c r="BA48" s="6">
        <f t="shared" si="54"/>
        <v>2</v>
      </c>
      <c r="BB48" s="6">
        <f t="shared" si="54"/>
        <v>2</v>
      </c>
      <c r="BC48" s="6">
        <f t="shared" si="54"/>
        <v>3</v>
      </c>
      <c r="BD48" s="6">
        <f t="shared" ref="BD48:BS50" si="55">AR48</f>
        <v>4</v>
      </c>
      <c r="BE48" s="6">
        <f t="shared" si="55"/>
        <v>3</v>
      </c>
      <c r="BF48" s="6">
        <f t="shared" si="55"/>
        <v>3</v>
      </c>
      <c r="BG48" s="6">
        <f t="shared" si="55"/>
        <v>4</v>
      </c>
      <c r="BH48" s="6">
        <f t="shared" si="55"/>
        <v>2</v>
      </c>
      <c r="BI48" s="6">
        <f t="shared" si="55"/>
        <v>2</v>
      </c>
      <c r="BJ48" s="6">
        <f t="shared" si="55"/>
        <v>2</v>
      </c>
      <c r="BK48" s="6">
        <f t="shared" si="55"/>
        <v>2</v>
      </c>
      <c r="BL48" s="6">
        <f t="shared" si="55"/>
        <v>2</v>
      </c>
      <c r="BM48" s="6">
        <f t="shared" si="55"/>
        <v>2</v>
      </c>
      <c r="BN48" s="6">
        <f t="shared" si="55"/>
        <v>2</v>
      </c>
      <c r="BO48" s="6">
        <f t="shared" si="55"/>
        <v>3</v>
      </c>
      <c r="BP48" s="6">
        <f t="shared" si="55"/>
        <v>4</v>
      </c>
      <c r="BQ48" s="6">
        <f t="shared" si="55"/>
        <v>3</v>
      </c>
      <c r="BR48" s="6">
        <f t="shared" si="55"/>
        <v>3</v>
      </c>
      <c r="BS48" s="6">
        <f t="shared" si="55"/>
        <v>4</v>
      </c>
      <c r="BT48" s="6">
        <f t="shared" ref="BT48:BW50" si="56">BH48</f>
        <v>2</v>
      </c>
      <c r="BU48" s="6">
        <f t="shared" si="56"/>
        <v>2</v>
      </c>
      <c r="BV48" s="6">
        <f t="shared" si="56"/>
        <v>2</v>
      </c>
      <c r="BW48" s="6">
        <f t="shared" si="56"/>
        <v>2</v>
      </c>
      <c r="BX48" s="6">
        <f t="shared" ref="BX48:CI50" si="57">BL48</f>
        <v>2</v>
      </c>
      <c r="BY48" s="6">
        <f t="shared" si="57"/>
        <v>2</v>
      </c>
      <c r="BZ48" s="6">
        <f t="shared" si="57"/>
        <v>2</v>
      </c>
      <c r="CA48" s="6">
        <f t="shared" si="57"/>
        <v>3</v>
      </c>
      <c r="CB48" s="6">
        <f t="shared" si="57"/>
        <v>4</v>
      </c>
      <c r="CC48" s="6">
        <f t="shared" si="57"/>
        <v>3</v>
      </c>
      <c r="CD48" s="6">
        <f t="shared" si="57"/>
        <v>3</v>
      </c>
      <c r="CE48" s="6">
        <f t="shared" si="57"/>
        <v>4</v>
      </c>
      <c r="CF48" s="6">
        <f t="shared" si="57"/>
        <v>2</v>
      </c>
      <c r="CG48" s="6">
        <f t="shared" si="57"/>
        <v>2</v>
      </c>
      <c r="CH48" s="6">
        <f t="shared" si="57"/>
        <v>2</v>
      </c>
      <c r="CI48" s="6">
        <f t="shared" si="57"/>
        <v>2</v>
      </c>
    </row>
    <row r="49" spans="1:87" x14ac:dyDescent="0.2">
      <c r="A49" s="1">
        <v>39</v>
      </c>
      <c r="B49" s="1" t="s">
        <v>85</v>
      </c>
      <c r="C49" s="14">
        <f>'Rate Design'!F27</f>
        <v>0.80770000000000008</v>
      </c>
      <c r="D49" s="70">
        <f>'Bill Frequency'!C42+'Contract &amp; Vol Adj'!C42</f>
        <v>29.400300000000001</v>
      </c>
      <c r="E49" s="70">
        <f>'Bill Frequency'!D42+'Contract &amp; Vol Adj'!D42</f>
        <v>69.720500000000001</v>
      </c>
      <c r="F49" s="70">
        <f>'Bill Frequency'!E42+'Contract &amp; Vol Adj'!E42</f>
        <v>230.327</v>
      </c>
      <c r="G49" s="70">
        <f>'Bill Frequency'!F42+'Contract &amp; Vol Adj'!F42</f>
        <v>2682.4531000000002</v>
      </c>
      <c r="H49" s="70">
        <f>'Bill Frequency'!G42+'Contract &amp; Vol Adj'!G42</f>
        <v>2690.6185999999998</v>
      </c>
      <c r="I49" s="70">
        <f>'Bill Frequency'!H42+'Contract &amp; Vol Adj'!H42</f>
        <v>2484.3530999999998</v>
      </c>
      <c r="J49" s="70">
        <f>'Bill Frequency'!I42+'Contract &amp; Vol Adj'!I42</f>
        <v>3118.0165999999999</v>
      </c>
      <c r="K49" s="70">
        <f>'Bill Frequency'!J42+'Contract &amp; Vol Adj'!J42</f>
        <v>1728.9152999999999</v>
      </c>
      <c r="L49" s="70">
        <f>'Bill Frequency'!K42+'Contract &amp; Vol Adj'!K42</f>
        <v>52.122199999999999</v>
      </c>
      <c r="M49" s="70">
        <f>'Bill Frequency'!L42+'Contract &amp; Vol Adj'!L42</f>
        <v>20.756</v>
      </c>
      <c r="N49" s="70">
        <f>'Bill Frequency'!M42+'Contract &amp; Vol Adj'!M42</f>
        <v>8.1245999999999992</v>
      </c>
      <c r="O49" s="70">
        <f>'Bill Frequency'!N42+'Contract &amp; Vol Adj'!N42</f>
        <v>25.572399999999998</v>
      </c>
      <c r="P49" s="6">
        <f t="shared" si="51"/>
        <v>29.400300000000001</v>
      </c>
      <c r="Q49" s="6">
        <f t="shared" si="51"/>
        <v>69.720500000000001</v>
      </c>
      <c r="R49" s="6">
        <f t="shared" si="51"/>
        <v>230.327</v>
      </c>
      <c r="S49" s="6">
        <f t="shared" si="51"/>
        <v>2682.4531000000002</v>
      </c>
      <c r="T49" s="6">
        <f t="shared" si="51"/>
        <v>2690.6185999999998</v>
      </c>
      <c r="U49" s="6">
        <f t="shared" si="51"/>
        <v>2484.3530999999998</v>
      </c>
      <c r="V49" s="6">
        <f t="shared" si="51"/>
        <v>3118.0165999999999</v>
      </c>
      <c r="W49" s="6">
        <f t="shared" si="51"/>
        <v>1728.9152999999999</v>
      </c>
      <c r="X49" s="6">
        <f t="shared" si="51"/>
        <v>52.122199999999999</v>
      </c>
      <c r="Y49" s="6">
        <f t="shared" si="51"/>
        <v>20.756</v>
      </c>
      <c r="Z49" s="6">
        <f t="shared" si="52"/>
        <v>8.1245999999999992</v>
      </c>
      <c r="AA49" s="6">
        <f t="shared" si="52"/>
        <v>25.572399999999998</v>
      </c>
      <c r="AB49" s="6">
        <f t="shared" si="52"/>
        <v>29.400300000000001</v>
      </c>
      <c r="AC49" s="6">
        <f t="shared" si="52"/>
        <v>69.720500000000001</v>
      </c>
      <c r="AD49" s="6">
        <f t="shared" si="52"/>
        <v>230.327</v>
      </c>
      <c r="AE49" s="6">
        <f t="shared" si="52"/>
        <v>2682.4531000000002</v>
      </c>
      <c r="AF49" s="6">
        <f t="shared" si="52"/>
        <v>2690.6185999999998</v>
      </c>
      <c r="AG49" s="6">
        <f t="shared" si="52"/>
        <v>2484.3530999999998</v>
      </c>
      <c r="AH49" s="6">
        <f t="shared" si="52"/>
        <v>3118.0165999999999</v>
      </c>
      <c r="AI49" s="6">
        <f t="shared" si="52"/>
        <v>1728.9152999999999</v>
      </c>
      <c r="AJ49" s="6">
        <f t="shared" si="53"/>
        <v>52.122199999999999</v>
      </c>
      <c r="AK49" s="6">
        <f t="shared" si="53"/>
        <v>20.756</v>
      </c>
      <c r="AL49" s="6">
        <f t="shared" si="53"/>
        <v>8.1245999999999992</v>
      </c>
      <c r="AM49" s="6">
        <f t="shared" si="53"/>
        <v>25.572399999999998</v>
      </c>
      <c r="AN49" s="6">
        <f t="shared" si="53"/>
        <v>29.400300000000001</v>
      </c>
      <c r="AO49" s="6">
        <f t="shared" si="53"/>
        <v>69.720500000000001</v>
      </c>
      <c r="AP49" s="6">
        <f t="shared" si="53"/>
        <v>230.327</v>
      </c>
      <c r="AQ49" s="6">
        <f t="shared" si="53"/>
        <v>2682.4531000000002</v>
      </c>
      <c r="AR49" s="6">
        <f t="shared" si="53"/>
        <v>2690.6185999999998</v>
      </c>
      <c r="AS49" s="6">
        <f t="shared" si="53"/>
        <v>2484.3530999999998</v>
      </c>
      <c r="AT49" s="6">
        <f t="shared" si="54"/>
        <v>3118.0165999999999</v>
      </c>
      <c r="AU49" s="6">
        <f t="shared" si="54"/>
        <v>1728.9152999999999</v>
      </c>
      <c r="AV49" s="6">
        <f t="shared" si="54"/>
        <v>52.122199999999999</v>
      </c>
      <c r="AW49" s="6">
        <f t="shared" si="54"/>
        <v>20.756</v>
      </c>
      <c r="AX49" s="6">
        <f t="shared" si="54"/>
        <v>8.1245999999999992</v>
      </c>
      <c r="AY49" s="6">
        <f t="shared" si="54"/>
        <v>25.572399999999998</v>
      </c>
      <c r="AZ49" s="6">
        <f t="shared" si="54"/>
        <v>29.400300000000001</v>
      </c>
      <c r="BA49" s="6">
        <f t="shared" si="54"/>
        <v>69.720500000000001</v>
      </c>
      <c r="BB49" s="6">
        <f t="shared" si="54"/>
        <v>230.327</v>
      </c>
      <c r="BC49" s="6">
        <f t="shared" si="54"/>
        <v>2682.4531000000002</v>
      </c>
      <c r="BD49" s="6">
        <f t="shared" si="55"/>
        <v>2690.6185999999998</v>
      </c>
      <c r="BE49" s="6">
        <f t="shared" si="55"/>
        <v>2484.3530999999998</v>
      </c>
      <c r="BF49" s="6">
        <f t="shared" si="55"/>
        <v>3118.0165999999999</v>
      </c>
      <c r="BG49" s="6">
        <f t="shared" si="55"/>
        <v>1728.9152999999999</v>
      </c>
      <c r="BH49" s="6">
        <f t="shared" si="55"/>
        <v>52.122199999999999</v>
      </c>
      <c r="BI49" s="6">
        <f t="shared" si="55"/>
        <v>20.756</v>
      </c>
      <c r="BJ49" s="6">
        <f t="shared" si="55"/>
        <v>8.1245999999999992</v>
      </c>
      <c r="BK49" s="6">
        <f t="shared" si="55"/>
        <v>25.572399999999998</v>
      </c>
      <c r="BL49" s="6">
        <f t="shared" si="55"/>
        <v>29.400300000000001</v>
      </c>
      <c r="BM49" s="6">
        <f t="shared" si="55"/>
        <v>69.720500000000001</v>
      </c>
      <c r="BN49" s="6">
        <f t="shared" si="55"/>
        <v>230.327</v>
      </c>
      <c r="BO49" s="6">
        <f t="shared" si="55"/>
        <v>2682.4531000000002</v>
      </c>
      <c r="BP49" s="6">
        <f t="shared" si="55"/>
        <v>2690.6185999999998</v>
      </c>
      <c r="BQ49" s="6">
        <f t="shared" si="55"/>
        <v>2484.3530999999998</v>
      </c>
      <c r="BR49" s="6">
        <f t="shared" si="55"/>
        <v>3118.0165999999999</v>
      </c>
      <c r="BS49" s="6">
        <f t="shared" si="55"/>
        <v>1728.9152999999999</v>
      </c>
      <c r="BT49" s="6">
        <f t="shared" si="56"/>
        <v>52.122199999999999</v>
      </c>
      <c r="BU49" s="6">
        <f t="shared" si="56"/>
        <v>20.756</v>
      </c>
      <c r="BV49" s="6">
        <f t="shared" si="56"/>
        <v>8.1245999999999992</v>
      </c>
      <c r="BW49" s="6">
        <f t="shared" si="56"/>
        <v>25.572399999999998</v>
      </c>
      <c r="BX49" s="6">
        <f t="shared" si="57"/>
        <v>29.400300000000001</v>
      </c>
      <c r="BY49" s="6">
        <f t="shared" si="57"/>
        <v>69.720500000000001</v>
      </c>
      <c r="BZ49" s="6">
        <f t="shared" si="57"/>
        <v>230.327</v>
      </c>
      <c r="CA49" s="6">
        <f t="shared" si="57"/>
        <v>2682.4531000000002</v>
      </c>
      <c r="CB49" s="6">
        <f t="shared" si="57"/>
        <v>2690.6185999999998</v>
      </c>
      <c r="CC49" s="6">
        <f t="shared" si="57"/>
        <v>2484.3530999999998</v>
      </c>
      <c r="CD49" s="6">
        <f t="shared" si="57"/>
        <v>3118.0165999999999</v>
      </c>
      <c r="CE49" s="6">
        <f t="shared" si="57"/>
        <v>1728.9152999999999</v>
      </c>
      <c r="CF49" s="6">
        <f t="shared" si="57"/>
        <v>52.122199999999999</v>
      </c>
      <c r="CG49" s="6">
        <f t="shared" si="57"/>
        <v>20.756</v>
      </c>
      <c r="CH49" s="6">
        <f t="shared" si="57"/>
        <v>8.1245999999999992</v>
      </c>
      <c r="CI49" s="6">
        <f t="shared" si="57"/>
        <v>25.572399999999998</v>
      </c>
    </row>
    <row r="50" spans="1:87" x14ac:dyDescent="0.2">
      <c r="A50" s="1">
        <v>40</v>
      </c>
      <c r="B50" s="1" t="s">
        <v>81</v>
      </c>
      <c r="C50" s="14">
        <f>'Rate Design'!F28</f>
        <v>0.54190000000000005</v>
      </c>
      <c r="D50" s="70">
        <f>'Bill Frequency'!C43+'Contract &amp; Vol Adj'!C43</f>
        <v>0</v>
      </c>
      <c r="E50" s="70">
        <f>'Bill Frequency'!D43+'Contract &amp; Vol Adj'!D43</f>
        <v>0</v>
      </c>
      <c r="F50" s="70">
        <f>'Bill Frequency'!E43+'Contract &amp; Vol Adj'!E43</f>
        <v>0</v>
      </c>
      <c r="G50" s="70">
        <f>'Bill Frequency'!F43+'Contract &amp; Vol Adj'!F43</f>
        <v>0</v>
      </c>
      <c r="H50" s="70">
        <f>'Bill Frequency'!G43+'Contract &amp; Vol Adj'!G43</f>
        <v>0</v>
      </c>
      <c r="I50" s="70">
        <f>'Bill Frequency'!H43+'Contract &amp; Vol Adj'!H43</f>
        <v>0</v>
      </c>
      <c r="J50" s="70">
        <f>'Bill Frequency'!I43+'Contract &amp; Vol Adj'!I43</f>
        <v>0</v>
      </c>
      <c r="K50" s="70">
        <f>'Bill Frequency'!J43+'Contract &amp; Vol Adj'!J43</f>
        <v>0</v>
      </c>
      <c r="L50" s="70">
        <f>'Bill Frequency'!K43+'Contract &amp; Vol Adj'!K43</f>
        <v>0</v>
      </c>
      <c r="M50" s="70">
        <f>'Bill Frequency'!L43+'Contract &amp; Vol Adj'!L43</f>
        <v>0</v>
      </c>
      <c r="N50" s="70">
        <f>'Bill Frequency'!M43+'Contract &amp; Vol Adj'!M43</f>
        <v>0</v>
      </c>
      <c r="O50" s="70">
        <f>'Bill Frequency'!N43+'Contract &amp; Vol Adj'!N43</f>
        <v>0</v>
      </c>
      <c r="P50" s="6">
        <f t="shared" si="51"/>
        <v>0</v>
      </c>
      <c r="Q50" s="6">
        <f t="shared" si="51"/>
        <v>0</v>
      </c>
      <c r="R50" s="6">
        <f t="shared" si="51"/>
        <v>0</v>
      </c>
      <c r="S50" s="6">
        <f t="shared" si="51"/>
        <v>0</v>
      </c>
      <c r="T50" s="6">
        <f t="shared" si="51"/>
        <v>0</v>
      </c>
      <c r="U50" s="6">
        <f t="shared" si="51"/>
        <v>0</v>
      </c>
      <c r="V50" s="6">
        <f t="shared" si="51"/>
        <v>0</v>
      </c>
      <c r="W50" s="6">
        <f t="shared" si="51"/>
        <v>0</v>
      </c>
      <c r="X50" s="6">
        <f t="shared" si="51"/>
        <v>0</v>
      </c>
      <c r="Y50" s="6">
        <f t="shared" si="51"/>
        <v>0</v>
      </c>
      <c r="Z50" s="6">
        <f t="shared" si="52"/>
        <v>0</v>
      </c>
      <c r="AA50" s="6">
        <f t="shared" si="52"/>
        <v>0</v>
      </c>
      <c r="AB50" s="6">
        <f t="shared" si="52"/>
        <v>0</v>
      </c>
      <c r="AC50" s="6">
        <f t="shared" si="52"/>
        <v>0</v>
      </c>
      <c r="AD50" s="6">
        <f t="shared" si="52"/>
        <v>0</v>
      </c>
      <c r="AE50" s="6">
        <f t="shared" si="52"/>
        <v>0</v>
      </c>
      <c r="AF50" s="6">
        <f t="shared" si="52"/>
        <v>0</v>
      </c>
      <c r="AG50" s="6">
        <f t="shared" si="52"/>
        <v>0</v>
      </c>
      <c r="AH50" s="6">
        <f t="shared" si="52"/>
        <v>0</v>
      </c>
      <c r="AI50" s="6">
        <f t="shared" si="52"/>
        <v>0</v>
      </c>
      <c r="AJ50" s="6">
        <f t="shared" si="53"/>
        <v>0</v>
      </c>
      <c r="AK50" s="6">
        <f t="shared" si="53"/>
        <v>0</v>
      </c>
      <c r="AL50" s="6">
        <f t="shared" si="53"/>
        <v>0</v>
      </c>
      <c r="AM50" s="6">
        <f t="shared" si="53"/>
        <v>0</v>
      </c>
      <c r="AN50" s="6">
        <f t="shared" si="53"/>
        <v>0</v>
      </c>
      <c r="AO50" s="6">
        <f t="shared" si="53"/>
        <v>0</v>
      </c>
      <c r="AP50" s="6">
        <f t="shared" si="53"/>
        <v>0</v>
      </c>
      <c r="AQ50" s="6">
        <f t="shared" si="53"/>
        <v>0</v>
      </c>
      <c r="AR50" s="6">
        <f t="shared" si="53"/>
        <v>0</v>
      </c>
      <c r="AS50" s="6">
        <f t="shared" si="53"/>
        <v>0</v>
      </c>
      <c r="AT50" s="6">
        <f t="shared" si="54"/>
        <v>0</v>
      </c>
      <c r="AU50" s="6">
        <f t="shared" si="54"/>
        <v>0</v>
      </c>
      <c r="AV50" s="6">
        <f t="shared" si="54"/>
        <v>0</v>
      </c>
      <c r="AW50" s="6">
        <f t="shared" si="54"/>
        <v>0</v>
      </c>
      <c r="AX50" s="6">
        <f t="shared" si="54"/>
        <v>0</v>
      </c>
      <c r="AY50" s="6">
        <f t="shared" si="54"/>
        <v>0</v>
      </c>
      <c r="AZ50" s="6">
        <f t="shared" si="54"/>
        <v>0</v>
      </c>
      <c r="BA50" s="6">
        <f t="shared" si="54"/>
        <v>0</v>
      </c>
      <c r="BB50" s="6">
        <f t="shared" si="54"/>
        <v>0</v>
      </c>
      <c r="BC50" s="6">
        <f t="shared" si="54"/>
        <v>0</v>
      </c>
      <c r="BD50" s="6">
        <f t="shared" si="55"/>
        <v>0</v>
      </c>
      <c r="BE50" s="6">
        <f t="shared" si="55"/>
        <v>0</v>
      </c>
      <c r="BF50" s="6">
        <f t="shared" si="55"/>
        <v>0</v>
      </c>
      <c r="BG50" s="6">
        <f t="shared" si="55"/>
        <v>0</v>
      </c>
      <c r="BH50" s="6">
        <f t="shared" si="55"/>
        <v>0</v>
      </c>
      <c r="BI50" s="6">
        <f t="shared" si="55"/>
        <v>0</v>
      </c>
      <c r="BJ50" s="6">
        <f t="shared" si="55"/>
        <v>0</v>
      </c>
      <c r="BK50" s="6">
        <f t="shared" si="55"/>
        <v>0</v>
      </c>
      <c r="BL50" s="6">
        <f t="shared" si="55"/>
        <v>0</v>
      </c>
      <c r="BM50" s="6">
        <f t="shared" si="55"/>
        <v>0</v>
      </c>
      <c r="BN50" s="6">
        <f t="shared" si="55"/>
        <v>0</v>
      </c>
      <c r="BO50" s="6">
        <f t="shared" si="55"/>
        <v>0</v>
      </c>
      <c r="BP50" s="6">
        <f t="shared" si="55"/>
        <v>0</v>
      </c>
      <c r="BQ50" s="6">
        <f t="shared" si="55"/>
        <v>0</v>
      </c>
      <c r="BR50" s="6">
        <f t="shared" si="55"/>
        <v>0</v>
      </c>
      <c r="BS50" s="6">
        <f t="shared" si="55"/>
        <v>0</v>
      </c>
      <c r="BT50" s="6">
        <f t="shared" si="56"/>
        <v>0</v>
      </c>
      <c r="BU50" s="6">
        <f t="shared" si="56"/>
        <v>0</v>
      </c>
      <c r="BV50" s="6">
        <f t="shared" si="56"/>
        <v>0</v>
      </c>
      <c r="BW50" s="6">
        <f t="shared" si="56"/>
        <v>0</v>
      </c>
      <c r="BX50" s="6">
        <f t="shared" si="57"/>
        <v>0</v>
      </c>
      <c r="BY50" s="6">
        <f t="shared" si="57"/>
        <v>0</v>
      </c>
      <c r="BZ50" s="6">
        <f t="shared" si="57"/>
        <v>0</v>
      </c>
      <c r="CA50" s="6">
        <f t="shared" si="57"/>
        <v>0</v>
      </c>
      <c r="CB50" s="6">
        <f t="shared" si="57"/>
        <v>0</v>
      </c>
      <c r="CC50" s="6">
        <f t="shared" si="57"/>
        <v>0</v>
      </c>
      <c r="CD50" s="6">
        <f t="shared" si="57"/>
        <v>0</v>
      </c>
      <c r="CE50" s="6">
        <f t="shared" si="57"/>
        <v>0</v>
      </c>
      <c r="CF50" s="6">
        <f t="shared" si="57"/>
        <v>0</v>
      </c>
      <c r="CG50" s="6">
        <f t="shared" si="57"/>
        <v>0</v>
      </c>
      <c r="CH50" s="6">
        <f t="shared" si="57"/>
        <v>0</v>
      </c>
      <c r="CI50" s="6">
        <f t="shared" si="57"/>
        <v>0</v>
      </c>
    </row>
    <row r="51" spans="1:87" x14ac:dyDescent="0.2">
      <c r="A51" s="1">
        <v>41</v>
      </c>
      <c r="B51" s="32" t="s">
        <v>79</v>
      </c>
      <c r="C51" s="32"/>
      <c r="D51" s="31">
        <f t="shared" ref="D51:AI51" si="58">D49+D50</f>
        <v>29.400300000000001</v>
      </c>
      <c r="E51" s="31">
        <f t="shared" si="58"/>
        <v>69.720500000000001</v>
      </c>
      <c r="F51" s="31">
        <f t="shared" si="58"/>
        <v>230.327</v>
      </c>
      <c r="G51" s="31">
        <f t="shared" si="58"/>
        <v>2682.4531000000002</v>
      </c>
      <c r="H51" s="31">
        <f t="shared" si="58"/>
        <v>2690.6185999999998</v>
      </c>
      <c r="I51" s="31">
        <f t="shared" si="58"/>
        <v>2484.3530999999998</v>
      </c>
      <c r="J51" s="31">
        <f t="shared" si="58"/>
        <v>3118.0165999999999</v>
      </c>
      <c r="K51" s="31">
        <f t="shared" si="58"/>
        <v>1728.9152999999999</v>
      </c>
      <c r="L51" s="31">
        <f t="shared" si="58"/>
        <v>52.122199999999999</v>
      </c>
      <c r="M51" s="31">
        <f t="shared" si="58"/>
        <v>20.756</v>
      </c>
      <c r="N51" s="31">
        <f t="shared" si="58"/>
        <v>8.1245999999999992</v>
      </c>
      <c r="O51" s="31">
        <f t="shared" si="58"/>
        <v>25.572399999999998</v>
      </c>
      <c r="P51" s="31">
        <f t="shared" si="58"/>
        <v>29.400300000000001</v>
      </c>
      <c r="Q51" s="31">
        <f t="shared" si="58"/>
        <v>69.720500000000001</v>
      </c>
      <c r="R51" s="31">
        <f t="shared" si="58"/>
        <v>230.327</v>
      </c>
      <c r="S51" s="31">
        <f t="shared" si="58"/>
        <v>2682.4531000000002</v>
      </c>
      <c r="T51" s="31">
        <f t="shared" si="58"/>
        <v>2690.6185999999998</v>
      </c>
      <c r="U51" s="31">
        <f t="shared" si="58"/>
        <v>2484.3530999999998</v>
      </c>
      <c r="V51" s="31">
        <f t="shared" si="58"/>
        <v>3118.0165999999999</v>
      </c>
      <c r="W51" s="31">
        <f t="shared" si="58"/>
        <v>1728.9152999999999</v>
      </c>
      <c r="X51" s="31">
        <f t="shared" si="58"/>
        <v>52.122199999999999</v>
      </c>
      <c r="Y51" s="31">
        <f t="shared" si="58"/>
        <v>20.756</v>
      </c>
      <c r="Z51" s="31">
        <f t="shared" si="58"/>
        <v>8.1245999999999992</v>
      </c>
      <c r="AA51" s="31">
        <f t="shared" si="58"/>
        <v>25.572399999999998</v>
      </c>
      <c r="AB51" s="31">
        <f t="shared" si="58"/>
        <v>29.400300000000001</v>
      </c>
      <c r="AC51" s="31">
        <f t="shared" si="58"/>
        <v>69.720500000000001</v>
      </c>
      <c r="AD51" s="31">
        <f t="shared" si="58"/>
        <v>230.327</v>
      </c>
      <c r="AE51" s="31">
        <f t="shared" si="58"/>
        <v>2682.4531000000002</v>
      </c>
      <c r="AF51" s="31">
        <f t="shared" si="58"/>
        <v>2690.6185999999998</v>
      </c>
      <c r="AG51" s="31">
        <f t="shared" si="58"/>
        <v>2484.3530999999998</v>
      </c>
      <c r="AH51" s="31">
        <f t="shared" si="58"/>
        <v>3118.0165999999999</v>
      </c>
      <c r="AI51" s="31">
        <f t="shared" si="58"/>
        <v>1728.9152999999999</v>
      </c>
      <c r="AJ51" s="31">
        <f t="shared" ref="AJ51:BW51" si="59">AJ49+AJ50</f>
        <v>52.122199999999999</v>
      </c>
      <c r="AK51" s="31">
        <f t="shared" si="59"/>
        <v>20.756</v>
      </c>
      <c r="AL51" s="31">
        <f t="shared" si="59"/>
        <v>8.1245999999999992</v>
      </c>
      <c r="AM51" s="31">
        <f t="shared" si="59"/>
        <v>25.572399999999998</v>
      </c>
      <c r="AN51" s="31">
        <f t="shared" si="59"/>
        <v>29.400300000000001</v>
      </c>
      <c r="AO51" s="31">
        <f t="shared" si="59"/>
        <v>69.720500000000001</v>
      </c>
      <c r="AP51" s="31">
        <f t="shared" si="59"/>
        <v>230.327</v>
      </c>
      <c r="AQ51" s="31">
        <f t="shared" si="59"/>
        <v>2682.4531000000002</v>
      </c>
      <c r="AR51" s="31">
        <f t="shared" si="59"/>
        <v>2690.6185999999998</v>
      </c>
      <c r="AS51" s="31">
        <f t="shared" si="59"/>
        <v>2484.3530999999998</v>
      </c>
      <c r="AT51" s="31">
        <f t="shared" si="59"/>
        <v>3118.0165999999999</v>
      </c>
      <c r="AU51" s="31">
        <f t="shared" si="59"/>
        <v>1728.9152999999999</v>
      </c>
      <c r="AV51" s="31">
        <f t="shared" si="59"/>
        <v>52.122199999999999</v>
      </c>
      <c r="AW51" s="31">
        <f t="shared" si="59"/>
        <v>20.756</v>
      </c>
      <c r="AX51" s="31">
        <f t="shared" si="59"/>
        <v>8.1245999999999992</v>
      </c>
      <c r="AY51" s="31">
        <f t="shared" si="59"/>
        <v>25.572399999999998</v>
      </c>
      <c r="AZ51" s="31">
        <f t="shared" si="59"/>
        <v>29.400300000000001</v>
      </c>
      <c r="BA51" s="31">
        <f t="shared" si="59"/>
        <v>69.720500000000001</v>
      </c>
      <c r="BB51" s="31">
        <f t="shared" si="59"/>
        <v>230.327</v>
      </c>
      <c r="BC51" s="31">
        <f t="shared" si="59"/>
        <v>2682.4531000000002</v>
      </c>
      <c r="BD51" s="31">
        <f t="shared" si="59"/>
        <v>2690.6185999999998</v>
      </c>
      <c r="BE51" s="31">
        <f t="shared" si="59"/>
        <v>2484.3530999999998</v>
      </c>
      <c r="BF51" s="31">
        <f t="shared" si="59"/>
        <v>3118.0165999999999</v>
      </c>
      <c r="BG51" s="31">
        <f t="shared" si="59"/>
        <v>1728.9152999999999</v>
      </c>
      <c r="BH51" s="31">
        <f t="shared" si="59"/>
        <v>52.122199999999999</v>
      </c>
      <c r="BI51" s="31">
        <f t="shared" si="59"/>
        <v>20.756</v>
      </c>
      <c r="BJ51" s="31">
        <f t="shared" si="59"/>
        <v>8.1245999999999992</v>
      </c>
      <c r="BK51" s="31">
        <f t="shared" si="59"/>
        <v>25.572399999999998</v>
      </c>
      <c r="BL51" s="31">
        <f t="shared" si="59"/>
        <v>29.400300000000001</v>
      </c>
      <c r="BM51" s="31">
        <f t="shared" si="59"/>
        <v>69.720500000000001</v>
      </c>
      <c r="BN51" s="31">
        <f t="shared" si="59"/>
        <v>230.327</v>
      </c>
      <c r="BO51" s="31">
        <f t="shared" si="59"/>
        <v>2682.4531000000002</v>
      </c>
      <c r="BP51" s="31">
        <f t="shared" si="59"/>
        <v>2690.6185999999998</v>
      </c>
      <c r="BQ51" s="31">
        <f t="shared" si="59"/>
        <v>2484.3530999999998</v>
      </c>
      <c r="BR51" s="31">
        <f t="shared" si="59"/>
        <v>3118.0165999999999</v>
      </c>
      <c r="BS51" s="31">
        <f t="shared" si="59"/>
        <v>1728.9152999999999</v>
      </c>
      <c r="BT51" s="31">
        <f t="shared" si="59"/>
        <v>52.122199999999999</v>
      </c>
      <c r="BU51" s="31">
        <f t="shared" si="59"/>
        <v>20.756</v>
      </c>
      <c r="BV51" s="31">
        <f t="shared" si="59"/>
        <v>8.1245999999999992</v>
      </c>
      <c r="BW51" s="31">
        <f t="shared" si="59"/>
        <v>25.572399999999998</v>
      </c>
      <c r="BX51" s="31">
        <f t="shared" ref="BX51:CI51" si="60">BX49+BX50</f>
        <v>29.400300000000001</v>
      </c>
      <c r="BY51" s="31">
        <f t="shared" si="60"/>
        <v>69.720500000000001</v>
      </c>
      <c r="BZ51" s="31">
        <f t="shared" si="60"/>
        <v>230.327</v>
      </c>
      <c r="CA51" s="31">
        <f t="shared" si="60"/>
        <v>2682.4531000000002</v>
      </c>
      <c r="CB51" s="31">
        <f t="shared" si="60"/>
        <v>2690.6185999999998</v>
      </c>
      <c r="CC51" s="31">
        <f t="shared" si="60"/>
        <v>2484.3530999999998</v>
      </c>
      <c r="CD51" s="31">
        <f t="shared" si="60"/>
        <v>3118.0165999999999</v>
      </c>
      <c r="CE51" s="31">
        <f t="shared" si="60"/>
        <v>1728.9152999999999</v>
      </c>
      <c r="CF51" s="31">
        <f t="shared" si="60"/>
        <v>52.122199999999999</v>
      </c>
      <c r="CG51" s="31">
        <f t="shared" si="60"/>
        <v>20.756</v>
      </c>
      <c r="CH51" s="31">
        <f t="shared" si="60"/>
        <v>8.1245999999999992</v>
      </c>
      <c r="CI51" s="31">
        <f t="shared" si="60"/>
        <v>25.572399999999998</v>
      </c>
    </row>
    <row r="52" spans="1:87" x14ac:dyDescent="0.2">
      <c r="A52" s="1">
        <v>42</v>
      </c>
      <c r="B52" s="16" t="s">
        <v>237</v>
      </c>
      <c r="C52" s="1"/>
      <c r="D52" s="93">
        <f>[6]Kentucky!$H$23</f>
        <v>5.3835999999999995</v>
      </c>
      <c r="E52" s="93">
        <f>[6]Kentucky!$H$22</f>
        <v>5.3835999999999995</v>
      </c>
      <c r="F52" s="93">
        <f>[6]Kentucky!$H$21</f>
        <v>4.5401999999999996</v>
      </c>
      <c r="G52" s="93">
        <f>[6]Kentucky!$H$20</f>
        <v>4.5401999999999996</v>
      </c>
      <c r="H52" s="93">
        <f>[6]Kentucky!$H$19</f>
        <v>4.6536999999999997</v>
      </c>
      <c r="I52" s="93">
        <f>[6]Kentucky!$H$18</f>
        <v>4.6029999999999998</v>
      </c>
      <c r="J52" s="93">
        <f>[6]Kentucky!$H$17</f>
        <v>4.6029999999999998</v>
      </c>
      <c r="K52" s="93">
        <f>[6]Kentucky!$H$16</f>
        <v>4.41</v>
      </c>
      <c r="L52" s="93">
        <f>[6]Kentucky!$H$15</f>
        <v>3.8165</v>
      </c>
      <c r="M52" s="93">
        <f>[6]Kentucky!$H$14</f>
        <v>3.8165</v>
      </c>
      <c r="N52" s="93">
        <f>[6]Kentucky!$H$13</f>
        <v>3.8165</v>
      </c>
      <c r="O52" s="93">
        <f>[6]Kentucky!$H$12</f>
        <v>2.9024000000000001</v>
      </c>
      <c r="P52" s="93">
        <f>[6]Kentucky!$H$11</f>
        <v>2.9024000000000001</v>
      </c>
      <c r="Q52" s="93">
        <f>P52</f>
        <v>2.9024000000000001</v>
      </c>
      <c r="R52" s="93">
        <f>[7]A.1!$I$46</f>
        <v>3.0172667607171224</v>
      </c>
      <c r="S52" s="93">
        <f>R52</f>
        <v>3.0172667607171224</v>
      </c>
      <c r="T52" s="93">
        <f>S52</f>
        <v>3.0172667607171224</v>
      </c>
      <c r="U52" s="93">
        <f>'Gas Cost Worksheet'!M103</f>
        <v>3.2165662063521663</v>
      </c>
      <c r="V52" s="93">
        <f>'Gas Cost Worksheet'!N103</f>
        <v>3.2165662063521663</v>
      </c>
      <c r="W52" s="93">
        <f>'Gas Cost Worksheet'!O103</f>
        <v>3.2165662063521663</v>
      </c>
      <c r="X52" s="93">
        <f>'Gas Cost Worksheet'!P103</f>
        <v>3.3005671029755894</v>
      </c>
      <c r="Y52" s="93">
        <f>'Gas Cost Worksheet'!Q103</f>
        <v>3.3005671029755894</v>
      </c>
      <c r="Z52" s="93">
        <f>'Gas Cost Worksheet'!R103</f>
        <v>3.3005671029755894</v>
      </c>
      <c r="AA52" s="93">
        <f>'Gas Cost Worksheet'!S103</f>
        <v>3.3329920396898256</v>
      </c>
      <c r="AB52" s="93">
        <f>'Gas Cost Worksheet'!T103</f>
        <v>3.3329920396898256</v>
      </c>
      <c r="AC52" s="93">
        <f>'Gas Cost Worksheet'!U103</f>
        <v>3.3329920396898256</v>
      </c>
      <c r="AD52" s="93">
        <f>'Gas Cost Worksheet'!V103</f>
        <v>3.2799670382500326</v>
      </c>
      <c r="AE52" s="93">
        <f>'Gas Cost Worksheet'!W103</f>
        <v>3.2799670382500326</v>
      </c>
      <c r="AF52" s="93">
        <f>'Gas Cost Worksheet'!X103</f>
        <v>3.2799670382500326</v>
      </c>
      <c r="AG52" s="93">
        <f>'Gas Cost Worksheet'!Y103</f>
        <v>3.284091890325727</v>
      </c>
      <c r="AH52" s="93">
        <f>'Gas Cost Worksheet'!Z103</f>
        <v>3.284091890325727</v>
      </c>
      <c r="AI52" s="93">
        <f>'Gas Cost Worksheet'!AA103</f>
        <v>3.284091890325727</v>
      </c>
      <c r="AJ52" s="93">
        <f>'Gas Cost Worksheet'!AB103</f>
        <v>3.560377723087385</v>
      </c>
      <c r="AK52" s="93">
        <f>'Gas Cost Worksheet'!AC103</f>
        <v>3.560377723087385</v>
      </c>
      <c r="AL52" s="93">
        <f>'Gas Cost Worksheet'!AD103</f>
        <v>3.560377723087385</v>
      </c>
      <c r="AM52" s="93">
        <f>'Gas Cost Worksheet'!AE103</f>
        <v>3.5783781155301826</v>
      </c>
      <c r="AN52" s="93">
        <f>'Gas Cost Worksheet'!AF103</f>
        <v>3.5783781155301826</v>
      </c>
      <c r="AO52" s="93">
        <f>'Gas Cost Worksheet'!AG103</f>
        <v>3.5783781155301826</v>
      </c>
      <c r="AP52" s="93">
        <f>'Gas Cost Worksheet'!AH103</f>
        <v>3.4523565485617471</v>
      </c>
      <c r="AQ52" s="93">
        <f>'Gas Cost Worksheet'!AI103</f>
        <v>3.4523565485617471</v>
      </c>
      <c r="AR52" s="93">
        <f>'Gas Cost Worksheet'!AJ103</f>
        <v>3.4523565485617471</v>
      </c>
      <c r="AS52" s="93">
        <f>'Gas Cost Worksheet'!AK103</f>
        <v>3.4303883946976605</v>
      </c>
      <c r="AT52" s="93">
        <f>'Gas Cost Worksheet'!AL103</f>
        <v>3.4303883946976605</v>
      </c>
      <c r="AU52" s="93">
        <f>'Gas Cost Worksheet'!AM103</f>
        <v>3.4303883946976605</v>
      </c>
      <c r="AV52" s="93">
        <f>'Gas Cost Worksheet'!AN103</f>
        <v>3.647277085256392</v>
      </c>
      <c r="AW52" s="93">
        <f>'Gas Cost Worksheet'!AO103</f>
        <v>3.647277085256392</v>
      </c>
      <c r="AX52" s="93">
        <f>'Gas Cost Worksheet'!AP103</f>
        <v>3.647277085256392</v>
      </c>
      <c r="AY52" s="93">
        <f>'Gas Cost Worksheet'!AQ103</f>
        <v>3.6509067690988428</v>
      </c>
      <c r="AZ52" s="93">
        <f>'Gas Cost Worksheet'!AR103</f>
        <v>3.6509067690988428</v>
      </c>
      <c r="BA52" s="93">
        <f>'Gas Cost Worksheet'!AS103</f>
        <v>3.6509067690988428</v>
      </c>
      <c r="BB52" s="93">
        <f>'Gas Cost Worksheet'!AT103</f>
        <v>3.542762114098295</v>
      </c>
      <c r="BC52" s="93">
        <f>'Gas Cost Worksheet'!AU103</f>
        <v>3.542762114098295</v>
      </c>
      <c r="BD52" s="93">
        <f>'Gas Cost Worksheet'!AV103</f>
        <v>3.542762114098295</v>
      </c>
      <c r="BE52" s="93">
        <f>'Gas Cost Worksheet'!AW103</f>
        <v>3.5263055196095574</v>
      </c>
      <c r="BF52" s="93">
        <f>'Gas Cost Worksheet'!AX103</f>
        <v>3.5263055196095574</v>
      </c>
      <c r="BG52" s="93">
        <f>'Gas Cost Worksheet'!AY103</f>
        <v>3.5263055196095574</v>
      </c>
      <c r="BH52" s="93">
        <f>'Gas Cost Worksheet'!AZ103</f>
        <v>3.7379949166808384</v>
      </c>
      <c r="BI52" s="93">
        <f>'Gas Cost Worksheet'!BA103</f>
        <v>3.7379949166808384</v>
      </c>
      <c r="BJ52" s="93">
        <f>'Gas Cost Worksheet'!BB103</f>
        <v>3.7379949166808384</v>
      </c>
      <c r="BK52" s="93">
        <f>'Gas Cost Worksheet'!BC103</f>
        <v>3.7449497124435989</v>
      </c>
      <c r="BL52" s="93">
        <f>'Gas Cost Worksheet'!BD103</f>
        <v>3.7449497124435989</v>
      </c>
      <c r="BM52" s="93">
        <f>'Gas Cost Worksheet'!BE103</f>
        <v>3.7449497124435989</v>
      </c>
      <c r="BN52" s="93">
        <f>'Gas Cost Worksheet'!BF103</f>
        <v>3.6510378335550535</v>
      </c>
      <c r="BO52" s="93">
        <f>'Gas Cost Worksheet'!BG103</f>
        <v>3.6510378335550535</v>
      </c>
      <c r="BP52" s="93">
        <f>'Gas Cost Worksheet'!BH103</f>
        <v>3.6510378335550535</v>
      </c>
      <c r="BQ52" s="93">
        <f>'Gas Cost Worksheet'!BI103</f>
        <v>3.6388630065552392</v>
      </c>
      <c r="BR52" s="93">
        <f>'Gas Cost Worksheet'!BJ103</f>
        <v>3.6388630065552392</v>
      </c>
      <c r="BS52" s="93">
        <f>'Gas Cost Worksheet'!BK103</f>
        <v>3.6388630065552392</v>
      </c>
      <c r="BT52" s="93">
        <f>'Gas Cost Worksheet'!BL103</f>
        <v>3.8622356342589863</v>
      </c>
      <c r="BU52" s="93">
        <f>'Gas Cost Worksheet'!BM103</f>
        <v>3.8622356342589863</v>
      </c>
      <c r="BV52" s="93">
        <f>'Gas Cost Worksheet'!BN103</f>
        <v>3.8622356342589863</v>
      </c>
      <c r="BW52" s="93">
        <f>'Gas Cost Worksheet'!BO103</f>
        <v>3.8786699965239495</v>
      </c>
      <c r="BX52" s="93">
        <f>'Gas Cost Worksheet'!BP103</f>
        <v>3.8786699965239495</v>
      </c>
      <c r="BY52" s="93">
        <f>'Gas Cost Worksheet'!BQ103</f>
        <v>3.8786699965239495</v>
      </c>
      <c r="BZ52" s="93">
        <f>'Gas Cost Worksheet'!BR103</f>
        <v>3.7881085004683928</v>
      </c>
      <c r="CA52" s="93">
        <f>'Gas Cost Worksheet'!BS103</f>
        <v>3.7881085004683928</v>
      </c>
      <c r="CB52" s="93">
        <f>'Gas Cost Worksheet'!BT103</f>
        <v>3.7881085004683928</v>
      </c>
      <c r="CC52" s="93">
        <f>'Gas Cost Worksheet'!BU103</f>
        <v>3.7773297881129806</v>
      </c>
      <c r="CD52" s="93">
        <f>'Gas Cost Worksheet'!BV103</f>
        <v>3.7773297881129806</v>
      </c>
      <c r="CE52" s="93">
        <f>'Gas Cost Worksheet'!BW103</f>
        <v>3.7773297881129806</v>
      </c>
      <c r="CF52" s="93">
        <f>'Gas Cost Worksheet'!BX103</f>
        <v>4.0119017633506733</v>
      </c>
      <c r="CG52" s="93">
        <f>'Gas Cost Worksheet'!BY103</f>
        <v>4.0119017633506733</v>
      </c>
      <c r="CH52" s="93">
        <f>'Gas Cost Worksheet'!BZ103</f>
        <v>4.0119017633506733</v>
      </c>
      <c r="CI52" s="93">
        <f>'Gas Cost Worksheet'!CA103</f>
        <v>4.0418633096195107</v>
      </c>
    </row>
    <row r="53" spans="1:87" x14ac:dyDescent="0.2">
      <c r="A53" s="1">
        <v>43</v>
      </c>
      <c r="B53" s="16" t="s">
        <v>229</v>
      </c>
      <c r="C53" s="1"/>
      <c r="D53" s="38">
        <f t="shared" ref="D53:AI53" si="61">D52*D51</f>
        <v>158.27945507999999</v>
      </c>
      <c r="E53" s="38">
        <f t="shared" si="61"/>
        <v>375.34728379999996</v>
      </c>
      <c r="F53" s="38">
        <f t="shared" si="61"/>
        <v>1045.7306454</v>
      </c>
      <c r="G53" s="38">
        <f t="shared" si="61"/>
        <v>12178.87356462</v>
      </c>
      <c r="H53" s="38">
        <f t="shared" si="61"/>
        <v>12521.331778819998</v>
      </c>
      <c r="I53" s="38">
        <f t="shared" si="61"/>
        <v>11435.477319299998</v>
      </c>
      <c r="J53" s="38">
        <f t="shared" si="61"/>
        <v>14352.230409799999</v>
      </c>
      <c r="K53" s="38">
        <f t="shared" si="61"/>
        <v>7624.5164729999997</v>
      </c>
      <c r="L53" s="38">
        <f t="shared" si="61"/>
        <v>198.92437630000001</v>
      </c>
      <c r="M53" s="38">
        <f t="shared" si="61"/>
        <v>79.215274000000008</v>
      </c>
      <c r="N53" s="38">
        <f t="shared" si="61"/>
        <v>31.007535899999997</v>
      </c>
      <c r="O53" s="38">
        <f t="shared" si="61"/>
        <v>74.221333759999993</v>
      </c>
      <c r="P53" s="38">
        <f t="shared" si="61"/>
        <v>85.33143072</v>
      </c>
      <c r="Q53" s="38">
        <f t="shared" si="61"/>
        <v>202.35677920000001</v>
      </c>
      <c r="R53" s="38">
        <f t="shared" si="61"/>
        <v>694.95800119569265</v>
      </c>
      <c r="S53" s="38">
        <f t="shared" si="61"/>
        <v>8093.6765758126039</v>
      </c>
      <c r="T53" s="38">
        <f t="shared" si="61"/>
        <v>8118.3140675472387</v>
      </c>
      <c r="U53" s="38">
        <f t="shared" si="61"/>
        <v>7991.086226106243</v>
      </c>
      <c r="V53" s="38">
        <f t="shared" si="61"/>
        <v>10029.30682640508</v>
      </c>
      <c r="W53" s="38">
        <f t="shared" si="61"/>
        <v>5561.1705276252169</v>
      </c>
      <c r="X53" s="38">
        <f t="shared" si="61"/>
        <v>172.03281865471428</v>
      </c>
      <c r="Y53" s="38">
        <f t="shared" si="61"/>
        <v>68.506570789361334</v>
      </c>
      <c r="Z53" s="38">
        <f t="shared" si="61"/>
        <v>26.815787484835472</v>
      </c>
      <c r="AA53" s="38">
        <f t="shared" si="61"/>
        <v>85.232605635764088</v>
      </c>
      <c r="AB53" s="38">
        <f t="shared" si="61"/>
        <v>97.990965864492779</v>
      </c>
      <c r="AC53" s="38">
        <f t="shared" si="61"/>
        <v>232.37787150319448</v>
      </c>
      <c r="AD53" s="38">
        <f t="shared" si="61"/>
        <v>755.46496801901526</v>
      </c>
      <c r="AE53" s="38">
        <f t="shared" si="61"/>
        <v>8798.3577496516191</v>
      </c>
      <c r="AF53" s="38">
        <f t="shared" si="61"/>
        <v>8825.140320502449</v>
      </c>
      <c r="AG53" s="38">
        <f t="shared" si="61"/>
        <v>8158.843868415579</v>
      </c>
      <c r="AH53" s="38">
        <f t="shared" si="61"/>
        <v>10239.853029960996</v>
      </c>
      <c r="AI53" s="38">
        <f t="shared" si="61"/>
        <v>5677.9167157900711</v>
      </c>
      <c r="AJ53" s="38">
        <f t="shared" ref="AJ53:BW53" si="62">AJ52*AJ51</f>
        <v>185.57471975830529</v>
      </c>
      <c r="AK53" s="38">
        <f t="shared" si="62"/>
        <v>73.899200020401764</v>
      </c>
      <c r="AL53" s="38">
        <f t="shared" si="62"/>
        <v>28.926644848995764</v>
      </c>
      <c r="AM53" s="38">
        <f t="shared" si="62"/>
        <v>91.50771652158403</v>
      </c>
      <c r="AN53" s="38">
        <f t="shared" si="62"/>
        <v>105.20539011002204</v>
      </c>
      <c r="AO53" s="38">
        <f t="shared" si="62"/>
        <v>249.4863114038221</v>
      </c>
      <c r="AP53" s="38">
        <f t="shared" si="62"/>
        <v>795.17092676058155</v>
      </c>
      <c r="AQ53" s="38">
        <f t="shared" si="62"/>
        <v>9260.784525994759</v>
      </c>
      <c r="AR53" s="38">
        <f t="shared" si="62"/>
        <v>9288.9747433920402</v>
      </c>
      <c r="AS53" s="38">
        <f t="shared" si="62"/>
        <v>8522.2960425711553</v>
      </c>
      <c r="AT53" s="38">
        <f t="shared" si="62"/>
        <v>10696.007959114657</v>
      </c>
      <c r="AU53" s="38">
        <f t="shared" si="62"/>
        <v>5930.8509805352242</v>
      </c>
      <c r="AV53" s="38">
        <f t="shared" si="62"/>
        <v>190.10410569315073</v>
      </c>
      <c r="AW53" s="38">
        <f t="shared" si="62"/>
        <v>75.702883181581669</v>
      </c>
      <c r="AX53" s="38">
        <f t="shared" si="62"/>
        <v>29.632667406874081</v>
      </c>
      <c r="AY53" s="38">
        <f t="shared" si="62"/>
        <v>93.362448262103243</v>
      </c>
      <c r="AZ53" s="38">
        <f t="shared" si="62"/>
        <v>107.33775428353671</v>
      </c>
      <c r="BA53" s="38">
        <f t="shared" si="62"/>
        <v>254.54304539495587</v>
      </c>
      <c r="BB53" s="38">
        <f t="shared" si="62"/>
        <v>815.99376945391793</v>
      </c>
      <c r="BC53" s="38">
        <f t="shared" si="62"/>
        <v>9503.2932155255257</v>
      </c>
      <c r="BD53" s="38">
        <f t="shared" si="62"/>
        <v>9532.2216395681935</v>
      </c>
      <c r="BE53" s="38">
        <f t="shared" si="62"/>
        <v>8760.5880491891148</v>
      </c>
      <c r="BF53" s="38">
        <f t="shared" si="62"/>
        <v>10995.079146814225</v>
      </c>
      <c r="BG53" s="38">
        <f t="shared" si="62"/>
        <v>6096.6835653274138</v>
      </c>
      <c r="BH53" s="38">
        <f t="shared" si="62"/>
        <v>194.83251864622198</v>
      </c>
      <c r="BI53" s="38">
        <f t="shared" si="62"/>
        <v>77.585822490627478</v>
      </c>
      <c r="BJ53" s="38">
        <f t="shared" si="62"/>
        <v>30.369713500065135</v>
      </c>
      <c r="BK53" s="38">
        <f t="shared" si="62"/>
        <v>95.767352026492688</v>
      </c>
      <c r="BL53" s="38">
        <f t="shared" si="62"/>
        <v>110.10264503075554</v>
      </c>
      <c r="BM53" s="38">
        <f t="shared" si="62"/>
        <v>261.09976642642391</v>
      </c>
      <c r="BN53" s="38">
        <f t="shared" si="62"/>
        <v>840.93259108923485</v>
      </c>
      <c r="BO53" s="38">
        <f t="shared" si="62"/>
        <v>9793.7377548370387</v>
      </c>
      <c r="BP53" s="38">
        <f t="shared" si="62"/>
        <v>9823.5503042669297</v>
      </c>
      <c r="BQ53" s="38">
        <f t="shared" si="62"/>
        <v>9040.2205908108281</v>
      </c>
      <c r="BR53" s="38">
        <f t="shared" si="62"/>
        <v>11346.035259565144</v>
      </c>
      <c r="BS53" s="38">
        <f t="shared" si="62"/>
        <v>6291.2859266373525</v>
      </c>
      <c r="BT53" s="38">
        <f t="shared" si="62"/>
        <v>201.30821817597374</v>
      </c>
      <c r="BU53" s="38">
        <f t="shared" si="62"/>
        <v>80.164562824679521</v>
      </c>
      <c r="BV53" s="38">
        <f t="shared" si="62"/>
        <v>31.379119634100558</v>
      </c>
      <c r="BW53" s="38">
        <f t="shared" si="62"/>
        <v>99.186900619109039</v>
      </c>
      <c r="BX53" s="38">
        <f t="shared" ref="BX53:CI53" si="63">BX52*BX51</f>
        <v>114.03406149880308</v>
      </c>
      <c r="BY53" s="38">
        <f t="shared" si="63"/>
        <v>270.42281149264801</v>
      </c>
      <c r="BZ53" s="38">
        <f t="shared" si="63"/>
        <v>872.50366658738346</v>
      </c>
      <c r="CA53" s="38">
        <f t="shared" si="63"/>
        <v>10161.423390217793</v>
      </c>
      <c r="CB53" s="38">
        <f t="shared" si="63"/>
        <v>10192.355190178365</v>
      </c>
      <c r="CC53" s="38">
        <f t="shared" si="63"/>
        <v>9384.2209688208259</v>
      </c>
      <c r="CD53" s="38">
        <f t="shared" si="63"/>
        <v>11777.776983010755</v>
      </c>
      <c r="CE53" s="38">
        <f t="shared" si="63"/>
        <v>6530.6832638142896</v>
      </c>
      <c r="CF53" s="38">
        <f t="shared" si="63"/>
        <v>209.10914608971646</v>
      </c>
      <c r="CG53" s="38">
        <f t="shared" si="63"/>
        <v>83.27103300010657</v>
      </c>
      <c r="CH53" s="38">
        <f t="shared" si="63"/>
        <v>32.595097066518875</v>
      </c>
      <c r="CI53" s="38">
        <f t="shared" si="63"/>
        <v>103.36014529891396</v>
      </c>
    </row>
    <row r="54" spans="1:87" x14ac:dyDescent="0.2">
      <c r="A54" s="1">
        <v>44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x14ac:dyDescent="0.2">
      <c r="A55" s="1">
        <v>45</v>
      </c>
      <c r="B55" s="171" t="s">
        <v>86</v>
      </c>
      <c r="C55" s="1"/>
      <c r="D55" s="101">
        <f>D56*$C$56+D57*$C$57+D58*$C$58</f>
        <v>11777.08284121</v>
      </c>
      <c r="E55" s="101">
        <f t="shared" ref="E55:BP55" si="64">E56*$C$56+E57*$C$57+E58*$C$58</f>
        <v>26767.071934660002</v>
      </c>
      <c r="F55" s="101">
        <f t="shared" si="64"/>
        <v>14502.25550492</v>
      </c>
      <c r="G55" s="101">
        <f t="shared" si="64"/>
        <v>22614.489436280004</v>
      </c>
      <c r="H55" s="101">
        <f t="shared" si="64"/>
        <v>28790.281775920001</v>
      </c>
      <c r="I55" s="101">
        <f t="shared" si="64"/>
        <v>19667.473187280004</v>
      </c>
      <c r="J55" s="101">
        <f t="shared" si="64"/>
        <v>40112.964297850012</v>
      </c>
      <c r="K55" s="101">
        <f t="shared" si="64"/>
        <v>23005.69162387</v>
      </c>
      <c r="L55" s="101">
        <f t="shared" si="64"/>
        <v>36345.866687900001</v>
      </c>
      <c r="M55" s="101">
        <f t="shared" si="64"/>
        <v>32309.399183400004</v>
      </c>
      <c r="N55" s="101">
        <f t="shared" si="64"/>
        <v>16504.249498060002</v>
      </c>
      <c r="O55" s="101">
        <f t="shared" si="64"/>
        <v>18194.858483560005</v>
      </c>
      <c r="P55" s="101">
        <f t="shared" si="64"/>
        <v>11777.08284121</v>
      </c>
      <c r="Q55" s="101">
        <f t="shared" si="64"/>
        <v>26767.071934660002</v>
      </c>
      <c r="R55" s="101">
        <f t="shared" si="64"/>
        <v>14502.25550492</v>
      </c>
      <c r="S55" s="101">
        <f t="shared" si="64"/>
        <v>22614.489436280004</v>
      </c>
      <c r="T55" s="101">
        <f t="shared" si="64"/>
        <v>28790.281775920001</v>
      </c>
      <c r="U55" s="101">
        <f t="shared" si="64"/>
        <v>19667.473187280004</v>
      </c>
      <c r="V55" s="101">
        <f t="shared" si="64"/>
        <v>40112.964297850012</v>
      </c>
      <c r="W55" s="101">
        <f t="shared" si="64"/>
        <v>23005.69162387</v>
      </c>
      <c r="X55" s="101">
        <f t="shared" si="64"/>
        <v>36345.866687900001</v>
      </c>
      <c r="Y55" s="131">
        <f t="shared" si="64"/>
        <v>32309.399183400004</v>
      </c>
      <c r="Z55" s="131">
        <f t="shared" si="64"/>
        <v>16504.249498060002</v>
      </c>
      <c r="AA55" s="131">
        <f t="shared" si="64"/>
        <v>18194.858483560005</v>
      </c>
      <c r="AB55" s="131">
        <f t="shared" si="64"/>
        <v>11777.08284121</v>
      </c>
      <c r="AC55" s="131">
        <f t="shared" si="64"/>
        <v>26767.071934660002</v>
      </c>
      <c r="AD55" s="131">
        <f t="shared" si="64"/>
        <v>14502.25550492</v>
      </c>
      <c r="AE55" s="131">
        <f t="shared" si="64"/>
        <v>22614.489436280004</v>
      </c>
      <c r="AF55" s="131">
        <f t="shared" si="64"/>
        <v>28790.281775920001</v>
      </c>
      <c r="AG55" s="131">
        <f t="shared" si="64"/>
        <v>19667.473187280004</v>
      </c>
      <c r="AH55" s="131">
        <f t="shared" si="64"/>
        <v>40112.964297850012</v>
      </c>
      <c r="AI55" s="131">
        <f t="shared" si="64"/>
        <v>23005.69162387</v>
      </c>
      <c r="AJ55" s="131">
        <f t="shared" si="64"/>
        <v>36345.866687900001</v>
      </c>
      <c r="AK55" s="101">
        <f t="shared" si="64"/>
        <v>32309.399183400004</v>
      </c>
      <c r="AL55" s="101">
        <f t="shared" si="64"/>
        <v>16504.249498060002</v>
      </c>
      <c r="AM55" s="101">
        <f t="shared" si="64"/>
        <v>18194.858483560005</v>
      </c>
      <c r="AN55" s="101">
        <f t="shared" si="64"/>
        <v>11777.08284121</v>
      </c>
      <c r="AO55" s="101">
        <f t="shared" si="64"/>
        <v>26767.071934660002</v>
      </c>
      <c r="AP55" s="101">
        <f t="shared" si="64"/>
        <v>14502.25550492</v>
      </c>
      <c r="AQ55" s="101">
        <f t="shared" si="64"/>
        <v>22614.489436280004</v>
      </c>
      <c r="AR55" s="101">
        <f t="shared" si="64"/>
        <v>28790.281775920001</v>
      </c>
      <c r="AS55" s="101">
        <f t="shared" si="64"/>
        <v>19667.473187280004</v>
      </c>
      <c r="AT55" s="101">
        <f t="shared" si="64"/>
        <v>40112.964297850012</v>
      </c>
      <c r="AU55" s="101">
        <f t="shared" si="64"/>
        <v>23005.69162387</v>
      </c>
      <c r="AV55" s="101">
        <f t="shared" si="64"/>
        <v>36345.866687900001</v>
      </c>
      <c r="AW55" s="101">
        <f t="shared" si="64"/>
        <v>32309.399183400004</v>
      </c>
      <c r="AX55" s="101">
        <f t="shared" si="64"/>
        <v>16504.249498060002</v>
      </c>
      <c r="AY55" s="101">
        <f t="shared" si="64"/>
        <v>18194.858483560005</v>
      </c>
      <c r="AZ55" s="101">
        <f t="shared" si="64"/>
        <v>11777.08284121</v>
      </c>
      <c r="BA55" s="101">
        <f t="shared" si="64"/>
        <v>26767.071934660002</v>
      </c>
      <c r="BB55" s="101">
        <f t="shared" si="64"/>
        <v>14502.25550492</v>
      </c>
      <c r="BC55" s="101">
        <f t="shared" si="64"/>
        <v>22614.489436280004</v>
      </c>
      <c r="BD55" s="101">
        <f t="shared" si="64"/>
        <v>28790.281775920001</v>
      </c>
      <c r="BE55" s="101">
        <f t="shared" si="64"/>
        <v>19667.473187280004</v>
      </c>
      <c r="BF55" s="101">
        <f t="shared" si="64"/>
        <v>40112.964297850012</v>
      </c>
      <c r="BG55" s="101">
        <f t="shared" si="64"/>
        <v>23005.69162387</v>
      </c>
      <c r="BH55" s="101">
        <f t="shared" si="64"/>
        <v>36345.866687900001</v>
      </c>
      <c r="BI55" s="101">
        <f t="shared" si="64"/>
        <v>32309.399183400004</v>
      </c>
      <c r="BJ55" s="101">
        <f t="shared" si="64"/>
        <v>16504.249498060002</v>
      </c>
      <c r="BK55" s="101">
        <f t="shared" si="64"/>
        <v>18194.858483560005</v>
      </c>
      <c r="BL55" s="101">
        <f t="shared" si="64"/>
        <v>11777.08284121</v>
      </c>
      <c r="BM55" s="101">
        <f t="shared" si="64"/>
        <v>26767.071934660002</v>
      </c>
      <c r="BN55" s="101">
        <f t="shared" si="64"/>
        <v>14502.25550492</v>
      </c>
      <c r="BO55" s="101">
        <f t="shared" si="64"/>
        <v>22614.489436280004</v>
      </c>
      <c r="BP55" s="101">
        <f t="shared" si="64"/>
        <v>28790.281775920001</v>
      </c>
      <c r="BQ55" s="101">
        <f t="shared" ref="BQ55:CI55" si="65">BQ56*$C$56+BQ57*$C$57+BQ58*$C$58</f>
        <v>19667.473187280004</v>
      </c>
      <c r="BR55" s="101">
        <f t="shared" si="65"/>
        <v>40112.964297850012</v>
      </c>
      <c r="BS55" s="101">
        <f t="shared" si="65"/>
        <v>23005.69162387</v>
      </c>
      <c r="BT55" s="101">
        <f t="shared" si="65"/>
        <v>36345.866687900001</v>
      </c>
      <c r="BU55" s="101">
        <f t="shared" si="65"/>
        <v>32309.399183400004</v>
      </c>
      <c r="BV55" s="101">
        <f t="shared" si="65"/>
        <v>16504.249498060002</v>
      </c>
      <c r="BW55" s="101">
        <f t="shared" si="65"/>
        <v>18194.858483560005</v>
      </c>
      <c r="BX55" s="101">
        <f t="shared" si="65"/>
        <v>11777.08284121</v>
      </c>
      <c r="BY55" s="101">
        <f t="shared" si="65"/>
        <v>26767.071934660002</v>
      </c>
      <c r="BZ55" s="101">
        <f t="shared" si="65"/>
        <v>14502.25550492</v>
      </c>
      <c r="CA55" s="101">
        <f t="shared" si="65"/>
        <v>22614.489436280004</v>
      </c>
      <c r="CB55" s="101">
        <f t="shared" si="65"/>
        <v>28790.281775920001</v>
      </c>
      <c r="CC55" s="101">
        <f t="shared" si="65"/>
        <v>19667.473187280004</v>
      </c>
      <c r="CD55" s="101">
        <f t="shared" si="65"/>
        <v>40112.964297850012</v>
      </c>
      <c r="CE55" s="101">
        <f t="shared" si="65"/>
        <v>23005.69162387</v>
      </c>
      <c r="CF55" s="101">
        <f t="shared" si="65"/>
        <v>36345.866687900001</v>
      </c>
      <c r="CG55" s="101">
        <f t="shared" si="65"/>
        <v>32309.399183400004</v>
      </c>
      <c r="CH55" s="101">
        <f t="shared" si="65"/>
        <v>16504.249498060002</v>
      </c>
      <c r="CI55" s="101">
        <f t="shared" si="65"/>
        <v>18194.858483560005</v>
      </c>
    </row>
    <row r="56" spans="1:87" x14ac:dyDescent="0.2">
      <c r="A56" s="1">
        <v>46</v>
      </c>
      <c r="B56" s="1" t="s">
        <v>84</v>
      </c>
      <c r="C56" s="138">
        <f>C48</f>
        <v>395.56</v>
      </c>
      <c r="D56" s="70">
        <f>'Bill Frequency'!C47+'Contract &amp; Vol Adj'!C47</f>
        <v>7</v>
      </c>
      <c r="E56" s="70">
        <f>'Bill Frequency'!D47+'Contract &amp; Vol Adj'!D47</f>
        <v>10</v>
      </c>
      <c r="F56" s="70">
        <f>'Bill Frequency'!E47+'Contract &amp; Vol Adj'!E47</f>
        <v>10</v>
      </c>
      <c r="G56" s="70">
        <f>'Bill Frequency'!F47+'Contract &amp; Vol Adj'!F47</f>
        <v>8</v>
      </c>
      <c r="H56" s="70">
        <f>'Bill Frequency'!G47+'Contract &amp; Vol Adj'!G47</f>
        <v>11</v>
      </c>
      <c r="I56" s="70">
        <f>'Bill Frequency'!H47+'Contract &amp; Vol Adj'!H47</f>
        <v>9</v>
      </c>
      <c r="J56" s="70">
        <f>'Bill Frequency'!I47+'Contract &amp; Vol Adj'!I47</f>
        <v>9</v>
      </c>
      <c r="K56" s="70">
        <f>'Bill Frequency'!J47+'Contract &amp; Vol Adj'!J47</f>
        <v>10</v>
      </c>
      <c r="L56" s="70">
        <f>'Bill Frequency'!K47+'Contract &amp; Vol Adj'!K47</f>
        <v>8</v>
      </c>
      <c r="M56" s="70">
        <f>'Bill Frequency'!L47+'Contract &amp; Vol Adj'!L47</f>
        <v>8</v>
      </c>
      <c r="N56" s="70">
        <f>'Bill Frequency'!M47+'Contract &amp; Vol Adj'!M47</f>
        <v>8</v>
      </c>
      <c r="O56" s="70">
        <f>'Bill Frequency'!N47+'Contract &amp; Vol Adj'!N47</f>
        <v>8</v>
      </c>
      <c r="P56" s="6">
        <f t="shared" ref="P56:Y58" si="66">D56</f>
        <v>7</v>
      </c>
      <c r="Q56" s="6">
        <f t="shared" si="66"/>
        <v>10</v>
      </c>
      <c r="R56" s="6">
        <f t="shared" si="66"/>
        <v>10</v>
      </c>
      <c r="S56" s="6">
        <f t="shared" si="66"/>
        <v>8</v>
      </c>
      <c r="T56" s="6">
        <f t="shared" si="66"/>
        <v>11</v>
      </c>
      <c r="U56" s="6">
        <f t="shared" si="66"/>
        <v>9</v>
      </c>
      <c r="V56" s="6">
        <f t="shared" si="66"/>
        <v>9</v>
      </c>
      <c r="W56" s="6">
        <f t="shared" si="66"/>
        <v>10</v>
      </c>
      <c r="X56" s="6">
        <f t="shared" si="66"/>
        <v>8</v>
      </c>
      <c r="Y56" s="6">
        <f t="shared" si="66"/>
        <v>8</v>
      </c>
      <c r="Z56" s="6">
        <f t="shared" ref="Z56:AI58" si="67">N56</f>
        <v>8</v>
      </c>
      <c r="AA56" s="6">
        <f t="shared" si="67"/>
        <v>8</v>
      </c>
      <c r="AB56" s="6">
        <f t="shared" si="67"/>
        <v>7</v>
      </c>
      <c r="AC56" s="6">
        <f t="shared" si="67"/>
        <v>10</v>
      </c>
      <c r="AD56" s="6">
        <f t="shared" si="67"/>
        <v>10</v>
      </c>
      <c r="AE56" s="6">
        <f t="shared" si="67"/>
        <v>8</v>
      </c>
      <c r="AF56" s="6">
        <f t="shared" si="67"/>
        <v>11</v>
      </c>
      <c r="AG56" s="6">
        <f t="shared" si="67"/>
        <v>9</v>
      </c>
      <c r="AH56" s="6">
        <f t="shared" si="67"/>
        <v>9</v>
      </c>
      <c r="AI56" s="6">
        <f t="shared" si="67"/>
        <v>10</v>
      </c>
      <c r="AJ56" s="6">
        <f t="shared" ref="AJ56:AS58" si="68">X56</f>
        <v>8</v>
      </c>
      <c r="AK56" s="6">
        <f t="shared" si="68"/>
        <v>8</v>
      </c>
      <c r="AL56" s="6">
        <f t="shared" si="68"/>
        <v>8</v>
      </c>
      <c r="AM56" s="6">
        <f t="shared" si="68"/>
        <v>8</v>
      </c>
      <c r="AN56" s="6">
        <f t="shared" si="68"/>
        <v>7</v>
      </c>
      <c r="AO56" s="6">
        <f t="shared" si="68"/>
        <v>10</v>
      </c>
      <c r="AP56" s="6">
        <f t="shared" si="68"/>
        <v>10</v>
      </c>
      <c r="AQ56" s="6">
        <f t="shared" si="68"/>
        <v>8</v>
      </c>
      <c r="AR56" s="6">
        <f t="shared" si="68"/>
        <v>11</v>
      </c>
      <c r="AS56" s="6">
        <f t="shared" si="68"/>
        <v>9</v>
      </c>
      <c r="AT56" s="6">
        <f t="shared" ref="AT56:BC58" si="69">AH56</f>
        <v>9</v>
      </c>
      <c r="AU56" s="6">
        <f t="shared" si="69"/>
        <v>10</v>
      </c>
      <c r="AV56" s="6">
        <f t="shared" si="69"/>
        <v>8</v>
      </c>
      <c r="AW56" s="6">
        <f t="shared" si="69"/>
        <v>8</v>
      </c>
      <c r="AX56" s="6">
        <f t="shared" si="69"/>
        <v>8</v>
      </c>
      <c r="AY56" s="6">
        <f t="shared" si="69"/>
        <v>8</v>
      </c>
      <c r="AZ56" s="6">
        <f t="shared" si="69"/>
        <v>7</v>
      </c>
      <c r="BA56" s="6">
        <f t="shared" si="69"/>
        <v>10</v>
      </c>
      <c r="BB56" s="6">
        <f t="shared" si="69"/>
        <v>10</v>
      </c>
      <c r="BC56" s="6">
        <f t="shared" si="69"/>
        <v>8</v>
      </c>
      <c r="BD56" s="6">
        <f t="shared" ref="BD56:BS58" si="70">AR56</f>
        <v>11</v>
      </c>
      <c r="BE56" s="6">
        <f t="shared" si="70"/>
        <v>9</v>
      </c>
      <c r="BF56" s="6">
        <f t="shared" si="70"/>
        <v>9</v>
      </c>
      <c r="BG56" s="6">
        <f t="shared" si="70"/>
        <v>10</v>
      </c>
      <c r="BH56" s="6">
        <f t="shared" si="70"/>
        <v>8</v>
      </c>
      <c r="BI56" s="6">
        <f t="shared" si="70"/>
        <v>8</v>
      </c>
      <c r="BJ56" s="6">
        <f t="shared" si="70"/>
        <v>8</v>
      </c>
      <c r="BK56" s="6">
        <f t="shared" si="70"/>
        <v>8</v>
      </c>
      <c r="BL56" s="6">
        <f t="shared" si="70"/>
        <v>7</v>
      </c>
      <c r="BM56" s="6">
        <f t="shared" si="70"/>
        <v>10</v>
      </c>
      <c r="BN56" s="6">
        <f t="shared" si="70"/>
        <v>10</v>
      </c>
      <c r="BO56" s="6">
        <f t="shared" si="70"/>
        <v>8</v>
      </c>
      <c r="BP56" s="6">
        <f t="shared" si="70"/>
        <v>11</v>
      </c>
      <c r="BQ56" s="6">
        <f t="shared" si="70"/>
        <v>9</v>
      </c>
      <c r="BR56" s="6">
        <f t="shared" si="70"/>
        <v>9</v>
      </c>
      <c r="BS56" s="6">
        <f t="shared" si="70"/>
        <v>10</v>
      </c>
      <c r="BT56" s="6">
        <f t="shared" ref="BT56:BW58" si="71">BH56</f>
        <v>8</v>
      </c>
      <c r="BU56" s="6">
        <f t="shared" si="71"/>
        <v>8</v>
      </c>
      <c r="BV56" s="6">
        <f t="shared" si="71"/>
        <v>8</v>
      </c>
      <c r="BW56" s="6">
        <f t="shared" si="71"/>
        <v>8</v>
      </c>
      <c r="BX56" s="6">
        <f t="shared" ref="BX56:CI58" si="72">BL56</f>
        <v>7</v>
      </c>
      <c r="BY56" s="6">
        <f t="shared" si="72"/>
        <v>10</v>
      </c>
      <c r="BZ56" s="6">
        <f t="shared" si="72"/>
        <v>10</v>
      </c>
      <c r="CA56" s="6">
        <f t="shared" si="72"/>
        <v>8</v>
      </c>
      <c r="CB56" s="6">
        <f t="shared" si="72"/>
        <v>11</v>
      </c>
      <c r="CC56" s="6">
        <f t="shared" si="72"/>
        <v>9</v>
      </c>
      <c r="CD56" s="6">
        <f t="shared" si="72"/>
        <v>9</v>
      </c>
      <c r="CE56" s="6">
        <f t="shared" si="72"/>
        <v>10</v>
      </c>
      <c r="CF56" s="6">
        <f t="shared" si="72"/>
        <v>8</v>
      </c>
      <c r="CG56" s="6">
        <f t="shared" si="72"/>
        <v>8</v>
      </c>
      <c r="CH56" s="6">
        <f t="shared" si="72"/>
        <v>8</v>
      </c>
      <c r="CI56" s="6">
        <f t="shared" si="72"/>
        <v>8</v>
      </c>
    </row>
    <row r="57" spans="1:87" x14ac:dyDescent="0.2">
      <c r="A57" s="1">
        <v>47</v>
      </c>
      <c r="B57" s="1" t="s">
        <v>85</v>
      </c>
      <c r="C57" s="14">
        <f>C49</f>
        <v>0.80770000000000008</v>
      </c>
      <c r="D57" s="70">
        <f>'Bill Frequency'!C48+'Contract &amp; Vol Adj'!C48</f>
        <v>11152.8573</v>
      </c>
      <c r="E57" s="70">
        <f>'Bill Frequency'!D48+'Contract &amp; Vol Adj'!D48</f>
        <v>28242.505799999999</v>
      </c>
      <c r="F57" s="70">
        <f>'Bill Frequency'!E48+'Contract &amp; Vol Adj'!E48</f>
        <v>13057.639599999999</v>
      </c>
      <c r="G57" s="70">
        <f>'Bill Frequency'!F48+'Contract &amp; Vol Adj'!F48</f>
        <v>22604.716400000001</v>
      </c>
      <c r="H57" s="70">
        <f>'Bill Frequency'!G48+'Contract &amp; Vol Adj'!G48</f>
        <v>27710.869599999998</v>
      </c>
      <c r="I57" s="70">
        <f>'Bill Frequency'!H48+'Contract &amp; Vol Adj'!H48</f>
        <v>19942.346400000002</v>
      </c>
      <c r="J57" s="70">
        <f>'Bill Frequency'!I48+'Contract &amp; Vol Adj'!I48</f>
        <v>34783.22050000001</v>
      </c>
      <c r="K57" s="70">
        <f>'Bill Frequency'!J48+'Contract &amp; Vol Adj'!J48</f>
        <v>23585.6031</v>
      </c>
      <c r="L57" s="70">
        <f>'Bill Frequency'!K48+'Contract &amp; Vol Adj'!K48</f>
        <v>39729.426999999996</v>
      </c>
      <c r="M57" s="70">
        <f>'Bill Frequency'!L48+'Contract &amp; Vol Adj'!L48</f>
        <v>36083.842000000004</v>
      </c>
      <c r="N57" s="70">
        <f>'Bill Frequency'!M48+'Contract &amp; Vol Adj'!M48</f>
        <v>16515.747800000001</v>
      </c>
      <c r="O57" s="70">
        <f>'Bill Frequency'!N48+'Contract &amp; Vol Adj'!N48</f>
        <v>18608.862800000003</v>
      </c>
      <c r="P57" s="6">
        <f t="shared" si="66"/>
        <v>11152.8573</v>
      </c>
      <c r="Q57" s="6">
        <f t="shared" si="66"/>
        <v>28242.505799999999</v>
      </c>
      <c r="R57" s="6">
        <f t="shared" si="66"/>
        <v>13057.639599999999</v>
      </c>
      <c r="S57" s="6">
        <f t="shared" si="66"/>
        <v>22604.716400000001</v>
      </c>
      <c r="T57" s="6">
        <f t="shared" si="66"/>
        <v>27710.869599999998</v>
      </c>
      <c r="U57" s="6">
        <f t="shared" si="66"/>
        <v>19942.346400000002</v>
      </c>
      <c r="V57" s="6">
        <f t="shared" si="66"/>
        <v>34783.22050000001</v>
      </c>
      <c r="W57" s="6">
        <f t="shared" si="66"/>
        <v>23585.6031</v>
      </c>
      <c r="X57" s="6">
        <f t="shared" si="66"/>
        <v>39729.426999999996</v>
      </c>
      <c r="Y57" s="6">
        <f t="shared" si="66"/>
        <v>36083.842000000004</v>
      </c>
      <c r="Z57" s="6">
        <f t="shared" si="67"/>
        <v>16515.747800000001</v>
      </c>
      <c r="AA57" s="6">
        <f t="shared" si="67"/>
        <v>18608.862800000003</v>
      </c>
      <c r="AB57" s="6">
        <f t="shared" si="67"/>
        <v>11152.8573</v>
      </c>
      <c r="AC57" s="6">
        <f t="shared" si="67"/>
        <v>28242.505799999999</v>
      </c>
      <c r="AD57" s="6">
        <f t="shared" si="67"/>
        <v>13057.639599999999</v>
      </c>
      <c r="AE57" s="6">
        <f t="shared" si="67"/>
        <v>22604.716400000001</v>
      </c>
      <c r="AF57" s="6">
        <f t="shared" si="67"/>
        <v>27710.869599999998</v>
      </c>
      <c r="AG57" s="6">
        <f t="shared" si="67"/>
        <v>19942.346400000002</v>
      </c>
      <c r="AH57" s="6">
        <f t="shared" si="67"/>
        <v>34783.22050000001</v>
      </c>
      <c r="AI57" s="6">
        <f t="shared" si="67"/>
        <v>23585.6031</v>
      </c>
      <c r="AJ57" s="6">
        <f t="shared" si="68"/>
        <v>39729.426999999996</v>
      </c>
      <c r="AK57" s="6">
        <f t="shared" si="68"/>
        <v>36083.842000000004</v>
      </c>
      <c r="AL57" s="6">
        <f t="shared" si="68"/>
        <v>16515.747800000001</v>
      </c>
      <c r="AM57" s="6">
        <f t="shared" si="68"/>
        <v>18608.862800000003</v>
      </c>
      <c r="AN57" s="6">
        <f t="shared" si="68"/>
        <v>11152.8573</v>
      </c>
      <c r="AO57" s="6">
        <f t="shared" si="68"/>
        <v>28242.505799999999</v>
      </c>
      <c r="AP57" s="6">
        <f t="shared" si="68"/>
        <v>13057.639599999999</v>
      </c>
      <c r="AQ57" s="6">
        <f t="shared" si="68"/>
        <v>22604.716400000001</v>
      </c>
      <c r="AR57" s="6">
        <f t="shared" si="68"/>
        <v>27710.869599999998</v>
      </c>
      <c r="AS57" s="6">
        <f t="shared" si="68"/>
        <v>19942.346400000002</v>
      </c>
      <c r="AT57" s="6">
        <f t="shared" si="69"/>
        <v>34783.22050000001</v>
      </c>
      <c r="AU57" s="6">
        <f t="shared" si="69"/>
        <v>23585.6031</v>
      </c>
      <c r="AV57" s="6">
        <f t="shared" si="69"/>
        <v>39729.426999999996</v>
      </c>
      <c r="AW57" s="6">
        <f t="shared" si="69"/>
        <v>36083.842000000004</v>
      </c>
      <c r="AX57" s="6">
        <f t="shared" si="69"/>
        <v>16515.747800000001</v>
      </c>
      <c r="AY57" s="6">
        <f t="shared" si="69"/>
        <v>18608.862800000003</v>
      </c>
      <c r="AZ57" s="6">
        <f t="shared" si="69"/>
        <v>11152.8573</v>
      </c>
      <c r="BA57" s="6">
        <f t="shared" si="69"/>
        <v>28242.505799999999</v>
      </c>
      <c r="BB57" s="6">
        <f t="shared" si="69"/>
        <v>13057.639599999999</v>
      </c>
      <c r="BC57" s="6">
        <f t="shared" si="69"/>
        <v>22604.716400000001</v>
      </c>
      <c r="BD57" s="6">
        <f t="shared" si="70"/>
        <v>27710.869599999998</v>
      </c>
      <c r="BE57" s="6">
        <f t="shared" si="70"/>
        <v>19942.346400000002</v>
      </c>
      <c r="BF57" s="6">
        <f t="shared" si="70"/>
        <v>34783.22050000001</v>
      </c>
      <c r="BG57" s="6">
        <f t="shared" si="70"/>
        <v>23585.6031</v>
      </c>
      <c r="BH57" s="6">
        <f t="shared" si="70"/>
        <v>39729.426999999996</v>
      </c>
      <c r="BI57" s="6">
        <f t="shared" si="70"/>
        <v>36083.842000000004</v>
      </c>
      <c r="BJ57" s="6">
        <f t="shared" si="70"/>
        <v>16515.747800000001</v>
      </c>
      <c r="BK57" s="6">
        <f t="shared" si="70"/>
        <v>18608.862800000003</v>
      </c>
      <c r="BL57" s="6">
        <f t="shared" si="70"/>
        <v>11152.8573</v>
      </c>
      <c r="BM57" s="6">
        <f t="shared" si="70"/>
        <v>28242.505799999999</v>
      </c>
      <c r="BN57" s="6">
        <f t="shared" si="70"/>
        <v>13057.639599999999</v>
      </c>
      <c r="BO57" s="6">
        <f t="shared" si="70"/>
        <v>22604.716400000001</v>
      </c>
      <c r="BP57" s="6">
        <f t="shared" si="70"/>
        <v>27710.869599999998</v>
      </c>
      <c r="BQ57" s="6">
        <f t="shared" si="70"/>
        <v>19942.346400000002</v>
      </c>
      <c r="BR57" s="6">
        <f t="shared" si="70"/>
        <v>34783.22050000001</v>
      </c>
      <c r="BS57" s="6">
        <f t="shared" si="70"/>
        <v>23585.6031</v>
      </c>
      <c r="BT57" s="6">
        <f t="shared" si="71"/>
        <v>39729.426999999996</v>
      </c>
      <c r="BU57" s="6">
        <f t="shared" si="71"/>
        <v>36083.842000000004</v>
      </c>
      <c r="BV57" s="6">
        <f t="shared" si="71"/>
        <v>16515.747800000001</v>
      </c>
      <c r="BW57" s="6">
        <f t="shared" si="71"/>
        <v>18608.862800000003</v>
      </c>
      <c r="BX57" s="6">
        <f t="shared" si="72"/>
        <v>11152.8573</v>
      </c>
      <c r="BY57" s="6">
        <f t="shared" si="72"/>
        <v>28242.505799999999</v>
      </c>
      <c r="BZ57" s="6">
        <f t="shared" si="72"/>
        <v>13057.639599999999</v>
      </c>
      <c r="CA57" s="6">
        <f t="shared" si="72"/>
        <v>22604.716400000001</v>
      </c>
      <c r="CB57" s="6">
        <f t="shared" si="72"/>
        <v>27710.869599999998</v>
      </c>
      <c r="CC57" s="6">
        <f t="shared" si="72"/>
        <v>19942.346400000002</v>
      </c>
      <c r="CD57" s="6">
        <f t="shared" si="72"/>
        <v>34783.22050000001</v>
      </c>
      <c r="CE57" s="6">
        <f t="shared" si="72"/>
        <v>23585.6031</v>
      </c>
      <c r="CF57" s="6">
        <f t="shared" si="72"/>
        <v>39729.426999999996</v>
      </c>
      <c r="CG57" s="6">
        <f t="shared" si="72"/>
        <v>36083.842000000004</v>
      </c>
      <c r="CH57" s="6">
        <f t="shared" si="72"/>
        <v>16515.747800000001</v>
      </c>
      <c r="CI57" s="6">
        <f t="shared" si="72"/>
        <v>18608.862800000003</v>
      </c>
    </row>
    <row r="58" spans="1:87" x14ac:dyDescent="0.2">
      <c r="A58" s="1">
        <v>48</v>
      </c>
      <c r="B58" s="1" t="s">
        <v>81</v>
      </c>
      <c r="C58" s="14">
        <f>C50</f>
        <v>0.54190000000000005</v>
      </c>
      <c r="D58" s="70">
        <f>'Bill Frequency'!C49+'Contract &amp; Vol Adj'!C49</f>
        <v>0</v>
      </c>
      <c r="E58" s="70">
        <f>'Bill Frequency'!D49+'Contract &amp; Vol Adj'!D49</f>
        <v>0</v>
      </c>
      <c r="F58" s="70">
        <f>'Bill Frequency'!E49+'Contract &amp; Vol Adj'!E49</f>
        <v>0</v>
      </c>
      <c r="G58" s="70">
        <f>'Bill Frequency'!F49+'Contract &amp; Vol Adj'!F49</f>
        <v>2200</v>
      </c>
      <c r="H58" s="70">
        <f>'Bill Frequency'!G49+'Contract &amp; Vol Adj'!G49</f>
        <v>3796</v>
      </c>
      <c r="I58" s="70">
        <f>'Bill Frequency'!H49+'Contract &amp; Vol Adj'!H49</f>
        <v>0</v>
      </c>
      <c r="J58" s="70">
        <f>'Bill Frequency'!I49+'Contract &amp; Vol Adj'!I49</f>
        <v>15609</v>
      </c>
      <c r="K58" s="70">
        <f>'Bill Frequency'!J49+'Contract &amp; Vol Adj'!J49</f>
        <v>0</v>
      </c>
      <c r="L58" s="70">
        <f>'Bill Frequency'!K49+'Contract &amp; Vol Adj'!K49</f>
        <v>2015</v>
      </c>
      <c r="M58" s="70">
        <f>'Bill Frequency'!L49+'Contract &amp; Vol Adj'!L49</f>
        <v>0</v>
      </c>
      <c r="N58" s="70">
        <f>'Bill Frequency'!M49+'Contract &amp; Vol Adj'!M49</f>
        <v>0</v>
      </c>
      <c r="O58" s="70">
        <f>'Bill Frequency'!N49+'Contract &amp; Vol Adj'!N49</f>
        <v>0</v>
      </c>
      <c r="P58" s="6">
        <f t="shared" si="66"/>
        <v>0</v>
      </c>
      <c r="Q58" s="6">
        <f t="shared" si="66"/>
        <v>0</v>
      </c>
      <c r="R58" s="6">
        <f t="shared" si="66"/>
        <v>0</v>
      </c>
      <c r="S58" s="6">
        <f t="shared" si="66"/>
        <v>2200</v>
      </c>
      <c r="T58" s="6">
        <f t="shared" si="66"/>
        <v>3796</v>
      </c>
      <c r="U58" s="6">
        <f t="shared" si="66"/>
        <v>0</v>
      </c>
      <c r="V58" s="6">
        <f t="shared" si="66"/>
        <v>15609</v>
      </c>
      <c r="W58" s="6">
        <f t="shared" si="66"/>
        <v>0</v>
      </c>
      <c r="X58" s="6">
        <f t="shared" si="66"/>
        <v>2015</v>
      </c>
      <c r="Y58" s="6">
        <f t="shared" si="66"/>
        <v>0</v>
      </c>
      <c r="Z58" s="6">
        <f t="shared" si="67"/>
        <v>0</v>
      </c>
      <c r="AA58" s="6">
        <f t="shared" si="67"/>
        <v>0</v>
      </c>
      <c r="AB58" s="6">
        <f t="shared" si="67"/>
        <v>0</v>
      </c>
      <c r="AC58" s="6">
        <f t="shared" si="67"/>
        <v>0</v>
      </c>
      <c r="AD58" s="6">
        <f t="shared" si="67"/>
        <v>0</v>
      </c>
      <c r="AE58" s="6">
        <f t="shared" si="67"/>
        <v>2200</v>
      </c>
      <c r="AF58" s="6">
        <f t="shared" si="67"/>
        <v>3796</v>
      </c>
      <c r="AG58" s="6">
        <f t="shared" si="67"/>
        <v>0</v>
      </c>
      <c r="AH58" s="6">
        <f t="shared" si="67"/>
        <v>15609</v>
      </c>
      <c r="AI58" s="6">
        <f t="shared" si="67"/>
        <v>0</v>
      </c>
      <c r="AJ58" s="6">
        <f t="shared" si="68"/>
        <v>2015</v>
      </c>
      <c r="AK58" s="6">
        <f t="shared" si="68"/>
        <v>0</v>
      </c>
      <c r="AL58" s="6">
        <f t="shared" si="68"/>
        <v>0</v>
      </c>
      <c r="AM58" s="6">
        <f t="shared" si="68"/>
        <v>0</v>
      </c>
      <c r="AN58" s="6">
        <f t="shared" si="68"/>
        <v>0</v>
      </c>
      <c r="AO58" s="6">
        <f t="shared" si="68"/>
        <v>0</v>
      </c>
      <c r="AP58" s="6">
        <f t="shared" si="68"/>
        <v>0</v>
      </c>
      <c r="AQ58" s="6">
        <f t="shared" si="68"/>
        <v>2200</v>
      </c>
      <c r="AR58" s="6">
        <f t="shared" si="68"/>
        <v>3796</v>
      </c>
      <c r="AS58" s="6">
        <f t="shared" si="68"/>
        <v>0</v>
      </c>
      <c r="AT58" s="6">
        <f t="shared" si="69"/>
        <v>15609</v>
      </c>
      <c r="AU58" s="6">
        <f t="shared" si="69"/>
        <v>0</v>
      </c>
      <c r="AV58" s="6">
        <f t="shared" si="69"/>
        <v>2015</v>
      </c>
      <c r="AW58" s="6">
        <f t="shared" si="69"/>
        <v>0</v>
      </c>
      <c r="AX58" s="6">
        <f t="shared" si="69"/>
        <v>0</v>
      </c>
      <c r="AY58" s="6">
        <f t="shared" si="69"/>
        <v>0</v>
      </c>
      <c r="AZ58" s="6">
        <f t="shared" si="69"/>
        <v>0</v>
      </c>
      <c r="BA58" s="6">
        <f t="shared" si="69"/>
        <v>0</v>
      </c>
      <c r="BB58" s="6">
        <f t="shared" si="69"/>
        <v>0</v>
      </c>
      <c r="BC58" s="6">
        <f t="shared" si="69"/>
        <v>2200</v>
      </c>
      <c r="BD58" s="6">
        <f t="shared" si="70"/>
        <v>3796</v>
      </c>
      <c r="BE58" s="6">
        <f t="shared" si="70"/>
        <v>0</v>
      </c>
      <c r="BF58" s="6">
        <f t="shared" si="70"/>
        <v>15609</v>
      </c>
      <c r="BG58" s="6">
        <f t="shared" si="70"/>
        <v>0</v>
      </c>
      <c r="BH58" s="6">
        <f t="shared" si="70"/>
        <v>2015</v>
      </c>
      <c r="BI58" s="6">
        <f t="shared" si="70"/>
        <v>0</v>
      </c>
      <c r="BJ58" s="6">
        <f t="shared" si="70"/>
        <v>0</v>
      </c>
      <c r="BK58" s="6">
        <f t="shared" si="70"/>
        <v>0</v>
      </c>
      <c r="BL58" s="6">
        <f t="shared" si="70"/>
        <v>0</v>
      </c>
      <c r="BM58" s="6">
        <f t="shared" si="70"/>
        <v>0</v>
      </c>
      <c r="BN58" s="6">
        <f t="shared" si="70"/>
        <v>0</v>
      </c>
      <c r="BO58" s="6">
        <f t="shared" si="70"/>
        <v>2200</v>
      </c>
      <c r="BP58" s="6">
        <f t="shared" si="70"/>
        <v>3796</v>
      </c>
      <c r="BQ58" s="6">
        <f t="shared" si="70"/>
        <v>0</v>
      </c>
      <c r="BR58" s="6">
        <f t="shared" si="70"/>
        <v>15609</v>
      </c>
      <c r="BS58" s="6">
        <f t="shared" si="70"/>
        <v>0</v>
      </c>
      <c r="BT58" s="6">
        <f t="shared" si="71"/>
        <v>2015</v>
      </c>
      <c r="BU58" s="6">
        <f t="shared" si="71"/>
        <v>0</v>
      </c>
      <c r="BV58" s="6">
        <f t="shared" si="71"/>
        <v>0</v>
      </c>
      <c r="BW58" s="6">
        <f t="shared" si="71"/>
        <v>0</v>
      </c>
      <c r="BX58" s="6">
        <f t="shared" si="72"/>
        <v>0</v>
      </c>
      <c r="BY58" s="6">
        <f t="shared" si="72"/>
        <v>0</v>
      </c>
      <c r="BZ58" s="6">
        <f t="shared" si="72"/>
        <v>0</v>
      </c>
      <c r="CA58" s="6">
        <f t="shared" si="72"/>
        <v>2200</v>
      </c>
      <c r="CB58" s="6">
        <f t="shared" si="72"/>
        <v>3796</v>
      </c>
      <c r="CC58" s="6">
        <f t="shared" si="72"/>
        <v>0</v>
      </c>
      <c r="CD58" s="6">
        <f t="shared" si="72"/>
        <v>15609</v>
      </c>
      <c r="CE58" s="6">
        <f t="shared" si="72"/>
        <v>0</v>
      </c>
      <c r="CF58" s="6">
        <f t="shared" si="72"/>
        <v>2015</v>
      </c>
      <c r="CG58" s="6">
        <f t="shared" si="72"/>
        <v>0</v>
      </c>
      <c r="CH58" s="6">
        <f t="shared" si="72"/>
        <v>0</v>
      </c>
      <c r="CI58" s="6">
        <f t="shared" si="72"/>
        <v>0</v>
      </c>
    </row>
    <row r="59" spans="1:87" x14ac:dyDescent="0.2">
      <c r="A59" s="1">
        <v>49</v>
      </c>
      <c r="B59" s="32" t="s">
        <v>79</v>
      </c>
      <c r="C59" s="32"/>
      <c r="D59" s="31">
        <f t="shared" ref="D59:AI59" si="73">D57+D58</f>
        <v>11152.8573</v>
      </c>
      <c r="E59" s="31">
        <f t="shared" si="73"/>
        <v>28242.505799999999</v>
      </c>
      <c r="F59" s="31">
        <f t="shared" si="73"/>
        <v>13057.639599999999</v>
      </c>
      <c r="G59" s="31">
        <f t="shared" si="73"/>
        <v>24804.716400000001</v>
      </c>
      <c r="H59" s="31">
        <f t="shared" si="73"/>
        <v>31506.869599999998</v>
      </c>
      <c r="I59" s="31">
        <f t="shared" si="73"/>
        <v>19942.346400000002</v>
      </c>
      <c r="J59" s="31">
        <f t="shared" si="73"/>
        <v>50392.22050000001</v>
      </c>
      <c r="K59" s="31">
        <f t="shared" si="73"/>
        <v>23585.6031</v>
      </c>
      <c r="L59" s="31">
        <f t="shared" si="73"/>
        <v>41744.426999999996</v>
      </c>
      <c r="M59" s="31">
        <f t="shared" si="73"/>
        <v>36083.842000000004</v>
      </c>
      <c r="N59" s="31">
        <f t="shared" si="73"/>
        <v>16515.747800000001</v>
      </c>
      <c r="O59" s="31">
        <f t="shared" si="73"/>
        <v>18608.862800000003</v>
      </c>
      <c r="P59" s="31">
        <f t="shared" si="73"/>
        <v>11152.8573</v>
      </c>
      <c r="Q59" s="31">
        <f t="shared" si="73"/>
        <v>28242.505799999999</v>
      </c>
      <c r="R59" s="31">
        <f t="shared" si="73"/>
        <v>13057.639599999999</v>
      </c>
      <c r="S59" s="31">
        <f t="shared" si="73"/>
        <v>24804.716400000001</v>
      </c>
      <c r="T59" s="31">
        <f t="shared" si="73"/>
        <v>31506.869599999998</v>
      </c>
      <c r="U59" s="31">
        <f t="shared" si="73"/>
        <v>19942.346400000002</v>
      </c>
      <c r="V59" s="31">
        <f t="shared" si="73"/>
        <v>50392.22050000001</v>
      </c>
      <c r="W59" s="31">
        <f t="shared" si="73"/>
        <v>23585.6031</v>
      </c>
      <c r="X59" s="31">
        <f t="shared" si="73"/>
        <v>41744.426999999996</v>
      </c>
      <c r="Y59" s="31">
        <f t="shared" si="73"/>
        <v>36083.842000000004</v>
      </c>
      <c r="Z59" s="31">
        <f t="shared" si="73"/>
        <v>16515.747800000001</v>
      </c>
      <c r="AA59" s="31">
        <f t="shared" si="73"/>
        <v>18608.862800000003</v>
      </c>
      <c r="AB59" s="31">
        <f t="shared" si="73"/>
        <v>11152.8573</v>
      </c>
      <c r="AC59" s="31">
        <f t="shared" si="73"/>
        <v>28242.505799999999</v>
      </c>
      <c r="AD59" s="31">
        <f t="shared" si="73"/>
        <v>13057.639599999999</v>
      </c>
      <c r="AE59" s="31">
        <f t="shared" si="73"/>
        <v>24804.716400000001</v>
      </c>
      <c r="AF59" s="31">
        <f t="shared" si="73"/>
        <v>31506.869599999998</v>
      </c>
      <c r="AG59" s="31">
        <f t="shared" si="73"/>
        <v>19942.346400000002</v>
      </c>
      <c r="AH59" s="31">
        <f t="shared" si="73"/>
        <v>50392.22050000001</v>
      </c>
      <c r="AI59" s="31">
        <f t="shared" si="73"/>
        <v>23585.6031</v>
      </c>
      <c r="AJ59" s="31">
        <f t="shared" ref="AJ59:BW59" si="74">AJ57+AJ58</f>
        <v>41744.426999999996</v>
      </c>
      <c r="AK59" s="31">
        <f t="shared" si="74"/>
        <v>36083.842000000004</v>
      </c>
      <c r="AL59" s="31">
        <f t="shared" si="74"/>
        <v>16515.747800000001</v>
      </c>
      <c r="AM59" s="31">
        <f t="shared" si="74"/>
        <v>18608.862800000003</v>
      </c>
      <c r="AN59" s="31">
        <f t="shared" si="74"/>
        <v>11152.8573</v>
      </c>
      <c r="AO59" s="31">
        <f t="shared" si="74"/>
        <v>28242.505799999999</v>
      </c>
      <c r="AP59" s="31">
        <f t="shared" si="74"/>
        <v>13057.639599999999</v>
      </c>
      <c r="AQ59" s="31">
        <f t="shared" si="74"/>
        <v>24804.716400000001</v>
      </c>
      <c r="AR59" s="31">
        <f t="shared" si="74"/>
        <v>31506.869599999998</v>
      </c>
      <c r="AS59" s="31">
        <f t="shared" si="74"/>
        <v>19942.346400000002</v>
      </c>
      <c r="AT59" s="31">
        <f t="shared" si="74"/>
        <v>50392.22050000001</v>
      </c>
      <c r="AU59" s="31">
        <f t="shared" si="74"/>
        <v>23585.6031</v>
      </c>
      <c r="AV59" s="31">
        <f t="shared" si="74"/>
        <v>41744.426999999996</v>
      </c>
      <c r="AW59" s="31">
        <f t="shared" si="74"/>
        <v>36083.842000000004</v>
      </c>
      <c r="AX59" s="31">
        <f t="shared" si="74"/>
        <v>16515.747800000001</v>
      </c>
      <c r="AY59" s="31">
        <f t="shared" si="74"/>
        <v>18608.862800000003</v>
      </c>
      <c r="AZ59" s="31">
        <f t="shared" si="74"/>
        <v>11152.8573</v>
      </c>
      <c r="BA59" s="31">
        <f t="shared" si="74"/>
        <v>28242.505799999999</v>
      </c>
      <c r="BB59" s="31">
        <f t="shared" si="74"/>
        <v>13057.639599999999</v>
      </c>
      <c r="BC59" s="31">
        <f t="shared" si="74"/>
        <v>24804.716400000001</v>
      </c>
      <c r="BD59" s="31">
        <f t="shared" si="74"/>
        <v>31506.869599999998</v>
      </c>
      <c r="BE59" s="31">
        <f t="shared" si="74"/>
        <v>19942.346400000002</v>
      </c>
      <c r="BF59" s="31">
        <f t="shared" si="74"/>
        <v>50392.22050000001</v>
      </c>
      <c r="BG59" s="31">
        <f t="shared" si="74"/>
        <v>23585.6031</v>
      </c>
      <c r="BH59" s="31">
        <f t="shared" si="74"/>
        <v>41744.426999999996</v>
      </c>
      <c r="BI59" s="31">
        <f t="shared" si="74"/>
        <v>36083.842000000004</v>
      </c>
      <c r="BJ59" s="31">
        <f t="shared" si="74"/>
        <v>16515.747800000001</v>
      </c>
      <c r="BK59" s="31">
        <f t="shared" si="74"/>
        <v>18608.862800000003</v>
      </c>
      <c r="BL59" s="31">
        <f t="shared" si="74"/>
        <v>11152.8573</v>
      </c>
      <c r="BM59" s="31">
        <f t="shared" si="74"/>
        <v>28242.505799999999</v>
      </c>
      <c r="BN59" s="31">
        <f t="shared" si="74"/>
        <v>13057.639599999999</v>
      </c>
      <c r="BO59" s="31">
        <f t="shared" si="74"/>
        <v>24804.716400000001</v>
      </c>
      <c r="BP59" s="31">
        <f t="shared" si="74"/>
        <v>31506.869599999998</v>
      </c>
      <c r="BQ59" s="31">
        <f t="shared" si="74"/>
        <v>19942.346400000002</v>
      </c>
      <c r="BR59" s="31">
        <f t="shared" si="74"/>
        <v>50392.22050000001</v>
      </c>
      <c r="BS59" s="31">
        <f t="shared" si="74"/>
        <v>23585.6031</v>
      </c>
      <c r="BT59" s="31">
        <f t="shared" si="74"/>
        <v>41744.426999999996</v>
      </c>
      <c r="BU59" s="31">
        <f t="shared" si="74"/>
        <v>36083.842000000004</v>
      </c>
      <c r="BV59" s="31">
        <f t="shared" si="74"/>
        <v>16515.747800000001</v>
      </c>
      <c r="BW59" s="31">
        <f t="shared" si="74"/>
        <v>18608.862800000003</v>
      </c>
      <c r="BX59" s="31">
        <f t="shared" ref="BX59:CI59" si="75">BX57+BX58</f>
        <v>11152.8573</v>
      </c>
      <c r="BY59" s="31">
        <f t="shared" si="75"/>
        <v>28242.505799999999</v>
      </c>
      <c r="BZ59" s="31">
        <f t="shared" si="75"/>
        <v>13057.639599999999</v>
      </c>
      <c r="CA59" s="31">
        <f t="shared" si="75"/>
        <v>24804.716400000001</v>
      </c>
      <c r="CB59" s="31">
        <f t="shared" si="75"/>
        <v>31506.869599999998</v>
      </c>
      <c r="CC59" s="31">
        <f t="shared" si="75"/>
        <v>19942.346400000002</v>
      </c>
      <c r="CD59" s="31">
        <f t="shared" si="75"/>
        <v>50392.22050000001</v>
      </c>
      <c r="CE59" s="31">
        <f t="shared" si="75"/>
        <v>23585.6031</v>
      </c>
      <c r="CF59" s="31">
        <f t="shared" si="75"/>
        <v>41744.426999999996</v>
      </c>
      <c r="CG59" s="31">
        <f t="shared" si="75"/>
        <v>36083.842000000004</v>
      </c>
      <c r="CH59" s="31">
        <f t="shared" si="75"/>
        <v>16515.747800000001</v>
      </c>
      <c r="CI59" s="31">
        <f t="shared" si="75"/>
        <v>18608.862800000003</v>
      </c>
    </row>
    <row r="60" spans="1:87" x14ac:dyDescent="0.2">
      <c r="A60" s="1">
        <v>50</v>
      </c>
      <c r="B60" s="16" t="s">
        <v>237</v>
      </c>
      <c r="C60" s="1"/>
      <c r="D60" s="93">
        <f>D52</f>
        <v>5.3835999999999995</v>
      </c>
      <c r="E60" s="93">
        <f t="shared" ref="E60:P60" si="76">E52</f>
        <v>5.3835999999999995</v>
      </c>
      <c r="F60" s="93">
        <f t="shared" si="76"/>
        <v>4.5401999999999996</v>
      </c>
      <c r="G60" s="93">
        <f t="shared" si="76"/>
        <v>4.5401999999999996</v>
      </c>
      <c r="H60" s="93">
        <f t="shared" si="76"/>
        <v>4.6536999999999997</v>
      </c>
      <c r="I60" s="93">
        <f t="shared" si="76"/>
        <v>4.6029999999999998</v>
      </c>
      <c r="J60" s="93">
        <f t="shared" si="76"/>
        <v>4.6029999999999998</v>
      </c>
      <c r="K60" s="93">
        <f t="shared" si="76"/>
        <v>4.41</v>
      </c>
      <c r="L60" s="93">
        <f t="shared" si="76"/>
        <v>3.8165</v>
      </c>
      <c r="M60" s="93">
        <f t="shared" si="76"/>
        <v>3.8165</v>
      </c>
      <c r="N60" s="93">
        <f t="shared" si="76"/>
        <v>3.8165</v>
      </c>
      <c r="O60" s="93">
        <f t="shared" si="76"/>
        <v>2.9024000000000001</v>
      </c>
      <c r="P60" s="93">
        <f t="shared" si="76"/>
        <v>2.9024000000000001</v>
      </c>
      <c r="Q60" s="93">
        <f t="shared" ref="Q60:AA60" si="77">Q52</f>
        <v>2.9024000000000001</v>
      </c>
      <c r="R60" s="93">
        <f t="shared" si="77"/>
        <v>3.0172667607171224</v>
      </c>
      <c r="S60" s="93">
        <f t="shared" si="77"/>
        <v>3.0172667607171224</v>
      </c>
      <c r="T60" s="93">
        <f t="shared" si="77"/>
        <v>3.0172667607171224</v>
      </c>
      <c r="U60" s="93">
        <f t="shared" si="77"/>
        <v>3.2165662063521663</v>
      </c>
      <c r="V60" s="93">
        <f t="shared" si="77"/>
        <v>3.2165662063521663</v>
      </c>
      <c r="W60" s="93">
        <f t="shared" si="77"/>
        <v>3.2165662063521663</v>
      </c>
      <c r="X60" s="93">
        <f t="shared" si="77"/>
        <v>3.3005671029755894</v>
      </c>
      <c r="Y60" s="93">
        <f t="shared" si="77"/>
        <v>3.3005671029755894</v>
      </c>
      <c r="Z60" s="93">
        <f t="shared" si="77"/>
        <v>3.3005671029755894</v>
      </c>
      <c r="AA60" s="93">
        <f t="shared" si="77"/>
        <v>3.3329920396898256</v>
      </c>
      <c r="AB60" s="93">
        <f t="shared" ref="AB60:BW60" si="78">AB52</f>
        <v>3.3329920396898256</v>
      </c>
      <c r="AC60" s="93">
        <f t="shared" si="78"/>
        <v>3.3329920396898256</v>
      </c>
      <c r="AD60" s="93">
        <f t="shared" si="78"/>
        <v>3.2799670382500326</v>
      </c>
      <c r="AE60" s="93">
        <f t="shared" si="78"/>
        <v>3.2799670382500326</v>
      </c>
      <c r="AF60" s="93">
        <f t="shared" si="78"/>
        <v>3.2799670382500326</v>
      </c>
      <c r="AG60" s="93">
        <f t="shared" si="78"/>
        <v>3.284091890325727</v>
      </c>
      <c r="AH60" s="93">
        <f t="shared" si="78"/>
        <v>3.284091890325727</v>
      </c>
      <c r="AI60" s="93">
        <f t="shared" si="78"/>
        <v>3.284091890325727</v>
      </c>
      <c r="AJ60" s="93">
        <f t="shared" si="78"/>
        <v>3.560377723087385</v>
      </c>
      <c r="AK60" s="93">
        <f t="shared" si="78"/>
        <v>3.560377723087385</v>
      </c>
      <c r="AL60" s="93">
        <f t="shared" si="78"/>
        <v>3.560377723087385</v>
      </c>
      <c r="AM60" s="93">
        <f t="shared" si="78"/>
        <v>3.5783781155301826</v>
      </c>
      <c r="AN60" s="93">
        <f t="shared" si="78"/>
        <v>3.5783781155301826</v>
      </c>
      <c r="AO60" s="93">
        <f t="shared" si="78"/>
        <v>3.5783781155301826</v>
      </c>
      <c r="AP60" s="93">
        <f t="shared" si="78"/>
        <v>3.4523565485617471</v>
      </c>
      <c r="AQ60" s="93">
        <f t="shared" si="78"/>
        <v>3.4523565485617471</v>
      </c>
      <c r="AR60" s="93">
        <f t="shared" si="78"/>
        <v>3.4523565485617471</v>
      </c>
      <c r="AS60" s="93">
        <f t="shared" si="78"/>
        <v>3.4303883946976605</v>
      </c>
      <c r="AT60" s="93">
        <f t="shared" si="78"/>
        <v>3.4303883946976605</v>
      </c>
      <c r="AU60" s="93">
        <f t="shared" si="78"/>
        <v>3.4303883946976605</v>
      </c>
      <c r="AV60" s="93">
        <f t="shared" si="78"/>
        <v>3.647277085256392</v>
      </c>
      <c r="AW60" s="93">
        <f t="shared" si="78"/>
        <v>3.647277085256392</v>
      </c>
      <c r="AX60" s="93">
        <f t="shared" si="78"/>
        <v>3.647277085256392</v>
      </c>
      <c r="AY60" s="93">
        <f t="shared" si="78"/>
        <v>3.6509067690988428</v>
      </c>
      <c r="AZ60" s="93">
        <f t="shared" si="78"/>
        <v>3.6509067690988428</v>
      </c>
      <c r="BA60" s="93">
        <f t="shared" si="78"/>
        <v>3.6509067690988428</v>
      </c>
      <c r="BB60" s="93">
        <f t="shared" si="78"/>
        <v>3.542762114098295</v>
      </c>
      <c r="BC60" s="93">
        <f t="shared" si="78"/>
        <v>3.542762114098295</v>
      </c>
      <c r="BD60" s="93">
        <f t="shared" si="78"/>
        <v>3.542762114098295</v>
      </c>
      <c r="BE60" s="93">
        <f t="shared" si="78"/>
        <v>3.5263055196095574</v>
      </c>
      <c r="BF60" s="93">
        <f t="shared" si="78"/>
        <v>3.5263055196095574</v>
      </c>
      <c r="BG60" s="93">
        <f t="shared" si="78"/>
        <v>3.5263055196095574</v>
      </c>
      <c r="BH60" s="93">
        <f t="shared" si="78"/>
        <v>3.7379949166808384</v>
      </c>
      <c r="BI60" s="93">
        <f t="shared" si="78"/>
        <v>3.7379949166808384</v>
      </c>
      <c r="BJ60" s="93">
        <f t="shared" si="78"/>
        <v>3.7379949166808384</v>
      </c>
      <c r="BK60" s="93">
        <f t="shared" si="78"/>
        <v>3.7449497124435989</v>
      </c>
      <c r="BL60" s="93">
        <f t="shared" si="78"/>
        <v>3.7449497124435989</v>
      </c>
      <c r="BM60" s="93">
        <f t="shared" si="78"/>
        <v>3.7449497124435989</v>
      </c>
      <c r="BN60" s="93">
        <f t="shared" si="78"/>
        <v>3.6510378335550535</v>
      </c>
      <c r="BO60" s="93">
        <f t="shared" si="78"/>
        <v>3.6510378335550535</v>
      </c>
      <c r="BP60" s="93">
        <f t="shared" si="78"/>
        <v>3.6510378335550535</v>
      </c>
      <c r="BQ60" s="93">
        <f t="shared" si="78"/>
        <v>3.6388630065552392</v>
      </c>
      <c r="BR60" s="93">
        <f t="shared" si="78"/>
        <v>3.6388630065552392</v>
      </c>
      <c r="BS60" s="93">
        <f t="shared" si="78"/>
        <v>3.6388630065552392</v>
      </c>
      <c r="BT60" s="93">
        <f t="shared" si="78"/>
        <v>3.8622356342589863</v>
      </c>
      <c r="BU60" s="93">
        <f t="shared" si="78"/>
        <v>3.8622356342589863</v>
      </c>
      <c r="BV60" s="93">
        <f t="shared" si="78"/>
        <v>3.8622356342589863</v>
      </c>
      <c r="BW60" s="93">
        <f t="shared" si="78"/>
        <v>3.8786699965239495</v>
      </c>
      <c r="BX60" s="93">
        <f t="shared" ref="BX60:CI60" si="79">BX52</f>
        <v>3.8786699965239495</v>
      </c>
      <c r="BY60" s="93">
        <f t="shared" si="79"/>
        <v>3.8786699965239495</v>
      </c>
      <c r="BZ60" s="93">
        <f t="shared" si="79"/>
        <v>3.7881085004683928</v>
      </c>
      <c r="CA60" s="93">
        <f t="shared" si="79"/>
        <v>3.7881085004683928</v>
      </c>
      <c r="CB60" s="93">
        <f t="shared" si="79"/>
        <v>3.7881085004683928</v>
      </c>
      <c r="CC60" s="93">
        <f t="shared" si="79"/>
        <v>3.7773297881129806</v>
      </c>
      <c r="CD60" s="93">
        <f t="shared" si="79"/>
        <v>3.7773297881129806</v>
      </c>
      <c r="CE60" s="93">
        <f t="shared" si="79"/>
        <v>3.7773297881129806</v>
      </c>
      <c r="CF60" s="93">
        <f t="shared" si="79"/>
        <v>4.0119017633506733</v>
      </c>
      <c r="CG60" s="93">
        <f t="shared" si="79"/>
        <v>4.0119017633506733</v>
      </c>
      <c r="CH60" s="93">
        <f t="shared" si="79"/>
        <v>4.0119017633506733</v>
      </c>
      <c r="CI60" s="93">
        <f t="shared" si="79"/>
        <v>4.0418633096195107</v>
      </c>
    </row>
    <row r="61" spans="1:87" x14ac:dyDescent="0.2">
      <c r="A61" s="1">
        <v>51</v>
      </c>
      <c r="B61" s="16" t="s">
        <v>229</v>
      </c>
      <c r="C61" s="1"/>
      <c r="D61" s="38">
        <f t="shared" ref="D61:AI61" si="80">D60*D59</f>
        <v>60042.522560279991</v>
      </c>
      <c r="E61" s="38">
        <f t="shared" si="80"/>
        <v>152046.35422487999</v>
      </c>
      <c r="F61" s="38">
        <f t="shared" si="80"/>
        <v>59284.295311919988</v>
      </c>
      <c r="G61" s="38">
        <f t="shared" si="80"/>
        <v>112618.37339928</v>
      </c>
      <c r="H61" s="38">
        <f t="shared" si="80"/>
        <v>146623.51905752</v>
      </c>
      <c r="I61" s="38">
        <f t="shared" si="80"/>
        <v>91794.620479200006</v>
      </c>
      <c r="J61" s="38">
        <f t="shared" si="80"/>
        <v>231955.39096150003</v>
      </c>
      <c r="K61" s="38">
        <f t="shared" si="80"/>
        <v>104012.50967100001</v>
      </c>
      <c r="L61" s="38">
        <f t="shared" si="80"/>
        <v>159317.60564549998</v>
      </c>
      <c r="M61" s="38">
        <f t="shared" si="80"/>
        <v>137713.98299300001</v>
      </c>
      <c r="N61" s="38">
        <f t="shared" si="80"/>
        <v>63032.351478700002</v>
      </c>
      <c r="O61" s="38">
        <f t="shared" si="80"/>
        <v>54010.363390720013</v>
      </c>
      <c r="P61" s="38">
        <f t="shared" si="80"/>
        <v>32370.05302752</v>
      </c>
      <c r="Q61" s="38">
        <f t="shared" si="80"/>
        <v>81971.048833919995</v>
      </c>
      <c r="R61" s="38">
        <f t="shared" si="80"/>
        <v>39398.381938503619</v>
      </c>
      <c r="S61" s="38">
        <f t="shared" si="80"/>
        <v>74842.446302734883</v>
      </c>
      <c r="T61" s="38">
        <f t="shared" si="80"/>
        <v>95064.630378328773</v>
      </c>
      <c r="U61" s="38">
        <f t="shared" si="80"/>
        <v>64145.877505608791</v>
      </c>
      <c r="V61" s="38">
        <f t="shared" si="80"/>
        <v>162089.91352334688</v>
      </c>
      <c r="W61" s="38">
        <f t="shared" si="80"/>
        <v>75864.653887894892</v>
      </c>
      <c r="X61" s="38">
        <f t="shared" si="80"/>
        <v>137780.28248876595</v>
      </c>
      <c r="Y61" s="38">
        <f t="shared" si="80"/>
        <v>119097.14185416891</v>
      </c>
      <c r="Z61" s="38">
        <f t="shared" si="80"/>
        <v>54511.333869721471</v>
      </c>
      <c r="AA61" s="38">
        <f t="shared" si="80"/>
        <v>62023.191580080129</v>
      </c>
      <c r="AB61" s="38">
        <f t="shared" si="80"/>
        <v>37172.384600696561</v>
      </c>
      <c r="AC61" s="38">
        <f t="shared" si="80"/>
        <v>94132.047012293726</v>
      </c>
      <c r="AD61" s="38">
        <f t="shared" si="80"/>
        <v>42828.627485348334</v>
      </c>
      <c r="AE61" s="38">
        <f t="shared" si="80"/>
        <v>81358.652185140018</v>
      </c>
      <c r="AF61" s="38">
        <f t="shared" si="80"/>
        <v>103341.49376644198</v>
      </c>
      <c r="AG61" s="38">
        <f t="shared" si="80"/>
        <v>65492.498086306463</v>
      </c>
      <c r="AH61" s="38">
        <f t="shared" si="80"/>
        <v>165492.68267955587</v>
      </c>
      <c r="AI61" s="38">
        <f t="shared" si="80"/>
        <v>77457.287869151332</v>
      </c>
      <c r="AJ61" s="38">
        <f t="shared" ref="AJ61:BW61" si="81">AJ60*AJ59</f>
        <v>148625.92795384754</v>
      </c>
      <c r="AK61" s="38">
        <f t="shared" si="81"/>
        <v>128472.10722020497</v>
      </c>
      <c r="AL61" s="38">
        <f t="shared" si="81"/>
        <v>58802.300547249492</v>
      </c>
      <c r="AM61" s="38">
        <f t="shared" si="81"/>
        <v>66589.547398423732</v>
      </c>
      <c r="AN61" s="38">
        <f t="shared" si="81"/>
        <v>39909.140487951037</v>
      </c>
      <c r="AO61" s="38">
        <f t="shared" si="81"/>
        <v>101062.36468245425</v>
      </c>
      <c r="AP61" s="38">
        <f t="shared" si="81"/>
        <v>45079.627581819186</v>
      </c>
      <c r="AQ61" s="38">
        <f t="shared" si="81"/>
        <v>85634.725098756971</v>
      </c>
      <c r="AR61" s="38">
        <f t="shared" si="81"/>
        <v>108772.94758824103</v>
      </c>
      <c r="AS61" s="38">
        <f t="shared" si="81"/>
        <v>68409.993653600672</v>
      </c>
      <c r="AT61" s="38">
        <f t="shared" si="81"/>
        <v>172864.88838624558</v>
      </c>
      <c r="AU61" s="38">
        <f t="shared" si="81"/>
        <v>80907.779156185163</v>
      </c>
      <c r="AV61" s="38">
        <f t="shared" si="81"/>
        <v>152253.49203425823</v>
      </c>
      <c r="AW61" s="38">
        <f t="shared" si="81"/>
        <v>131607.7700746122</v>
      </c>
      <c r="AX61" s="38">
        <f t="shared" si="81"/>
        <v>60237.508496813673</v>
      </c>
      <c r="AY61" s="38">
        <f t="shared" si="81"/>
        <v>67939.223161751652</v>
      </c>
      <c r="AZ61" s="38">
        <f t="shared" si="81"/>
        <v>40718.042211363441</v>
      </c>
      <c r="BA61" s="38">
        <f t="shared" si="81"/>
        <v>103110.75560153332</v>
      </c>
      <c r="BB61" s="38">
        <f t="shared" si="81"/>
        <v>46260.110874429607</v>
      </c>
      <c r="BC61" s="38">
        <f t="shared" si="81"/>
        <v>87877.209512872651</v>
      </c>
      <c r="BD61" s="38">
        <f t="shared" si="81"/>
        <v>111621.3439527153</v>
      </c>
      <c r="BE61" s="38">
        <f t="shared" si="81"/>
        <v>70322.806184285801</v>
      </c>
      <c r="BF61" s="38">
        <f t="shared" si="81"/>
        <v>177698.36529453192</v>
      </c>
      <c r="BG61" s="38">
        <f t="shared" si="81"/>
        <v>83170.042394850287</v>
      </c>
      <c r="BH61" s="38">
        <f t="shared" si="81"/>
        <v>156040.45592575433</v>
      </c>
      <c r="BI61" s="38">
        <f t="shared" si="81"/>
        <v>134881.21797031455</v>
      </c>
      <c r="BJ61" s="38">
        <f t="shared" si="81"/>
        <v>61735.781321582741</v>
      </c>
      <c r="BK61" s="38">
        <f t="shared" si="81"/>
        <v>69689.255391762388</v>
      </c>
      <c r="BL61" s="38">
        <f t="shared" si="81"/>
        <v>41766.88973855949</v>
      </c>
      <c r="BM61" s="38">
        <f t="shared" si="81"/>
        <v>105766.76397439667</v>
      </c>
      <c r="BN61" s="38">
        <f t="shared" si="81"/>
        <v>47673.936196526673</v>
      </c>
      <c r="BO61" s="38">
        <f t="shared" si="81"/>
        <v>90562.958027003508</v>
      </c>
      <c r="BP61" s="38">
        <f t="shared" si="81"/>
        <v>115032.77292648557</v>
      </c>
      <c r="BQ61" s="38">
        <f t="shared" si="81"/>
        <v>72567.466578870066</v>
      </c>
      <c r="BR61" s="38">
        <f t="shared" si="81"/>
        <v>183370.38699562461</v>
      </c>
      <c r="BS61" s="38">
        <f t="shared" si="81"/>
        <v>85824.778607884567</v>
      </c>
      <c r="BT61" s="38">
        <f t="shared" si="81"/>
        <v>161226.81349112294</v>
      </c>
      <c r="BU61" s="38">
        <f t="shared" si="81"/>
        <v>139364.30039337106</v>
      </c>
      <c r="BV61" s="38">
        <f t="shared" si="81"/>
        <v>63787.70967959446</v>
      </c>
      <c r="BW61" s="38">
        <f t="shared" si="81"/>
        <v>72177.637811790657</v>
      </c>
      <c r="BX61" s="38">
        <f t="shared" ref="BX61:CI61" si="82">BX60*BX59</f>
        <v>43258.2529850231</v>
      </c>
      <c r="BY61" s="38">
        <f t="shared" si="82"/>
        <v>109543.35987311362</v>
      </c>
      <c r="BZ61" s="38">
        <f t="shared" si="82"/>
        <v>49463.755564812702</v>
      </c>
      <c r="CA61" s="38">
        <f t="shared" si="82"/>
        <v>93962.957046547759</v>
      </c>
      <c r="CB61" s="38">
        <f t="shared" si="82"/>
        <v>119351.44055490919</v>
      </c>
      <c r="CC61" s="38">
        <f t="shared" si="82"/>
        <v>75328.819101587666</v>
      </c>
      <c r="CD61" s="38">
        <f t="shared" si="82"/>
        <v>190348.03558380765</v>
      </c>
      <c r="CE61" s="38">
        <f t="shared" si="82"/>
        <v>89090.601160239865</v>
      </c>
      <c r="CF61" s="38">
        <f t="shared" si="82"/>
        <v>167474.54029136343</v>
      </c>
      <c r="CG61" s="38">
        <f t="shared" si="82"/>
        <v>144764.82934826711</v>
      </c>
      <c r="CH61" s="38">
        <f t="shared" si="82"/>
        <v>66259.557721875011</v>
      </c>
      <c r="CI61" s="38">
        <f t="shared" si="82"/>
        <v>75214.479785063406</v>
      </c>
    </row>
    <row r="62" spans="1:87" x14ac:dyDescent="0.2">
      <c r="A62" s="1">
        <v>52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6"/>
      <c r="V62" s="16"/>
      <c r="W62" s="16"/>
      <c r="X62" s="16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x14ac:dyDescent="0.2">
      <c r="A63" s="1">
        <v>53</v>
      </c>
      <c r="B63" s="171" t="s">
        <v>88</v>
      </c>
      <c r="C63" s="1"/>
      <c r="D63" s="101">
        <f>D64*$C$64+D68*$C$68+D69*$C$69+D70*$C$70+D65+D66+D67</f>
        <v>536879.69309999992</v>
      </c>
      <c r="E63" s="101">
        <f t="shared" ref="E63:BP63" si="83">E64*$C$64+E68*$C$68+E69*$C$69+E70*$C$70+E65+E66+E67</f>
        <v>605353.77405000001</v>
      </c>
      <c r="F63" s="101">
        <f t="shared" si="83"/>
        <v>710655.36149999988</v>
      </c>
      <c r="G63" s="101">
        <f t="shared" si="83"/>
        <v>724597.03810000001</v>
      </c>
      <c r="H63" s="101">
        <f t="shared" si="83"/>
        <v>833114.0615999999</v>
      </c>
      <c r="I63" s="101">
        <f t="shared" si="83"/>
        <v>821513.03540000005</v>
      </c>
      <c r="J63" s="101">
        <f t="shared" si="83"/>
        <v>724817.21790000005</v>
      </c>
      <c r="K63" s="101">
        <f t="shared" si="83"/>
        <v>587468.8848</v>
      </c>
      <c r="L63" s="101">
        <f t="shared" si="83"/>
        <v>551121.33270000003</v>
      </c>
      <c r="M63" s="101">
        <f t="shared" si="83"/>
        <v>531666.0321999999</v>
      </c>
      <c r="N63" s="101">
        <f t="shared" si="83"/>
        <v>526607.79229999997</v>
      </c>
      <c r="O63" s="101">
        <f t="shared" si="83"/>
        <v>537267.97030000004</v>
      </c>
      <c r="P63" s="101">
        <f t="shared" si="83"/>
        <v>536879.69309999992</v>
      </c>
      <c r="Q63" s="101">
        <f t="shared" si="83"/>
        <v>605353.77405000001</v>
      </c>
      <c r="R63" s="101">
        <f t="shared" si="83"/>
        <v>710655.36149999988</v>
      </c>
      <c r="S63" s="101">
        <f t="shared" si="83"/>
        <v>724597.03810000001</v>
      </c>
      <c r="T63" s="101">
        <f t="shared" si="83"/>
        <v>833114.0615999999</v>
      </c>
      <c r="U63" s="101">
        <f t="shared" si="83"/>
        <v>821513.03540000005</v>
      </c>
      <c r="V63" s="101">
        <f t="shared" si="83"/>
        <v>724817.21790000005</v>
      </c>
      <c r="W63" s="101">
        <f t="shared" si="83"/>
        <v>587468.8848</v>
      </c>
      <c r="X63" s="101">
        <f t="shared" si="83"/>
        <v>551121.33270000003</v>
      </c>
      <c r="Y63" s="101">
        <f t="shared" si="83"/>
        <v>531666.0321999999</v>
      </c>
      <c r="Z63" s="101">
        <f t="shared" si="83"/>
        <v>526607.79229999997</v>
      </c>
      <c r="AA63" s="101">
        <f t="shared" si="83"/>
        <v>537267.97030000004</v>
      </c>
      <c r="AB63" s="101">
        <f t="shared" si="83"/>
        <v>536879.69309999992</v>
      </c>
      <c r="AC63" s="101">
        <f t="shared" si="83"/>
        <v>605353.77405000001</v>
      </c>
      <c r="AD63" s="101">
        <f t="shared" si="83"/>
        <v>710655.36149999988</v>
      </c>
      <c r="AE63" s="101">
        <f t="shared" si="83"/>
        <v>724597.03810000001</v>
      </c>
      <c r="AF63" s="101">
        <f t="shared" si="83"/>
        <v>833114.0615999999</v>
      </c>
      <c r="AG63" s="101">
        <f t="shared" si="83"/>
        <v>821513.03540000005</v>
      </c>
      <c r="AH63" s="101">
        <f t="shared" si="83"/>
        <v>724817.21790000005</v>
      </c>
      <c r="AI63" s="101">
        <f t="shared" si="83"/>
        <v>587468.8848</v>
      </c>
      <c r="AJ63" s="101">
        <f t="shared" si="83"/>
        <v>551121.33270000003</v>
      </c>
      <c r="AK63" s="101">
        <f t="shared" si="83"/>
        <v>531666.0321999999</v>
      </c>
      <c r="AL63" s="101">
        <f t="shared" si="83"/>
        <v>526607.79229999997</v>
      </c>
      <c r="AM63" s="101">
        <f t="shared" si="83"/>
        <v>537267.97030000004</v>
      </c>
      <c r="AN63" s="101">
        <f t="shared" si="83"/>
        <v>536879.69309999992</v>
      </c>
      <c r="AO63" s="101">
        <f t="shared" si="83"/>
        <v>605353.77405000001</v>
      </c>
      <c r="AP63" s="101">
        <f t="shared" si="83"/>
        <v>710655.36149999988</v>
      </c>
      <c r="AQ63" s="101">
        <f t="shared" si="83"/>
        <v>724597.03810000001</v>
      </c>
      <c r="AR63" s="101">
        <f t="shared" si="83"/>
        <v>833114.0615999999</v>
      </c>
      <c r="AS63" s="101">
        <f t="shared" si="83"/>
        <v>821513.03540000005</v>
      </c>
      <c r="AT63" s="101">
        <f t="shared" si="83"/>
        <v>724817.21790000005</v>
      </c>
      <c r="AU63" s="101">
        <f t="shared" si="83"/>
        <v>587468.8848</v>
      </c>
      <c r="AV63" s="101">
        <f t="shared" si="83"/>
        <v>551121.33270000003</v>
      </c>
      <c r="AW63" s="101">
        <f t="shared" si="83"/>
        <v>531666.0321999999</v>
      </c>
      <c r="AX63" s="101">
        <f t="shared" si="83"/>
        <v>526607.79229999997</v>
      </c>
      <c r="AY63" s="101">
        <f t="shared" si="83"/>
        <v>537267.97030000004</v>
      </c>
      <c r="AZ63" s="101">
        <f t="shared" si="83"/>
        <v>536879.69309999992</v>
      </c>
      <c r="BA63" s="101">
        <f t="shared" si="83"/>
        <v>605353.77405000001</v>
      </c>
      <c r="BB63" s="101">
        <f t="shared" si="83"/>
        <v>710655.36149999988</v>
      </c>
      <c r="BC63" s="101">
        <f t="shared" si="83"/>
        <v>724597.03810000001</v>
      </c>
      <c r="BD63" s="101">
        <f t="shared" si="83"/>
        <v>833114.0615999999</v>
      </c>
      <c r="BE63" s="101">
        <f t="shared" si="83"/>
        <v>821513.03540000005</v>
      </c>
      <c r="BF63" s="101">
        <f t="shared" si="83"/>
        <v>724817.21790000005</v>
      </c>
      <c r="BG63" s="101">
        <f t="shared" si="83"/>
        <v>587468.8848</v>
      </c>
      <c r="BH63" s="101">
        <f t="shared" si="83"/>
        <v>551121.33270000003</v>
      </c>
      <c r="BI63" s="101">
        <f t="shared" si="83"/>
        <v>531666.0321999999</v>
      </c>
      <c r="BJ63" s="101">
        <f t="shared" si="83"/>
        <v>526607.79229999997</v>
      </c>
      <c r="BK63" s="101">
        <f t="shared" si="83"/>
        <v>537267.97030000004</v>
      </c>
      <c r="BL63" s="101">
        <f t="shared" si="83"/>
        <v>536879.69309999992</v>
      </c>
      <c r="BM63" s="101">
        <f t="shared" si="83"/>
        <v>605353.77405000001</v>
      </c>
      <c r="BN63" s="101">
        <f t="shared" si="83"/>
        <v>710655.36149999988</v>
      </c>
      <c r="BO63" s="101">
        <f t="shared" si="83"/>
        <v>724597.03810000001</v>
      </c>
      <c r="BP63" s="101">
        <f t="shared" si="83"/>
        <v>833114.0615999999</v>
      </c>
      <c r="BQ63" s="101">
        <f t="shared" ref="BQ63:CI63" si="84">BQ64*$C$64+BQ68*$C$68+BQ69*$C$69+BQ70*$C$70+BQ65+BQ66+BQ67</f>
        <v>821513.03540000005</v>
      </c>
      <c r="BR63" s="101">
        <f t="shared" si="84"/>
        <v>724817.21790000005</v>
      </c>
      <c r="BS63" s="101">
        <f t="shared" si="84"/>
        <v>587468.8848</v>
      </c>
      <c r="BT63" s="101">
        <f t="shared" si="84"/>
        <v>551121.33270000003</v>
      </c>
      <c r="BU63" s="101">
        <f t="shared" si="84"/>
        <v>531666.0321999999</v>
      </c>
      <c r="BV63" s="101">
        <f t="shared" si="84"/>
        <v>526607.79229999997</v>
      </c>
      <c r="BW63" s="101">
        <f t="shared" si="84"/>
        <v>537267.97030000004</v>
      </c>
      <c r="BX63" s="101">
        <f t="shared" si="84"/>
        <v>536879.69309999992</v>
      </c>
      <c r="BY63" s="101">
        <f t="shared" si="84"/>
        <v>605353.77405000001</v>
      </c>
      <c r="BZ63" s="101">
        <f t="shared" si="84"/>
        <v>710655.36149999988</v>
      </c>
      <c r="CA63" s="101">
        <f t="shared" si="84"/>
        <v>724597.03810000001</v>
      </c>
      <c r="CB63" s="101">
        <f t="shared" si="84"/>
        <v>833114.0615999999</v>
      </c>
      <c r="CC63" s="101">
        <f t="shared" si="84"/>
        <v>821513.03540000005</v>
      </c>
      <c r="CD63" s="101">
        <f t="shared" si="84"/>
        <v>724817.21790000005</v>
      </c>
      <c r="CE63" s="101">
        <f t="shared" si="84"/>
        <v>587468.8848</v>
      </c>
      <c r="CF63" s="101">
        <f t="shared" si="84"/>
        <v>551121.33270000003</v>
      </c>
      <c r="CG63" s="101">
        <f t="shared" si="84"/>
        <v>531666.0321999999</v>
      </c>
      <c r="CH63" s="101">
        <f t="shared" si="84"/>
        <v>526607.79229999997</v>
      </c>
      <c r="CI63" s="101">
        <f t="shared" si="84"/>
        <v>537267.97030000004</v>
      </c>
    </row>
    <row r="64" spans="1:87" x14ac:dyDescent="0.2">
      <c r="A64" s="1">
        <v>54</v>
      </c>
      <c r="B64" s="1" t="s">
        <v>87</v>
      </c>
      <c r="C64" s="214">
        <f>'Rate Design'!F15</f>
        <v>390.12</v>
      </c>
      <c r="D64" s="70">
        <f>'Bill Frequency'!C53+'Contract &amp; Vol Adj'!C53</f>
        <v>123</v>
      </c>
      <c r="E64" s="70">
        <f>'Bill Frequency'!D53+'Contract &amp; Vol Adj'!D53</f>
        <v>123</v>
      </c>
      <c r="F64" s="70">
        <f>'Bill Frequency'!E53+'Contract &amp; Vol Adj'!E53</f>
        <v>123</v>
      </c>
      <c r="G64" s="70">
        <f>'Bill Frequency'!F53+'Contract &amp; Vol Adj'!F53</f>
        <v>123</v>
      </c>
      <c r="H64" s="70">
        <f>'Bill Frequency'!G53+'Contract &amp; Vol Adj'!G53</f>
        <v>123</v>
      </c>
      <c r="I64" s="70">
        <f>'Bill Frequency'!H53+'Contract &amp; Vol Adj'!H53</f>
        <v>123</v>
      </c>
      <c r="J64" s="70">
        <f>'Bill Frequency'!I53+'Contract &amp; Vol Adj'!I53</f>
        <v>123</v>
      </c>
      <c r="K64" s="70">
        <f>'Bill Frequency'!J53+'Contract &amp; Vol Adj'!J53</f>
        <v>123</v>
      </c>
      <c r="L64" s="70">
        <f>'Bill Frequency'!K53+'Contract &amp; Vol Adj'!K53</f>
        <v>123</v>
      </c>
      <c r="M64" s="70">
        <f>'Bill Frequency'!L53+'Contract &amp; Vol Adj'!L53</f>
        <v>123</v>
      </c>
      <c r="N64" s="70">
        <f>'Bill Frequency'!M53+'Contract &amp; Vol Adj'!M53</f>
        <v>123</v>
      </c>
      <c r="O64" s="70">
        <f>'Bill Frequency'!N53+'Contract &amp; Vol Adj'!N53</f>
        <v>123</v>
      </c>
      <c r="P64" s="6">
        <f t="shared" ref="P64:Y70" si="85">D64</f>
        <v>123</v>
      </c>
      <c r="Q64" s="6">
        <f t="shared" si="85"/>
        <v>123</v>
      </c>
      <c r="R64" s="6">
        <f t="shared" si="85"/>
        <v>123</v>
      </c>
      <c r="S64" s="6">
        <f t="shared" si="85"/>
        <v>123</v>
      </c>
      <c r="T64" s="6">
        <f t="shared" si="85"/>
        <v>123</v>
      </c>
      <c r="U64" s="6">
        <f t="shared" si="85"/>
        <v>123</v>
      </c>
      <c r="V64" s="6">
        <f t="shared" si="85"/>
        <v>123</v>
      </c>
      <c r="W64" s="6">
        <f t="shared" si="85"/>
        <v>123</v>
      </c>
      <c r="X64" s="6">
        <f t="shared" si="85"/>
        <v>123</v>
      </c>
      <c r="Y64" s="6">
        <f t="shared" si="85"/>
        <v>123</v>
      </c>
      <c r="Z64" s="6">
        <f t="shared" ref="Z64:AI70" si="86">N64</f>
        <v>123</v>
      </c>
      <c r="AA64" s="6">
        <f t="shared" si="86"/>
        <v>123</v>
      </c>
      <c r="AB64" s="6">
        <f t="shared" si="86"/>
        <v>123</v>
      </c>
      <c r="AC64" s="6">
        <f t="shared" si="86"/>
        <v>123</v>
      </c>
      <c r="AD64" s="6">
        <f t="shared" si="86"/>
        <v>123</v>
      </c>
      <c r="AE64" s="6">
        <f t="shared" si="86"/>
        <v>123</v>
      </c>
      <c r="AF64" s="6">
        <f t="shared" si="86"/>
        <v>123</v>
      </c>
      <c r="AG64" s="6">
        <f t="shared" si="86"/>
        <v>123</v>
      </c>
      <c r="AH64" s="6">
        <f t="shared" si="86"/>
        <v>123</v>
      </c>
      <c r="AI64" s="6">
        <f t="shared" si="86"/>
        <v>123</v>
      </c>
      <c r="AJ64" s="6">
        <f t="shared" ref="AJ64:AS70" si="87">X64</f>
        <v>123</v>
      </c>
      <c r="AK64" s="6">
        <f t="shared" si="87"/>
        <v>123</v>
      </c>
      <c r="AL64" s="6">
        <f t="shared" si="87"/>
        <v>123</v>
      </c>
      <c r="AM64" s="6">
        <f t="shared" si="87"/>
        <v>123</v>
      </c>
      <c r="AN64" s="6">
        <f t="shared" si="87"/>
        <v>123</v>
      </c>
      <c r="AO64" s="6">
        <f t="shared" si="87"/>
        <v>123</v>
      </c>
      <c r="AP64" s="6">
        <f t="shared" si="87"/>
        <v>123</v>
      </c>
      <c r="AQ64" s="6">
        <f t="shared" si="87"/>
        <v>123</v>
      </c>
      <c r="AR64" s="6">
        <f t="shared" si="87"/>
        <v>123</v>
      </c>
      <c r="AS64" s="6">
        <f t="shared" si="87"/>
        <v>123</v>
      </c>
      <c r="AT64" s="6">
        <f t="shared" ref="AT64:BC70" si="88">AH64</f>
        <v>123</v>
      </c>
      <c r="AU64" s="6">
        <f t="shared" si="88"/>
        <v>123</v>
      </c>
      <c r="AV64" s="6">
        <f t="shared" si="88"/>
        <v>123</v>
      </c>
      <c r="AW64" s="6">
        <f t="shared" si="88"/>
        <v>123</v>
      </c>
      <c r="AX64" s="6">
        <f t="shared" si="88"/>
        <v>123</v>
      </c>
      <c r="AY64" s="6">
        <f t="shared" si="88"/>
        <v>123</v>
      </c>
      <c r="AZ64" s="6">
        <f t="shared" si="88"/>
        <v>123</v>
      </c>
      <c r="BA64" s="6">
        <f t="shared" si="88"/>
        <v>123</v>
      </c>
      <c r="BB64" s="6">
        <f t="shared" si="88"/>
        <v>123</v>
      </c>
      <c r="BC64" s="6">
        <f t="shared" si="88"/>
        <v>123</v>
      </c>
      <c r="BD64" s="6">
        <f t="shared" ref="BD64:BS70" si="89">AR64</f>
        <v>123</v>
      </c>
      <c r="BE64" s="6">
        <f t="shared" si="89"/>
        <v>123</v>
      </c>
      <c r="BF64" s="6">
        <f t="shared" si="89"/>
        <v>123</v>
      </c>
      <c r="BG64" s="6">
        <f t="shared" si="89"/>
        <v>123</v>
      </c>
      <c r="BH64" s="6">
        <f t="shared" si="89"/>
        <v>123</v>
      </c>
      <c r="BI64" s="6">
        <f t="shared" si="89"/>
        <v>123</v>
      </c>
      <c r="BJ64" s="6">
        <f t="shared" si="89"/>
        <v>123</v>
      </c>
      <c r="BK64" s="6">
        <f t="shared" si="89"/>
        <v>123</v>
      </c>
      <c r="BL64" s="6">
        <f t="shared" si="89"/>
        <v>123</v>
      </c>
      <c r="BM64" s="6">
        <f t="shared" si="89"/>
        <v>123</v>
      </c>
      <c r="BN64" s="6">
        <f t="shared" si="89"/>
        <v>123</v>
      </c>
      <c r="BO64" s="6">
        <f t="shared" si="89"/>
        <v>123</v>
      </c>
      <c r="BP64" s="6">
        <f t="shared" si="89"/>
        <v>123</v>
      </c>
      <c r="BQ64" s="6">
        <f t="shared" si="89"/>
        <v>123</v>
      </c>
      <c r="BR64" s="6">
        <f t="shared" si="89"/>
        <v>123</v>
      </c>
      <c r="BS64" s="6">
        <f t="shared" si="89"/>
        <v>123</v>
      </c>
      <c r="BT64" s="6">
        <f t="shared" ref="BT64:BW70" si="90">BH64</f>
        <v>123</v>
      </c>
      <c r="BU64" s="6">
        <f t="shared" si="90"/>
        <v>123</v>
      </c>
      <c r="BV64" s="6">
        <f t="shared" si="90"/>
        <v>123</v>
      </c>
      <c r="BW64" s="6">
        <f t="shared" si="90"/>
        <v>123</v>
      </c>
      <c r="BX64" s="6">
        <f t="shared" ref="BX64:BX70" si="91">BL64</f>
        <v>123</v>
      </c>
      <c r="BY64" s="6">
        <f t="shared" ref="BY64:BY70" si="92">BM64</f>
        <v>123</v>
      </c>
      <c r="BZ64" s="6">
        <f t="shared" ref="BZ64:BZ70" si="93">BN64</f>
        <v>123</v>
      </c>
      <c r="CA64" s="6">
        <f t="shared" ref="CA64:CA70" si="94">BO64</f>
        <v>123</v>
      </c>
      <c r="CB64" s="6">
        <f t="shared" ref="CB64:CB70" si="95">BP64</f>
        <v>123</v>
      </c>
      <c r="CC64" s="6">
        <f t="shared" ref="CC64:CC70" si="96">BQ64</f>
        <v>123</v>
      </c>
      <c r="CD64" s="6">
        <f t="shared" ref="CD64:CD70" si="97">BR64</f>
        <v>123</v>
      </c>
      <c r="CE64" s="6">
        <f t="shared" ref="CE64:CE70" si="98">BS64</f>
        <v>123</v>
      </c>
      <c r="CF64" s="6">
        <f t="shared" ref="CF64:CF70" si="99">BT64</f>
        <v>123</v>
      </c>
      <c r="CG64" s="6">
        <f t="shared" ref="CG64:CG70" si="100">BU64</f>
        <v>123</v>
      </c>
      <c r="CH64" s="6">
        <f t="shared" ref="CH64:CH70" si="101">BV64</f>
        <v>123</v>
      </c>
      <c r="CI64" s="6">
        <f t="shared" ref="CI64:CI70" si="102">BW64</f>
        <v>123</v>
      </c>
    </row>
    <row r="65" spans="1:89" x14ac:dyDescent="0.2">
      <c r="A65" s="1">
        <v>55</v>
      </c>
      <c r="B65" s="1" t="s">
        <v>1</v>
      </c>
      <c r="C65" s="1"/>
      <c r="D65" s="60">
        <f>'Bill Frequency'!C54+'Contract &amp; Vol Adj'!C54</f>
        <v>6050</v>
      </c>
      <c r="E65" s="60">
        <f>'Bill Frequency'!D54+'Contract &amp; Vol Adj'!D54</f>
        <v>6050</v>
      </c>
      <c r="F65" s="60">
        <f>'Bill Frequency'!E54+'Contract &amp; Vol Adj'!E54</f>
        <v>6050</v>
      </c>
      <c r="G65" s="60">
        <f>'Bill Frequency'!F54+'Contract &amp; Vol Adj'!F54</f>
        <v>6050</v>
      </c>
      <c r="H65" s="60">
        <f>'Bill Frequency'!G54+'Contract &amp; Vol Adj'!G54</f>
        <v>6050</v>
      </c>
      <c r="I65" s="60">
        <f>'Bill Frequency'!H54+'Contract &amp; Vol Adj'!H54</f>
        <v>6050</v>
      </c>
      <c r="J65" s="60">
        <f>'Bill Frequency'!I54+'Contract &amp; Vol Adj'!I54</f>
        <v>6050</v>
      </c>
      <c r="K65" s="60">
        <f>'Bill Frequency'!J54+'Contract &amp; Vol Adj'!J54</f>
        <v>6050</v>
      </c>
      <c r="L65" s="60">
        <f>'Bill Frequency'!K54+'Contract &amp; Vol Adj'!K54</f>
        <v>6050</v>
      </c>
      <c r="M65" s="60">
        <f>'Bill Frequency'!L54+'Contract &amp; Vol Adj'!L54</f>
        <v>6050</v>
      </c>
      <c r="N65" s="60">
        <f>'Bill Frequency'!M54+'Contract &amp; Vol Adj'!M54</f>
        <v>6050</v>
      </c>
      <c r="O65" s="60">
        <f>'Bill Frequency'!N54+'Contract &amp; Vol Adj'!N54</f>
        <v>6050</v>
      </c>
      <c r="P65" s="60">
        <f t="shared" si="85"/>
        <v>6050</v>
      </c>
      <c r="Q65" s="60">
        <f t="shared" si="85"/>
        <v>6050</v>
      </c>
      <c r="R65" s="60">
        <f t="shared" si="85"/>
        <v>6050</v>
      </c>
      <c r="S65" s="60">
        <f t="shared" si="85"/>
        <v>6050</v>
      </c>
      <c r="T65" s="60">
        <f t="shared" si="85"/>
        <v>6050</v>
      </c>
      <c r="U65" s="60">
        <f t="shared" si="85"/>
        <v>6050</v>
      </c>
      <c r="V65" s="60">
        <f t="shared" si="85"/>
        <v>6050</v>
      </c>
      <c r="W65" s="60">
        <f t="shared" si="85"/>
        <v>6050</v>
      </c>
      <c r="X65" s="60">
        <f t="shared" si="85"/>
        <v>6050</v>
      </c>
      <c r="Y65" s="60">
        <f t="shared" si="85"/>
        <v>6050</v>
      </c>
      <c r="Z65" s="60">
        <f t="shared" si="86"/>
        <v>6050</v>
      </c>
      <c r="AA65" s="60">
        <f t="shared" si="86"/>
        <v>6050</v>
      </c>
      <c r="AB65" s="60">
        <f t="shared" si="86"/>
        <v>6050</v>
      </c>
      <c r="AC65" s="60">
        <f t="shared" si="86"/>
        <v>6050</v>
      </c>
      <c r="AD65" s="60">
        <f t="shared" si="86"/>
        <v>6050</v>
      </c>
      <c r="AE65" s="60">
        <f t="shared" si="86"/>
        <v>6050</v>
      </c>
      <c r="AF65" s="60">
        <f t="shared" si="86"/>
        <v>6050</v>
      </c>
      <c r="AG65" s="60">
        <f t="shared" si="86"/>
        <v>6050</v>
      </c>
      <c r="AH65" s="60">
        <f t="shared" si="86"/>
        <v>6050</v>
      </c>
      <c r="AI65" s="60">
        <f t="shared" si="86"/>
        <v>6050</v>
      </c>
      <c r="AJ65" s="60">
        <f t="shared" si="87"/>
        <v>6050</v>
      </c>
      <c r="AK65" s="60">
        <f t="shared" si="87"/>
        <v>6050</v>
      </c>
      <c r="AL65" s="60">
        <f t="shared" si="87"/>
        <v>6050</v>
      </c>
      <c r="AM65" s="60">
        <f t="shared" si="87"/>
        <v>6050</v>
      </c>
      <c r="AN65" s="60">
        <f t="shared" si="87"/>
        <v>6050</v>
      </c>
      <c r="AO65" s="60">
        <f t="shared" si="87"/>
        <v>6050</v>
      </c>
      <c r="AP65" s="60">
        <f t="shared" si="87"/>
        <v>6050</v>
      </c>
      <c r="AQ65" s="60">
        <f t="shared" si="87"/>
        <v>6050</v>
      </c>
      <c r="AR65" s="60">
        <f t="shared" si="87"/>
        <v>6050</v>
      </c>
      <c r="AS65" s="60">
        <f t="shared" si="87"/>
        <v>6050</v>
      </c>
      <c r="AT65" s="60">
        <f t="shared" si="88"/>
        <v>6050</v>
      </c>
      <c r="AU65" s="60">
        <f t="shared" si="88"/>
        <v>6050</v>
      </c>
      <c r="AV65" s="60">
        <f t="shared" si="88"/>
        <v>6050</v>
      </c>
      <c r="AW65" s="60">
        <f t="shared" si="88"/>
        <v>6050</v>
      </c>
      <c r="AX65" s="60">
        <f t="shared" si="88"/>
        <v>6050</v>
      </c>
      <c r="AY65" s="60">
        <f t="shared" si="88"/>
        <v>6050</v>
      </c>
      <c r="AZ65" s="60">
        <f t="shared" si="88"/>
        <v>6050</v>
      </c>
      <c r="BA65" s="60">
        <f t="shared" si="88"/>
        <v>6050</v>
      </c>
      <c r="BB65" s="60">
        <f t="shared" si="88"/>
        <v>6050</v>
      </c>
      <c r="BC65" s="60">
        <f t="shared" si="88"/>
        <v>6050</v>
      </c>
      <c r="BD65" s="60">
        <f t="shared" si="89"/>
        <v>6050</v>
      </c>
      <c r="BE65" s="60">
        <f t="shared" si="89"/>
        <v>6050</v>
      </c>
      <c r="BF65" s="60">
        <f t="shared" si="89"/>
        <v>6050</v>
      </c>
      <c r="BG65" s="60">
        <f t="shared" si="89"/>
        <v>6050</v>
      </c>
      <c r="BH65" s="60">
        <f t="shared" si="89"/>
        <v>6050</v>
      </c>
      <c r="BI65" s="60">
        <f t="shared" si="89"/>
        <v>6050</v>
      </c>
      <c r="BJ65" s="60">
        <f t="shared" si="89"/>
        <v>6050</v>
      </c>
      <c r="BK65" s="60">
        <f t="shared" si="89"/>
        <v>6050</v>
      </c>
      <c r="BL65" s="60">
        <f t="shared" si="89"/>
        <v>6050</v>
      </c>
      <c r="BM65" s="60">
        <f t="shared" si="89"/>
        <v>6050</v>
      </c>
      <c r="BN65" s="60">
        <f t="shared" si="89"/>
        <v>6050</v>
      </c>
      <c r="BO65" s="60">
        <f t="shared" si="89"/>
        <v>6050</v>
      </c>
      <c r="BP65" s="60">
        <f t="shared" si="89"/>
        <v>6050</v>
      </c>
      <c r="BQ65" s="60">
        <f t="shared" si="89"/>
        <v>6050</v>
      </c>
      <c r="BR65" s="60">
        <f t="shared" si="89"/>
        <v>6050</v>
      </c>
      <c r="BS65" s="60">
        <f t="shared" si="89"/>
        <v>6050</v>
      </c>
      <c r="BT65" s="60">
        <f t="shared" si="90"/>
        <v>6050</v>
      </c>
      <c r="BU65" s="60">
        <f t="shared" si="90"/>
        <v>6050</v>
      </c>
      <c r="BV65" s="60">
        <f t="shared" si="90"/>
        <v>6050</v>
      </c>
      <c r="BW65" s="60">
        <f t="shared" si="90"/>
        <v>6050</v>
      </c>
      <c r="BX65" s="60">
        <f t="shared" si="91"/>
        <v>6050</v>
      </c>
      <c r="BY65" s="60">
        <f t="shared" si="92"/>
        <v>6050</v>
      </c>
      <c r="BZ65" s="60">
        <f t="shared" si="93"/>
        <v>6050</v>
      </c>
      <c r="CA65" s="60">
        <f t="shared" si="94"/>
        <v>6050</v>
      </c>
      <c r="CB65" s="60">
        <f t="shared" si="95"/>
        <v>6050</v>
      </c>
      <c r="CC65" s="60">
        <f t="shared" si="96"/>
        <v>6050</v>
      </c>
      <c r="CD65" s="60">
        <f t="shared" si="97"/>
        <v>6050</v>
      </c>
      <c r="CE65" s="60">
        <f t="shared" si="98"/>
        <v>6050</v>
      </c>
      <c r="CF65" s="60">
        <f t="shared" si="99"/>
        <v>6050</v>
      </c>
      <c r="CG65" s="60">
        <f t="shared" si="100"/>
        <v>6050</v>
      </c>
      <c r="CH65" s="60">
        <f t="shared" si="101"/>
        <v>6050</v>
      </c>
      <c r="CI65" s="60">
        <f t="shared" si="102"/>
        <v>6050</v>
      </c>
    </row>
    <row r="66" spans="1:89" x14ac:dyDescent="0.2">
      <c r="A66" s="1">
        <v>56</v>
      </c>
      <c r="B66" s="1" t="s">
        <v>62</v>
      </c>
      <c r="C66" s="1"/>
      <c r="D66" s="60">
        <f>'Bill Frequency'!C55+'Contract &amp; Vol Adj'!C55</f>
        <v>6025</v>
      </c>
      <c r="E66" s="60">
        <f>'Bill Frequency'!D55+'Contract &amp; Vol Adj'!D55</f>
        <v>6025</v>
      </c>
      <c r="F66" s="60">
        <f>'Bill Frequency'!E55+'Contract &amp; Vol Adj'!E55</f>
        <v>6050</v>
      </c>
      <c r="G66" s="60">
        <f>'Bill Frequency'!F55+'Contract &amp; Vol Adj'!F55</f>
        <v>6050</v>
      </c>
      <c r="H66" s="60">
        <f>'Bill Frequency'!G55+'Contract &amp; Vol Adj'!G55</f>
        <v>6050</v>
      </c>
      <c r="I66" s="60">
        <f>'Bill Frequency'!H55+'Contract &amp; Vol Adj'!H55</f>
        <v>6050</v>
      </c>
      <c r="J66" s="60">
        <f>'Bill Frequency'!I55+'Contract &amp; Vol Adj'!I55</f>
        <v>6050</v>
      </c>
      <c r="K66" s="60">
        <f>'Bill Frequency'!J55+'Contract &amp; Vol Adj'!J55</f>
        <v>6075</v>
      </c>
      <c r="L66" s="60">
        <f>'Bill Frequency'!K55+'Contract &amp; Vol Adj'!K55</f>
        <v>6075</v>
      </c>
      <c r="M66" s="60">
        <f>'Bill Frequency'!L55+'Contract &amp; Vol Adj'!L55</f>
        <v>6175</v>
      </c>
      <c r="N66" s="60">
        <f>'Bill Frequency'!M55+'Contract &amp; Vol Adj'!M55</f>
        <v>6175</v>
      </c>
      <c r="O66" s="60">
        <f>'Bill Frequency'!N55+'Contract &amp; Vol Adj'!N55</f>
        <v>6200</v>
      </c>
      <c r="P66" s="60">
        <f t="shared" si="85"/>
        <v>6025</v>
      </c>
      <c r="Q66" s="60">
        <f t="shared" si="85"/>
        <v>6025</v>
      </c>
      <c r="R66" s="60">
        <f t="shared" si="85"/>
        <v>6050</v>
      </c>
      <c r="S66" s="60">
        <f t="shared" si="85"/>
        <v>6050</v>
      </c>
      <c r="T66" s="60">
        <f t="shared" si="85"/>
        <v>6050</v>
      </c>
      <c r="U66" s="60">
        <f t="shared" si="85"/>
        <v>6050</v>
      </c>
      <c r="V66" s="60">
        <f t="shared" si="85"/>
        <v>6050</v>
      </c>
      <c r="W66" s="60">
        <f t="shared" si="85"/>
        <v>6075</v>
      </c>
      <c r="X66" s="60">
        <f t="shared" si="85"/>
        <v>6075</v>
      </c>
      <c r="Y66" s="60">
        <f t="shared" si="85"/>
        <v>6175</v>
      </c>
      <c r="Z66" s="60">
        <f t="shared" si="86"/>
        <v>6175</v>
      </c>
      <c r="AA66" s="60">
        <f t="shared" si="86"/>
        <v>6200</v>
      </c>
      <c r="AB66" s="60">
        <f t="shared" si="86"/>
        <v>6025</v>
      </c>
      <c r="AC66" s="60">
        <f t="shared" si="86"/>
        <v>6025</v>
      </c>
      <c r="AD66" s="60">
        <f t="shared" si="86"/>
        <v>6050</v>
      </c>
      <c r="AE66" s="60">
        <f t="shared" si="86"/>
        <v>6050</v>
      </c>
      <c r="AF66" s="60">
        <f t="shared" si="86"/>
        <v>6050</v>
      </c>
      <c r="AG66" s="60">
        <f t="shared" si="86"/>
        <v>6050</v>
      </c>
      <c r="AH66" s="60">
        <f t="shared" si="86"/>
        <v>6050</v>
      </c>
      <c r="AI66" s="60">
        <f t="shared" si="86"/>
        <v>6075</v>
      </c>
      <c r="AJ66" s="60">
        <f t="shared" si="87"/>
        <v>6075</v>
      </c>
      <c r="AK66" s="60">
        <f t="shared" si="87"/>
        <v>6175</v>
      </c>
      <c r="AL66" s="60">
        <f t="shared" si="87"/>
        <v>6175</v>
      </c>
      <c r="AM66" s="60">
        <f t="shared" si="87"/>
        <v>6200</v>
      </c>
      <c r="AN66" s="60">
        <f t="shared" si="87"/>
        <v>6025</v>
      </c>
      <c r="AO66" s="60">
        <f t="shared" si="87"/>
        <v>6025</v>
      </c>
      <c r="AP66" s="60">
        <f t="shared" si="87"/>
        <v>6050</v>
      </c>
      <c r="AQ66" s="60">
        <f t="shared" si="87"/>
        <v>6050</v>
      </c>
      <c r="AR66" s="60">
        <f t="shared" si="87"/>
        <v>6050</v>
      </c>
      <c r="AS66" s="60">
        <f t="shared" si="87"/>
        <v>6050</v>
      </c>
      <c r="AT66" s="60">
        <f t="shared" si="88"/>
        <v>6050</v>
      </c>
      <c r="AU66" s="60">
        <f t="shared" si="88"/>
        <v>6075</v>
      </c>
      <c r="AV66" s="60">
        <f t="shared" si="88"/>
        <v>6075</v>
      </c>
      <c r="AW66" s="60">
        <f t="shared" si="88"/>
        <v>6175</v>
      </c>
      <c r="AX66" s="60">
        <f t="shared" si="88"/>
        <v>6175</v>
      </c>
      <c r="AY66" s="60">
        <f t="shared" si="88"/>
        <v>6200</v>
      </c>
      <c r="AZ66" s="60">
        <f t="shared" si="88"/>
        <v>6025</v>
      </c>
      <c r="BA66" s="60">
        <f t="shared" si="88"/>
        <v>6025</v>
      </c>
      <c r="BB66" s="60">
        <f t="shared" si="88"/>
        <v>6050</v>
      </c>
      <c r="BC66" s="60">
        <f t="shared" si="88"/>
        <v>6050</v>
      </c>
      <c r="BD66" s="60">
        <f t="shared" si="89"/>
        <v>6050</v>
      </c>
      <c r="BE66" s="60">
        <f t="shared" si="89"/>
        <v>6050</v>
      </c>
      <c r="BF66" s="60">
        <f t="shared" si="89"/>
        <v>6050</v>
      </c>
      <c r="BG66" s="60">
        <f t="shared" si="89"/>
        <v>6075</v>
      </c>
      <c r="BH66" s="60">
        <f t="shared" si="89"/>
        <v>6075</v>
      </c>
      <c r="BI66" s="60">
        <f t="shared" si="89"/>
        <v>6175</v>
      </c>
      <c r="BJ66" s="60">
        <f t="shared" si="89"/>
        <v>6175</v>
      </c>
      <c r="BK66" s="60">
        <f t="shared" si="89"/>
        <v>6200</v>
      </c>
      <c r="BL66" s="60">
        <f t="shared" si="89"/>
        <v>6025</v>
      </c>
      <c r="BM66" s="60">
        <f t="shared" si="89"/>
        <v>6025</v>
      </c>
      <c r="BN66" s="60">
        <f t="shared" si="89"/>
        <v>6050</v>
      </c>
      <c r="BO66" s="60">
        <f t="shared" si="89"/>
        <v>6050</v>
      </c>
      <c r="BP66" s="60">
        <f t="shared" si="89"/>
        <v>6050</v>
      </c>
      <c r="BQ66" s="60">
        <f t="shared" si="89"/>
        <v>6050</v>
      </c>
      <c r="BR66" s="60">
        <f t="shared" si="89"/>
        <v>6050</v>
      </c>
      <c r="BS66" s="60">
        <f t="shared" si="89"/>
        <v>6075</v>
      </c>
      <c r="BT66" s="60">
        <f t="shared" si="90"/>
        <v>6075</v>
      </c>
      <c r="BU66" s="60">
        <f t="shared" si="90"/>
        <v>6175</v>
      </c>
      <c r="BV66" s="60">
        <f t="shared" si="90"/>
        <v>6175</v>
      </c>
      <c r="BW66" s="60">
        <f t="shared" si="90"/>
        <v>6200</v>
      </c>
      <c r="BX66" s="60">
        <f t="shared" si="91"/>
        <v>6025</v>
      </c>
      <c r="BY66" s="60">
        <f t="shared" si="92"/>
        <v>6025</v>
      </c>
      <c r="BZ66" s="60">
        <f t="shared" si="93"/>
        <v>6050</v>
      </c>
      <c r="CA66" s="60">
        <f t="shared" si="94"/>
        <v>6050</v>
      </c>
      <c r="CB66" s="60">
        <f t="shared" si="95"/>
        <v>6050</v>
      </c>
      <c r="CC66" s="60">
        <f t="shared" si="96"/>
        <v>6050</v>
      </c>
      <c r="CD66" s="60">
        <f t="shared" si="97"/>
        <v>6050</v>
      </c>
      <c r="CE66" s="60">
        <f t="shared" si="98"/>
        <v>6075</v>
      </c>
      <c r="CF66" s="60">
        <f t="shared" si="99"/>
        <v>6075</v>
      </c>
      <c r="CG66" s="60">
        <f t="shared" si="100"/>
        <v>6175</v>
      </c>
      <c r="CH66" s="60">
        <f t="shared" si="101"/>
        <v>6175</v>
      </c>
      <c r="CI66" s="60">
        <f t="shared" si="102"/>
        <v>6200</v>
      </c>
    </row>
    <row r="67" spans="1:89" x14ac:dyDescent="0.2">
      <c r="A67" s="1">
        <v>57</v>
      </c>
      <c r="B67" s="1" t="s">
        <v>2</v>
      </c>
      <c r="C67" s="1"/>
      <c r="D67" s="60">
        <f>'Bill Frequency'!C56+'Contract &amp; Vol Adj'!C56</f>
        <v>39.6</v>
      </c>
      <c r="E67" s="60">
        <f>'Bill Frequency'!D56+'Contract &amp; Vol Adj'!D56</f>
        <v>42.3</v>
      </c>
      <c r="F67" s="60">
        <f>'Bill Frequency'!E56+'Contract &amp; Vol Adj'!E56</f>
        <v>115.69999999999999</v>
      </c>
      <c r="G67" s="60">
        <f>'Bill Frequency'!F56+'Contract &amp; Vol Adj'!F56</f>
        <v>143.30000000000001</v>
      </c>
      <c r="H67" s="60">
        <f>'Bill Frequency'!G56+'Contract &amp; Vol Adj'!G56</f>
        <v>173.89999999999998</v>
      </c>
      <c r="I67" s="60">
        <f>'Bill Frequency'!H56+'Contract &amp; Vol Adj'!H56</f>
        <v>182.5</v>
      </c>
      <c r="J67" s="60">
        <f>'Bill Frequency'!I56+'Contract &amp; Vol Adj'!I56</f>
        <v>70.400000000000006</v>
      </c>
      <c r="K67" s="60">
        <f>'Bill Frequency'!J56+'Contract &amp; Vol Adj'!J56</f>
        <v>23.1</v>
      </c>
      <c r="L67" s="60">
        <f>'Bill Frequency'!K56+'Contract &amp; Vol Adj'!K56</f>
        <v>25.8</v>
      </c>
      <c r="M67" s="60">
        <f>'Bill Frequency'!L56+'Contract &amp; Vol Adj'!L56</f>
        <v>31.1</v>
      </c>
      <c r="N67" s="60">
        <f>'Bill Frequency'!M56+'Contract &amp; Vol Adj'!M56</f>
        <v>34.4</v>
      </c>
      <c r="O67" s="60">
        <f>'Bill Frequency'!N56+'Contract &amp; Vol Adj'!N56</f>
        <v>30.799999999999997</v>
      </c>
      <c r="P67" s="60">
        <f t="shared" si="85"/>
        <v>39.6</v>
      </c>
      <c r="Q67" s="60">
        <f t="shared" si="85"/>
        <v>42.3</v>
      </c>
      <c r="R67" s="60">
        <f t="shared" si="85"/>
        <v>115.69999999999999</v>
      </c>
      <c r="S67" s="60">
        <f t="shared" si="85"/>
        <v>143.30000000000001</v>
      </c>
      <c r="T67" s="60">
        <f t="shared" si="85"/>
        <v>173.89999999999998</v>
      </c>
      <c r="U67" s="60">
        <f t="shared" si="85"/>
        <v>182.5</v>
      </c>
      <c r="V67" s="60">
        <f t="shared" si="85"/>
        <v>70.400000000000006</v>
      </c>
      <c r="W67" s="60">
        <f t="shared" si="85"/>
        <v>23.1</v>
      </c>
      <c r="X67" s="60">
        <f t="shared" si="85"/>
        <v>25.8</v>
      </c>
      <c r="Y67" s="60">
        <f t="shared" si="85"/>
        <v>31.1</v>
      </c>
      <c r="Z67" s="60">
        <f t="shared" si="86"/>
        <v>34.4</v>
      </c>
      <c r="AA67" s="60">
        <f t="shared" si="86"/>
        <v>30.799999999999997</v>
      </c>
      <c r="AB67" s="60">
        <f t="shared" si="86"/>
        <v>39.6</v>
      </c>
      <c r="AC67" s="60">
        <f t="shared" si="86"/>
        <v>42.3</v>
      </c>
      <c r="AD67" s="60">
        <f t="shared" si="86"/>
        <v>115.69999999999999</v>
      </c>
      <c r="AE67" s="60">
        <f t="shared" si="86"/>
        <v>143.30000000000001</v>
      </c>
      <c r="AF67" s="60">
        <f t="shared" si="86"/>
        <v>173.89999999999998</v>
      </c>
      <c r="AG67" s="60">
        <f t="shared" si="86"/>
        <v>182.5</v>
      </c>
      <c r="AH67" s="60">
        <f t="shared" si="86"/>
        <v>70.400000000000006</v>
      </c>
      <c r="AI67" s="60">
        <f t="shared" si="86"/>
        <v>23.1</v>
      </c>
      <c r="AJ67" s="60">
        <f t="shared" si="87"/>
        <v>25.8</v>
      </c>
      <c r="AK67" s="60">
        <f t="shared" si="87"/>
        <v>31.1</v>
      </c>
      <c r="AL67" s="60">
        <f t="shared" si="87"/>
        <v>34.4</v>
      </c>
      <c r="AM67" s="60">
        <f t="shared" si="87"/>
        <v>30.799999999999997</v>
      </c>
      <c r="AN67" s="60">
        <f t="shared" si="87"/>
        <v>39.6</v>
      </c>
      <c r="AO67" s="60">
        <f t="shared" si="87"/>
        <v>42.3</v>
      </c>
      <c r="AP67" s="60">
        <f t="shared" si="87"/>
        <v>115.69999999999999</v>
      </c>
      <c r="AQ67" s="60">
        <f t="shared" si="87"/>
        <v>143.30000000000001</v>
      </c>
      <c r="AR67" s="60">
        <f t="shared" si="87"/>
        <v>173.89999999999998</v>
      </c>
      <c r="AS67" s="60">
        <f t="shared" si="87"/>
        <v>182.5</v>
      </c>
      <c r="AT67" s="60">
        <f t="shared" si="88"/>
        <v>70.400000000000006</v>
      </c>
      <c r="AU67" s="60">
        <f t="shared" si="88"/>
        <v>23.1</v>
      </c>
      <c r="AV67" s="60">
        <f t="shared" si="88"/>
        <v>25.8</v>
      </c>
      <c r="AW67" s="60">
        <f t="shared" si="88"/>
        <v>31.1</v>
      </c>
      <c r="AX67" s="60">
        <f t="shared" si="88"/>
        <v>34.4</v>
      </c>
      <c r="AY67" s="60">
        <f t="shared" si="88"/>
        <v>30.799999999999997</v>
      </c>
      <c r="AZ67" s="60">
        <f t="shared" si="88"/>
        <v>39.6</v>
      </c>
      <c r="BA67" s="60">
        <f t="shared" si="88"/>
        <v>42.3</v>
      </c>
      <c r="BB67" s="60">
        <f t="shared" si="88"/>
        <v>115.69999999999999</v>
      </c>
      <c r="BC67" s="60">
        <f t="shared" si="88"/>
        <v>143.30000000000001</v>
      </c>
      <c r="BD67" s="60">
        <f t="shared" si="89"/>
        <v>173.89999999999998</v>
      </c>
      <c r="BE67" s="60">
        <f t="shared" si="89"/>
        <v>182.5</v>
      </c>
      <c r="BF67" s="60">
        <f t="shared" si="89"/>
        <v>70.400000000000006</v>
      </c>
      <c r="BG67" s="60">
        <f t="shared" si="89"/>
        <v>23.1</v>
      </c>
      <c r="BH67" s="60">
        <f t="shared" si="89"/>
        <v>25.8</v>
      </c>
      <c r="BI67" s="60">
        <f t="shared" si="89"/>
        <v>31.1</v>
      </c>
      <c r="BJ67" s="60">
        <f t="shared" si="89"/>
        <v>34.4</v>
      </c>
      <c r="BK67" s="60">
        <f t="shared" si="89"/>
        <v>30.799999999999997</v>
      </c>
      <c r="BL67" s="60">
        <f t="shared" si="89"/>
        <v>39.6</v>
      </c>
      <c r="BM67" s="60">
        <f t="shared" si="89"/>
        <v>42.3</v>
      </c>
      <c r="BN67" s="60">
        <f t="shared" si="89"/>
        <v>115.69999999999999</v>
      </c>
      <c r="BO67" s="60">
        <f t="shared" si="89"/>
        <v>143.30000000000001</v>
      </c>
      <c r="BP67" s="60">
        <f t="shared" si="89"/>
        <v>173.89999999999998</v>
      </c>
      <c r="BQ67" s="60">
        <f t="shared" si="89"/>
        <v>182.5</v>
      </c>
      <c r="BR67" s="60">
        <f t="shared" si="89"/>
        <v>70.400000000000006</v>
      </c>
      <c r="BS67" s="60">
        <f t="shared" si="89"/>
        <v>23.1</v>
      </c>
      <c r="BT67" s="60">
        <f t="shared" si="90"/>
        <v>25.8</v>
      </c>
      <c r="BU67" s="60">
        <f t="shared" si="90"/>
        <v>31.1</v>
      </c>
      <c r="BV67" s="60">
        <f t="shared" si="90"/>
        <v>34.4</v>
      </c>
      <c r="BW67" s="60">
        <f t="shared" si="90"/>
        <v>30.799999999999997</v>
      </c>
      <c r="BX67" s="60">
        <f t="shared" si="91"/>
        <v>39.6</v>
      </c>
      <c r="BY67" s="60">
        <f t="shared" si="92"/>
        <v>42.3</v>
      </c>
      <c r="BZ67" s="60">
        <f t="shared" si="93"/>
        <v>115.69999999999999</v>
      </c>
      <c r="CA67" s="60">
        <f t="shared" si="94"/>
        <v>143.30000000000001</v>
      </c>
      <c r="CB67" s="60">
        <f t="shared" si="95"/>
        <v>173.89999999999998</v>
      </c>
      <c r="CC67" s="60">
        <f t="shared" si="96"/>
        <v>182.5</v>
      </c>
      <c r="CD67" s="60">
        <f t="shared" si="97"/>
        <v>70.400000000000006</v>
      </c>
      <c r="CE67" s="60">
        <f t="shared" si="98"/>
        <v>23.1</v>
      </c>
      <c r="CF67" s="60">
        <f t="shared" si="99"/>
        <v>25.8</v>
      </c>
      <c r="CG67" s="60">
        <f t="shared" si="100"/>
        <v>31.1</v>
      </c>
      <c r="CH67" s="60">
        <f t="shared" si="101"/>
        <v>34.4</v>
      </c>
      <c r="CI67" s="60">
        <f t="shared" si="102"/>
        <v>30.799999999999997</v>
      </c>
    </row>
    <row r="68" spans="1:89" x14ac:dyDescent="0.2">
      <c r="A68" s="1">
        <v>58</v>
      </c>
      <c r="B68" s="1" t="s">
        <v>32</v>
      </c>
      <c r="C68" s="14">
        <f>'Rate Design'!F23</f>
        <v>1.4401000000000002</v>
      </c>
      <c r="D68" s="70">
        <f>'Bill Frequency'!C57+'Contract &amp; Vol Adj'!C57</f>
        <v>34611</v>
      </c>
      <c r="E68" s="70">
        <f>'Bill Frequency'!D57+'Contract &amp; Vol Adj'!D57</f>
        <v>36171</v>
      </c>
      <c r="F68" s="70">
        <f>'Bill Frequency'!E57+'Contract &amp; Vol Adj'!E57</f>
        <v>36744</v>
      </c>
      <c r="G68" s="70">
        <f>'Bill Frequency'!F57+'Contract &amp; Vol Adj'!F57</f>
        <v>36730</v>
      </c>
      <c r="H68" s="70">
        <f>'Bill Frequency'!G57+'Contract &amp; Vol Adj'!G57</f>
        <v>36900</v>
      </c>
      <c r="I68" s="70">
        <f>'Bill Frequency'!H57+'Contract &amp; Vol Adj'!H57</f>
        <v>36900</v>
      </c>
      <c r="J68" s="70">
        <f>'Bill Frequency'!I57+'Contract &amp; Vol Adj'!I57</f>
        <v>36900</v>
      </c>
      <c r="K68" s="70">
        <f>'Bill Frequency'!J57+'Contract &amp; Vol Adj'!J57</f>
        <v>35971</v>
      </c>
      <c r="L68" s="70">
        <f>'Bill Frequency'!K57+'Contract &amp; Vol Adj'!K57</f>
        <v>35254</v>
      </c>
      <c r="M68" s="70">
        <f>'Bill Frequency'!L57+'Contract &amp; Vol Adj'!L57</f>
        <v>34136</v>
      </c>
      <c r="N68" s="70">
        <f>'Bill Frequency'!M57+'Contract &amp; Vol Adj'!M57</f>
        <v>33819</v>
      </c>
      <c r="O68" s="70">
        <f>'Bill Frequency'!N57+'Contract &amp; Vol Adj'!N57</f>
        <v>34474</v>
      </c>
      <c r="P68" s="6">
        <f t="shared" si="85"/>
        <v>34611</v>
      </c>
      <c r="Q68" s="6">
        <f t="shared" si="85"/>
        <v>36171</v>
      </c>
      <c r="R68" s="6">
        <f t="shared" si="85"/>
        <v>36744</v>
      </c>
      <c r="S68" s="6">
        <f t="shared" si="85"/>
        <v>36730</v>
      </c>
      <c r="T68" s="6">
        <f t="shared" si="85"/>
        <v>36900</v>
      </c>
      <c r="U68" s="6">
        <f t="shared" si="85"/>
        <v>36900</v>
      </c>
      <c r="V68" s="6">
        <f t="shared" si="85"/>
        <v>36900</v>
      </c>
      <c r="W68" s="6">
        <f t="shared" si="85"/>
        <v>35971</v>
      </c>
      <c r="X68" s="6">
        <f t="shared" si="85"/>
        <v>35254</v>
      </c>
      <c r="Y68" s="6">
        <f t="shared" si="85"/>
        <v>34136</v>
      </c>
      <c r="Z68" s="6">
        <f t="shared" si="86"/>
        <v>33819</v>
      </c>
      <c r="AA68" s="6">
        <f t="shared" si="86"/>
        <v>34474</v>
      </c>
      <c r="AB68" s="6">
        <f t="shared" si="86"/>
        <v>34611</v>
      </c>
      <c r="AC68" s="6">
        <f t="shared" si="86"/>
        <v>36171</v>
      </c>
      <c r="AD68" s="6">
        <f t="shared" si="86"/>
        <v>36744</v>
      </c>
      <c r="AE68" s="6">
        <f t="shared" si="86"/>
        <v>36730</v>
      </c>
      <c r="AF68" s="6">
        <f t="shared" si="86"/>
        <v>36900</v>
      </c>
      <c r="AG68" s="6">
        <f t="shared" si="86"/>
        <v>36900</v>
      </c>
      <c r="AH68" s="6">
        <f t="shared" si="86"/>
        <v>36900</v>
      </c>
      <c r="AI68" s="6">
        <f t="shared" si="86"/>
        <v>35971</v>
      </c>
      <c r="AJ68" s="6">
        <f t="shared" si="87"/>
        <v>35254</v>
      </c>
      <c r="AK68" s="6">
        <f t="shared" si="87"/>
        <v>34136</v>
      </c>
      <c r="AL68" s="6">
        <f t="shared" si="87"/>
        <v>33819</v>
      </c>
      <c r="AM68" s="6">
        <f t="shared" si="87"/>
        <v>34474</v>
      </c>
      <c r="AN68" s="6">
        <f t="shared" si="87"/>
        <v>34611</v>
      </c>
      <c r="AO68" s="6">
        <f t="shared" si="87"/>
        <v>36171</v>
      </c>
      <c r="AP68" s="6">
        <f t="shared" si="87"/>
        <v>36744</v>
      </c>
      <c r="AQ68" s="6">
        <f t="shared" si="87"/>
        <v>36730</v>
      </c>
      <c r="AR68" s="6">
        <f t="shared" si="87"/>
        <v>36900</v>
      </c>
      <c r="AS68" s="6">
        <f t="shared" si="87"/>
        <v>36900</v>
      </c>
      <c r="AT68" s="6">
        <f t="shared" si="88"/>
        <v>36900</v>
      </c>
      <c r="AU68" s="6">
        <f t="shared" si="88"/>
        <v>35971</v>
      </c>
      <c r="AV68" s="6">
        <f t="shared" si="88"/>
        <v>35254</v>
      </c>
      <c r="AW68" s="6">
        <f t="shared" si="88"/>
        <v>34136</v>
      </c>
      <c r="AX68" s="6">
        <f t="shared" si="88"/>
        <v>33819</v>
      </c>
      <c r="AY68" s="6">
        <f t="shared" si="88"/>
        <v>34474</v>
      </c>
      <c r="AZ68" s="6">
        <f t="shared" si="88"/>
        <v>34611</v>
      </c>
      <c r="BA68" s="6">
        <f t="shared" si="88"/>
        <v>36171</v>
      </c>
      <c r="BB68" s="6">
        <f t="shared" si="88"/>
        <v>36744</v>
      </c>
      <c r="BC68" s="6">
        <f t="shared" si="88"/>
        <v>36730</v>
      </c>
      <c r="BD68" s="6">
        <f t="shared" si="89"/>
        <v>36900</v>
      </c>
      <c r="BE68" s="6">
        <f t="shared" si="89"/>
        <v>36900</v>
      </c>
      <c r="BF68" s="6">
        <f t="shared" si="89"/>
        <v>36900</v>
      </c>
      <c r="BG68" s="6">
        <f t="shared" si="89"/>
        <v>35971</v>
      </c>
      <c r="BH68" s="6">
        <f t="shared" si="89"/>
        <v>35254</v>
      </c>
      <c r="BI68" s="6">
        <f t="shared" si="89"/>
        <v>34136</v>
      </c>
      <c r="BJ68" s="6">
        <f t="shared" si="89"/>
        <v>33819</v>
      </c>
      <c r="BK68" s="6">
        <f t="shared" si="89"/>
        <v>34474</v>
      </c>
      <c r="BL68" s="6">
        <f t="shared" si="89"/>
        <v>34611</v>
      </c>
      <c r="BM68" s="6">
        <f t="shared" si="89"/>
        <v>36171</v>
      </c>
      <c r="BN68" s="6">
        <f t="shared" si="89"/>
        <v>36744</v>
      </c>
      <c r="BO68" s="6">
        <f t="shared" si="89"/>
        <v>36730</v>
      </c>
      <c r="BP68" s="6">
        <f t="shared" si="89"/>
        <v>36900</v>
      </c>
      <c r="BQ68" s="6">
        <f t="shared" si="89"/>
        <v>36900</v>
      </c>
      <c r="BR68" s="6">
        <f t="shared" si="89"/>
        <v>36900</v>
      </c>
      <c r="BS68" s="6">
        <f t="shared" si="89"/>
        <v>35971</v>
      </c>
      <c r="BT68" s="6">
        <f t="shared" si="90"/>
        <v>35254</v>
      </c>
      <c r="BU68" s="6">
        <f t="shared" si="90"/>
        <v>34136</v>
      </c>
      <c r="BV68" s="6">
        <f t="shared" si="90"/>
        <v>33819</v>
      </c>
      <c r="BW68" s="6">
        <f t="shared" si="90"/>
        <v>34474</v>
      </c>
      <c r="BX68" s="6">
        <f t="shared" si="91"/>
        <v>34611</v>
      </c>
      <c r="BY68" s="6">
        <f t="shared" si="92"/>
        <v>36171</v>
      </c>
      <c r="BZ68" s="6">
        <f t="shared" si="93"/>
        <v>36744</v>
      </c>
      <c r="CA68" s="6">
        <f t="shared" si="94"/>
        <v>36730</v>
      </c>
      <c r="CB68" s="6">
        <f t="shared" si="95"/>
        <v>36900</v>
      </c>
      <c r="CC68" s="6">
        <f t="shared" si="96"/>
        <v>36900</v>
      </c>
      <c r="CD68" s="6">
        <f t="shared" si="97"/>
        <v>36900</v>
      </c>
      <c r="CE68" s="6">
        <f t="shared" si="98"/>
        <v>35971</v>
      </c>
      <c r="CF68" s="6">
        <f t="shared" si="99"/>
        <v>35254</v>
      </c>
      <c r="CG68" s="6">
        <f t="shared" si="100"/>
        <v>34136</v>
      </c>
      <c r="CH68" s="6">
        <f t="shared" si="101"/>
        <v>33819</v>
      </c>
      <c r="CI68" s="6">
        <f t="shared" si="102"/>
        <v>34474</v>
      </c>
    </row>
    <row r="69" spans="1:89" x14ac:dyDescent="0.2">
      <c r="A69" s="1">
        <v>59</v>
      </c>
      <c r="B69" s="1" t="s">
        <v>33</v>
      </c>
      <c r="C69" s="14">
        <f>'Rate Design'!F24</f>
        <v>0.96149999999999991</v>
      </c>
      <c r="D69" s="70">
        <f>'Bill Frequency'!C58+'Contract &amp; Vol Adj'!C58</f>
        <v>392460.4</v>
      </c>
      <c r="E69" s="70">
        <f>'Bill Frequency'!D58+'Contract &amp; Vol Adj'!D58</f>
        <v>449303.7</v>
      </c>
      <c r="F69" s="70">
        <f>'Bill Frequency'!E58+'Contract &amp; Vol Adj'!E58</f>
        <v>549285</v>
      </c>
      <c r="G69" s="70">
        <f>'Bill Frequency'!F58+'Contract &amp; Vol Adj'!F58</f>
        <v>558687</v>
      </c>
      <c r="H69" s="70">
        <f>'Bill Frequency'!G58+'Contract &amp; Vol Adj'!G58</f>
        <v>639686</v>
      </c>
      <c r="I69" s="70">
        <f>'Bill Frequency'!H58+'Contract &amp; Vol Adj'!H58</f>
        <v>636082</v>
      </c>
      <c r="J69" s="70">
        <f>'Bill Frequency'!I58+'Contract &amp; Vol Adj'!I58</f>
        <v>555421</v>
      </c>
      <c r="K69" s="70">
        <f>'Bill Frequency'!J58+'Contract &amp; Vol Adj'!J58</f>
        <v>438789</v>
      </c>
      <c r="L69" s="70">
        <f>'Bill Frequency'!K58+'Contract &amp; Vol Adj'!K58</f>
        <v>409871</v>
      </c>
      <c r="M69" s="70">
        <f>'Bill Frequency'!L58+'Contract &amp; Vol Adj'!L58</f>
        <v>392796</v>
      </c>
      <c r="N69" s="70">
        <f>'Bill Frequency'!M58+'Contract &amp; Vol Adj'!M58</f>
        <v>381594</v>
      </c>
      <c r="O69" s="70">
        <f>'Bill Frequency'!N58+'Contract &amp; Vol Adj'!N58</f>
        <v>397247</v>
      </c>
      <c r="P69" s="6">
        <f t="shared" si="85"/>
        <v>392460.4</v>
      </c>
      <c r="Q69" s="6">
        <f t="shared" si="85"/>
        <v>449303.7</v>
      </c>
      <c r="R69" s="6">
        <f t="shared" si="85"/>
        <v>549285</v>
      </c>
      <c r="S69" s="6">
        <f t="shared" si="85"/>
        <v>558687</v>
      </c>
      <c r="T69" s="6">
        <f t="shared" si="85"/>
        <v>639686</v>
      </c>
      <c r="U69" s="6">
        <f t="shared" si="85"/>
        <v>636082</v>
      </c>
      <c r="V69" s="6">
        <f t="shared" si="85"/>
        <v>555421</v>
      </c>
      <c r="W69" s="6">
        <f t="shared" si="85"/>
        <v>438789</v>
      </c>
      <c r="X69" s="6">
        <f t="shared" si="85"/>
        <v>409871</v>
      </c>
      <c r="Y69" s="6">
        <f t="shared" si="85"/>
        <v>392796</v>
      </c>
      <c r="Z69" s="6">
        <f t="shared" si="86"/>
        <v>381594</v>
      </c>
      <c r="AA69" s="6">
        <f t="shared" si="86"/>
        <v>397247</v>
      </c>
      <c r="AB69" s="6">
        <f t="shared" si="86"/>
        <v>392460.4</v>
      </c>
      <c r="AC69" s="6">
        <f t="shared" si="86"/>
        <v>449303.7</v>
      </c>
      <c r="AD69" s="6">
        <f t="shared" si="86"/>
        <v>549285</v>
      </c>
      <c r="AE69" s="6">
        <f t="shared" si="86"/>
        <v>558687</v>
      </c>
      <c r="AF69" s="6">
        <f t="shared" si="86"/>
        <v>639686</v>
      </c>
      <c r="AG69" s="6">
        <f t="shared" si="86"/>
        <v>636082</v>
      </c>
      <c r="AH69" s="6">
        <f t="shared" si="86"/>
        <v>555421</v>
      </c>
      <c r="AI69" s="6">
        <f t="shared" si="86"/>
        <v>438789</v>
      </c>
      <c r="AJ69" s="6">
        <f t="shared" si="87"/>
        <v>409871</v>
      </c>
      <c r="AK69" s="6">
        <f t="shared" si="87"/>
        <v>392796</v>
      </c>
      <c r="AL69" s="6">
        <f t="shared" si="87"/>
        <v>381594</v>
      </c>
      <c r="AM69" s="6">
        <f t="shared" si="87"/>
        <v>397247</v>
      </c>
      <c r="AN69" s="6">
        <f t="shared" si="87"/>
        <v>392460.4</v>
      </c>
      <c r="AO69" s="6">
        <f t="shared" si="87"/>
        <v>449303.7</v>
      </c>
      <c r="AP69" s="6">
        <f t="shared" si="87"/>
        <v>549285</v>
      </c>
      <c r="AQ69" s="6">
        <f t="shared" si="87"/>
        <v>558687</v>
      </c>
      <c r="AR69" s="6">
        <f t="shared" si="87"/>
        <v>639686</v>
      </c>
      <c r="AS69" s="6">
        <f t="shared" si="87"/>
        <v>636082</v>
      </c>
      <c r="AT69" s="6">
        <f t="shared" si="88"/>
        <v>555421</v>
      </c>
      <c r="AU69" s="6">
        <f t="shared" si="88"/>
        <v>438789</v>
      </c>
      <c r="AV69" s="6">
        <f t="shared" si="88"/>
        <v>409871</v>
      </c>
      <c r="AW69" s="6">
        <f t="shared" si="88"/>
        <v>392796</v>
      </c>
      <c r="AX69" s="6">
        <f t="shared" si="88"/>
        <v>381594</v>
      </c>
      <c r="AY69" s="6">
        <f t="shared" si="88"/>
        <v>397247</v>
      </c>
      <c r="AZ69" s="6">
        <f t="shared" si="88"/>
        <v>392460.4</v>
      </c>
      <c r="BA69" s="6">
        <f t="shared" si="88"/>
        <v>449303.7</v>
      </c>
      <c r="BB69" s="6">
        <f t="shared" si="88"/>
        <v>549285</v>
      </c>
      <c r="BC69" s="6">
        <f t="shared" si="88"/>
        <v>558687</v>
      </c>
      <c r="BD69" s="6">
        <f t="shared" si="89"/>
        <v>639686</v>
      </c>
      <c r="BE69" s="6">
        <f t="shared" si="89"/>
        <v>636082</v>
      </c>
      <c r="BF69" s="6">
        <f t="shared" si="89"/>
        <v>555421</v>
      </c>
      <c r="BG69" s="6">
        <f t="shared" si="89"/>
        <v>438789</v>
      </c>
      <c r="BH69" s="6">
        <f t="shared" si="89"/>
        <v>409871</v>
      </c>
      <c r="BI69" s="6">
        <f t="shared" si="89"/>
        <v>392796</v>
      </c>
      <c r="BJ69" s="6">
        <f t="shared" si="89"/>
        <v>381594</v>
      </c>
      <c r="BK69" s="6">
        <f t="shared" si="89"/>
        <v>397247</v>
      </c>
      <c r="BL69" s="6">
        <f t="shared" si="89"/>
        <v>392460.4</v>
      </c>
      <c r="BM69" s="6">
        <f t="shared" si="89"/>
        <v>449303.7</v>
      </c>
      <c r="BN69" s="6">
        <f t="shared" si="89"/>
        <v>549285</v>
      </c>
      <c r="BO69" s="6">
        <f t="shared" si="89"/>
        <v>558687</v>
      </c>
      <c r="BP69" s="6">
        <f t="shared" si="89"/>
        <v>639686</v>
      </c>
      <c r="BQ69" s="6">
        <f t="shared" si="89"/>
        <v>636082</v>
      </c>
      <c r="BR69" s="6">
        <f t="shared" si="89"/>
        <v>555421</v>
      </c>
      <c r="BS69" s="6">
        <f t="shared" si="89"/>
        <v>438789</v>
      </c>
      <c r="BT69" s="6">
        <f t="shared" si="90"/>
        <v>409871</v>
      </c>
      <c r="BU69" s="6">
        <f t="shared" si="90"/>
        <v>392796</v>
      </c>
      <c r="BV69" s="6">
        <f t="shared" si="90"/>
        <v>381594</v>
      </c>
      <c r="BW69" s="6">
        <f t="shared" si="90"/>
        <v>397247</v>
      </c>
      <c r="BX69" s="6">
        <f t="shared" si="91"/>
        <v>392460.4</v>
      </c>
      <c r="BY69" s="6">
        <f t="shared" si="92"/>
        <v>449303.7</v>
      </c>
      <c r="BZ69" s="6">
        <f t="shared" si="93"/>
        <v>549285</v>
      </c>
      <c r="CA69" s="6">
        <f t="shared" si="94"/>
        <v>558687</v>
      </c>
      <c r="CB69" s="6">
        <f t="shared" si="95"/>
        <v>639686</v>
      </c>
      <c r="CC69" s="6">
        <f t="shared" si="96"/>
        <v>636082</v>
      </c>
      <c r="CD69" s="6">
        <f t="shared" si="97"/>
        <v>555421</v>
      </c>
      <c r="CE69" s="6">
        <f t="shared" si="98"/>
        <v>438789</v>
      </c>
      <c r="CF69" s="6">
        <f t="shared" si="99"/>
        <v>409871</v>
      </c>
      <c r="CG69" s="6">
        <f t="shared" si="100"/>
        <v>392796</v>
      </c>
      <c r="CH69" s="6">
        <f t="shared" si="101"/>
        <v>381594</v>
      </c>
      <c r="CI69" s="6">
        <f t="shared" si="102"/>
        <v>397247</v>
      </c>
    </row>
    <row r="70" spans="1:89" x14ac:dyDescent="0.2">
      <c r="A70" s="1">
        <v>60</v>
      </c>
      <c r="B70" s="1" t="s">
        <v>34</v>
      </c>
      <c r="C70" s="14">
        <f>'Rate Design'!F25</f>
        <v>0.6774</v>
      </c>
      <c r="D70" s="70">
        <f>'Bill Frequency'!C59+'Contract &amp; Vol Adj'!C59</f>
        <v>73201</v>
      </c>
      <c r="E70" s="70">
        <f>'Bill Frequency'!D59+'Contract &amp; Vol Adj'!D59</f>
        <v>90281</v>
      </c>
      <c r="F70" s="70">
        <f>'Bill Frequency'!E59+'Contract &amp; Vol Adj'!E59</f>
        <v>102454</v>
      </c>
      <c r="G70" s="70">
        <f>'Bill Frequency'!F59+'Contract &amp; Vol Adj'!F59</f>
        <v>109679</v>
      </c>
      <c r="H70" s="70">
        <f>'Bill Frequency'!G59+'Contract &amp; Vol Adj'!G59</f>
        <v>154499</v>
      </c>
      <c r="I70" s="70">
        <f>'Bill Frequency'!H59+'Contract &amp; Vol Adj'!H59</f>
        <v>142476</v>
      </c>
      <c r="J70" s="70">
        <f>'Bill Frequency'!I59+'Contract &amp; Vol Adj'!I59</f>
        <v>114386</v>
      </c>
      <c r="K70" s="70">
        <f>'Bill Frequency'!J59+'Contract &amp; Vol Adj'!J59</f>
        <v>79183</v>
      </c>
      <c r="L70" s="70">
        <f>'Bill Frequency'!K59+'Contract &amp; Vol Adj'!K59</f>
        <v>68092</v>
      </c>
      <c r="M70" s="70">
        <f>'Bill Frequency'!L59+'Contract &amp; Vol Adj'!L59</f>
        <v>65829</v>
      </c>
      <c r="N70" s="70">
        <f>'Bill Frequency'!M59+'Contract &amp; Vol Adj'!M59</f>
        <v>74931</v>
      </c>
      <c r="O70" s="70">
        <f>'Bill Frequency'!N59+'Contract &amp; Vol Adj'!N59</f>
        <v>67026</v>
      </c>
      <c r="P70" s="6">
        <f t="shared" si="85"/>
        <v>73201</v>
      </c>
      <c r="Q70" s="6">
        <f t="shared" si="85"/>
        <v>90281</v>
      </c>
      <c r="R70" s="6">
        <f t="shared" si="85"/>
        <v>102454</v>
      </c>
      <c r="S70" s="6">
        <f t="shared" si="85"/>
        <v>109679</v>
      </c>
      <c r="T70" s="6">
        <f t="shared" si="85"/>
        <v>154499</v>
      </c>
      <c r="U70" s="6">
        <f t="shared" si="85"/>
        <v>142476</v>
      </c>
      <c r="V70" s="6">
        <f t="shared" si="85"/>
        <v>114386</v>
      </c>
      <c r="W70" s="6">
        <f t="shared" si="85"/>
        <v>79183</v>
      </c>
      <c r="X70" s="6">
        <f t="shared" si="85"/>
        <v>68092</v>
      </c>
      <c r="Y70" s="6">
        <f t="shared" si="85"/>
        <v>65829</v>
      </c>
      <c r="Z70" s="6">
        <f t="shared" si="86"/>
        <v>74931</v>
      </c>
      <c r="AA70" s="6">
        <f t="shared" si="86"/>
        <v>67026</v>
      </c>
      <c r="AB70" s="6">
        <f t="shared" si="86"/>
        <v>73201</v>
      </c>
      <c r="AC70" s="6">
        <f t="shared" si="86"/>
        <v>90281</v>
      </c>
      <c r="AD70" s="6">
        <f t="shared" si="86"/>
        <v>102454</v>
      </c>
      <c r="AE70" s="6">
        <f t="shared" si="86"/>
        <v>109679</v>
      </c>
      <c r="AF70" s="6">
        <f t="shared" si="86"/>
        <v>154499</v>
      </c>
      <c r="AG70" s="6">
        <f t="shared" si="86"/>
        <v>142476</v>
      </c>
      <c r="AH70" s="6">
        <f t="shared" si="86"/>
        <v>114386</v>
      </c>
      <c r="AI70" s="6">
        <f t="shared" si="86"/>
        <v>79183</v>
      </c>
      <c r="AJ70" s="6">
        <f t="shared" si="87"/>
        <v>68092</v>
      </c>
      <c r="AK70" s="6">
        <f t="shared" si="87"/>
        <v>65829</v>
      </c>
      <c r="AL70" s="6">
        <f t="shared" si="87"/>
        <v>74931</v>
      </c>
      <c r="AM70" s="6">
        <f t="shared" si="87"/>
        <v>67026</v>
      </c>
      <c r="AN70" s="6">
        <f t="shared" si="87"/>
        <v>73201</v>
      </c>
      <c r="AO70" s="6">
        <f t="shared" si="87"/>
        <v>90281</v>
      </c>
      <c r="AP70" s="6">
        <f t="shared" si="87"/>
        <v>102454</v>
      </c>
      <c r="AQ70" s="6">
        <f t="shared" si="87"/>
        <v>109679</v>
      </c>
      <c r="AR70" s="6">
        <f t="shared" si="87"/>
        <v>154499</v>
      </c>
      <c r="AS70" s="6">
        <f t="shared" si="87"/>
        <v>142476</v>
      </c>
      <c r="AT70" s="6">
        <f t="shared" si="88"/>
        <v>114386</v>
      </c>
      <c r="AU70" s="6">
        <f t="shared" si="88"/>
        <v>79183</v>
      </c>
      <c r="AV70" s="6">
        <f t="shared" si="88"/>
        <v>68092</v>
      </c>
      <c r="AW70" s="6">
        <f t="shared" si="88"/>
        <v>65829</v>
      </c>
      <c r="AX70" s="6">
        <f t="shared" si="88"/>
        <v>74931</v>
      </c>
      <c r="AY70" s="6">
        <f t="shared" si="88"/>
        <v>67026</v>
      </c>
      <c r="AZ70" s="6">
        <f t="shared" si="88"/>
        <v>73201</v>
      </c>
      <c r="BA70" s="6">
        <f t="shared" si="88"/>
        <v>90281</v>
      </c>
      <c r="BB70" s="6">
        <f t="shared" si="88"/>
        <v>102454</v>
      </c>
      <c r="BC70" s="6">
        <f t="shared" si="88"/>
        <v>109679</v>
      </c>
      <c r="BD70" s="6">
        <f t="shared" si="89"/>
        <v>154499</v>
      </c>
      <c r="BE70" s="6">
        <f t="shared" si="89"/>
        <v>142476</v>
      </c>
      <c r="BF70" s="6">
        <f t="shared" si="89"/>
        <v>114386</v>
      </c>
      <c r="BG70" s="6">
        <f t="shared" si="89"/>
        <v>79183</v>
      </c>
      <c r="BH70" s="6">
        <f t="shared" si="89"/>
        <v>68092</v>
      </c>
      <c r="BI70" s="6">
        <f t="shared" si="89"/>
        <v>65829</v>
      </c>
      <c r="BJ70" s="6">
        <f t="shared" si="89"/>
        <v>74931</v>
      </c>
      <c r="BK70" s="6">
        <f t="shared" si="89"/>
        <v>67026</v>
      </c>
      <c r="BL70" s="6">
        <f t="shared" si="89"/>
        <v>73201</v>
      </c>
      <c r="BM70" s="6">
        <f t="shared" si="89"/>
        <v>90281</v>
      </c>
      <c r="BN70" s="6">
        <f t="shared" si="89"/>
        <v>102454</v>
      </c>
      <c r="BO70" s="6">
        <f t="shared" si="89"/>
        <v>109679</v>
      </c>
      <c r="BP70" s="6">
        <f t="shared" si="89"/>
        <v>154499</v>
      </c>
      <c r="BQ70" s="6">
        <f t="shared" si="89"/>
        <v>142476</v>
      </c>
      <c r="BR70" s="6">
        <f t="shared" si="89"/>
        <v>114386</v>
      </c>
      <c r="BS70" s="6">
        <f t="shared" si="89"/>
        <v>79183</v>
      </c>
      <c r="BT70" s="6">
        <f t="shared" si="90"/>
        <v>68092</v>
      </c>
      <c r="BU70" s="6">
        <f t="shared" si="90"/>
        <v>65829</v>
      </c>
      <c r="BV70" s="6">
        <f t="shared" si="90"/>
        <v>74931</v>
      </c>
      <c r="BW70" s="6">
        <f t="shared" si="90"/>
        <v>67026</v>
      </c>
      <c r="BX70" s="6">
        <f t="shared" si="91"/>
        <v>73201</v>
      </c>
      <c r="BY70" s="6">
        <f t="shared" si="92"/>
        <v>90281</v>
      </c>
      <c r="BZ70" s="6">
        <f t="shared" si="93"/>
        <v>102454</v>
      </c>
      <c r="CA70" s="6">
        <f t="shared" si="94"/>
        <v>109679</v>
      </c>
      <c r="CB70" s="6">
        <f t="shared" si="95"/>
        <v>154499</v>
      </c>
      <c r="CC70" s="6">
        <f t="shared" si="96"/>
        <v>142476</v>
      </c>
      <c r="CD70" s="6">
        <f t="shared" si="97"/>
        <v>114386</v>
      </c>
      <c r="CE70" s="6">
        <f t="shared" si="98"/>
        <v>79183</v>
      </c>
      <c r="CF70" s="6">
        <f t="shared" si="99"/>
        <v>68092</v>
      </c>
      <c r="CG70" s="6">
        <f t="shared" si="100"/>
        <v>65829</v>
      </c>
      <c r="CH70" s="6">
        <f t="shared" si="101"/>
        <v>74931</v>
      </c>
      <c r="CI70" s="6">
        <f t="shared" si="102"/>
        <v>67026</v>
      </c>
    </row>
    <row r="71" spans="1:89" x14ac:dyDescent="0.2">
      <c r="A71" s="1">
        <v>62</v>
      </c>
      <c r="B71" s="32" t="s">
        <v>79</v>
      </c>
      <c r="C71" s="32"/>
      <c r="D71" s="31">
        <f>D68+D69+D70</f>
        <v>500272.4</v>
      </c>
      <c r="E71" s="31">
        <f t="shared" ref="E71:BP71" si="103">E68+E69+E70</f>
        <v>575755.69999999995</v>
      </c>
      <c r="F71" s="31">
        <f t="shared" si="103"/>
        <v>688483</v>
      </c>
      <c r="G71" s="31">
        <f t="shared" si="103"/>
        <v>705096</v>
      </c>
      <c r="H71" s="31">
        <f t="shared" si="103"/>
        <v>831085</v>
      </c>
      <c r="I71" s="31">
        <f t="shared" si="103"/>
        <v>815458</v>
      </c>
      <c r="J71" s="31">
        <f t="shared" si="103"/>
        <v>706707</v>
      </c>
      <c r="K71" s="31">
        <f t="shared" si="103"/>
        <v>553943</v>
      </c>
      <c r="L71" s="31">
        <f t="shared" si="103"/>
        <v>513217</v>
      </c>
      <c r="M71" s="31">
        <f t="shared" si="103"/>
        <v>492761</v>
      </c>
      <c r="N71" s="31">
        <f t="shared" si="103"/>
        <v>490344</v>
      </c>
      <c r="O71" s="31">
        <f t="shared" si="103"/>
        <v>498747</v>
      </c>
      <c r="P71" s="31">
        <f t="shared" si="103"/>
        <v>500272.4</v>
      </c>
      <c r="Q71" s="31">
        <f t="shared" si="103"/>
        <v>575755.69999999995</v>
      </c>
      <c r="R71" s="31">
        <f t="shared" si="103"/>
        <v>688483</v>
      </c>
      <c r="S71" s="31">
        <f t="shared" si="103"/>
        <v>705096</v>
      </c>
      <c r="T71" s="31">
        <f t="shared" si="103"/>
        <v>831085</v>
      </c>
      <c r="U71" s="31">
        <f t="shared" si="103"/>
        <v>815458</v>
      </c>
      <c r="V71" s="31">
        <f t="shared" si="103"/>
        <v>706707</v>
      </c>
      <c r="W71" s="31">
        <f t="shared" si="103"/>
        <v>553943</v>
      </c>
      <c r="X71" s="31">
        <f t="shared" si="103"/>
        <v>513217</v>
      </c>
      <c r="Y71" s="31">
        <f t="shared" si="103"/>
        <v>492761</v>
      </c>
      <c r="Z71" s="31">
        <f t="shared" si="103"/>
        <v>490344</v>
      </c>
      <c r="AA71" s="31">
        <f t="shared" si="103"/>
        <v>498747</v>
      </c>
      <c r="AB71" s="31">
        <f t="shared" si="103"/>
        <v>500272.4</v>
      </c>
      <c r="AC71" s="31">
        <f t="shared" si="103"/>
        <v>575755.69999999995</v>
      </c>
      <c r="AD71" s="31">
        <f t="shared" si="103"/>
        <v>688483</v>
      </c>
      <c r="AE71" s="31">
        <f t="shared" si="103"/>
        <v>705096</v>
      </c>
      <c r="AF71" s="31">
        <f t="shared" si="103"/>
        <v>831085</v>
      </c>
      <c r="AG71" s="31">
        <f t="shared" si="103"/>
        <v>815458</v>
      </c>
      <c r="AH71" s="31">
        <f t="shared" si="103"/>
        <v>706707</v>
      </c>
      <c r="AI71" s="31">
        <f t="shared" si="103"/>
        <v>553943</v>
      </c>
      <c r="AJ71" s="31">
        <f t="shared" si="103"/>
        <v>513217</v>
      </c>
      <c r="AK71" s="31">
        <f t="shared" si="103"/>
        <v>492761</v>
      </c>
      <c r="AL71" s="31">
        <f t="shared" si="103"/>
        <v>490344</v>
      </c>
      <c r="AM71" s="31">
        <f t="shared" si="103"/>
        <v>498747</v>
      </c>
      <c r="AN71" s="31">
        <f t="shared" si="103"/>
        <v>500272.4</v>
      </c>
      <c r="AO71" s="31">
        <f t="shared" si="103"/>
        <v>575755.69999999995</v>
      </c>
      <c r="AP71" s="31">
        <f t="shared" si="103"/>
        <v>688483</v>
      </c>
      <c r="AQ71" s="31">
        <f t="shared" si="103"/>
        <v>705096</v>
      </c>
      <c r="AR71" s="31">
        <f t="shared" si="103"/>
        <v>831085</v>
      </c>
      <c r="AS71" s="31">
        <f t="shared" si="103"/>
        <v>815458</v>
      </c>
      <c r="AT71" s="31">
        <f t="shared" si="103"/>
        <v>706707</v>
      </c>
      <c r="AU71" s="31">
        <f t="shared" si="103"/>
        <v>553943</v>
      </c>
      <c r="AV71" s="31">
        <f t="shared" si="103"/>
        <v>513217</v>
      </c>
      <c r="AW71" s="31">
        <f t="shared" si="103"/>
        <v>492761</v>
      </c>
      <c r="AX71" s="31">
        <f t="shared" si="103"/>
        <v>490344</v>
      </c>
      <c r="AY71" s="31">
        <f t="shared" si="103"/>
        <v>498747</v>
      </c>
      <c r="AZ71" s="31">
        <f t="shared" si="103"/>
        <v>500272.4</v>
      </c>
      <c r="BA71" s="31">
        <f t="shared" si="103"/>
        <v>575755.69999999995</v>
      </c>
      <c r="BB71" s="31">
        <f t="shared" si="103"/>
        <v>688483</v>
      </c>
      <c r="BC71" s="31">
        <f t="shared" si="103"/>
        <v>705096</v>
      </c>
      <c r="BD71" s="31">
        <f t="shared" si="103"/>
        <v>831085</v>
      </c>
      <c r="BE71" s="31">
        <f t="shared" si="103"/>
        <v>815458</v>
      </c>
      <c r="BF71" s="31">
        <f t="shared" si="103"/>
        <v>706707</v>
      </c>
      <c r="BG71" s="31">
        <f t="shared" si="103"/>
        <v>553943</v>
      </c>
      <c r="BH71" s="31">
        <f t="shared" si="103"/>
        <v>513217</v>
      </c>
      <c r="BI71" s="31">
        <f t="shared" si="103"/>
        <v>492761</v>
      </c>
      <c r="BJ71" s="31">
        <f t="shared" si="103"/>
        <v>490344</v>
      </c>
      <c r="BK71" s="31">
        <f t="shared" si="103"/>
        <v>498747</v>
      </c>
      <c r="BL71" s="31">
        <f t="shared" si="103"/>
        <v>500272.4</v>
      </c>
      <c r="BM71" s="31">
        <f t="shared" si="103"/>
        <v>575755.69999999995</v>
      </c>
      <c r="BN71" s="31">
        <f t="shared" si="103"/>
        <v>688483</v>
      </c>
      <c r="BO71" s="31">
        <f t="shared" si="103"/>
        <v>705096</v>
      </c>
      <c r="BP71" s="31">
        <f t="shared" si="103"/>
        <v>831085</v>
      </c>
      <c r="BQ71" s="31">
        <f t="shared" ref="BQ71:CI71" si="104">BQ68+BQ69+BQ70</f>
        <v>815458</v>
      </c>
      <c r="BR71" s="31">
        <f t="shared" si="104"/>
        <v>706707</v>
      </c>
      <c r="BS71" s="31">
        <f t="shared" si="104"/>
        <v>553943</v>
      </c>
      <c r="BT71" s="31">
        <f t="shared" si="104"/>
        <v>513217</v>
      </c>
      <c r="BU71" s="31">
        <f t="shared" si="104"/>
        <v>492761</v>
      </c>
      <c r="BV71" s="31">
        <f t="shared" si="104"/>
        <v>490344</v>
      </c>
      <c r="BW71" s="31">
        <f t="shared" si="104"/>
        <v>498747</v>
      </c>
      <c r="BX71" s="31">
        <f t="shared" si="104"/>
        <v>500272.4</v>
      </c>
      <c r="BY71" s="31">
        <f t="shared" si="104"/>
        <v>575755.69999999995</v>
      </c>
      <c r="BZ71" s="31">
        <f t="shared" si="104"/>
        <v>688483</v>
      </c>
      <c r="CA71" s="31">
        <f t="shared" si="104"/>
        <v>705096</v>
      </c>
      <c r="CB71" s="31">
        <f t="shared" si="104"/>
        <v>831085</v>
      </c>
      <c r="CC71" s="31">
        <f t="shared" si="104"/>
        <v>815458</v>
      </c>
      <c r="CD71" s="31">
        <f t="shared" si="104"/>
        <v>706707</v>
      </c>
      <c r="CE71" s="31">
        <f t="shared" si="104"/>
        <v>553943</v>
      </c>
      <c r="CF71" s="31">
        <f t="shared" si="104"/>
        <v>513217</v>
      </c>
      <c r="CG71" s="31">
        <f t="shared" si="104"/>
        <v>492761</v>
      </c>
      <c r="CH71" s="31">
        <f t="shared" si="104"/>
        <v>490344</v>
      </c>
      <c r="CI71" s="31">
        <f t="shared" si="104"/>
        <v>498747</v>
      </c>
    </row>
    <row r="72" spans="1:89" x14ac:dyDescent="0.2">
      <c r="A72" s="1">
        <v>63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6"/>
      <c r="V72" s="16"/>
      <c r="W72" s="16"/>
      <c r="X72" s="16"/>
      <c r="Y72" s="16"/>
      <c r="Z72" s="23"/>
      <c r="AA72" s="22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9" x14ac:dyDescent="0.2">
      <c r="A73" s="1">
        <v>64</v>
      </c>
      <c r="B73" s="171" t="s">
        <v>660</v>
      </c>
      <c r="C73" s="1"/>
      <c r="D73" s="101">
        <f>+D74*$C$74+D75*$C$75+D76*$C$76</f>
        <v>6013.38</v>
      </c>
      <c r="E73" s="101">
        <f t="shared" ref="E73:BP73" si="105">+E74*$C$74+E75*$C$75+E76*$C$76</f>
        <v>6479.7750000000005</v>
      </c>
      <c r="F73" s="101">
        <f t="shared" si="105"/>
        <v>9285.1200000000008</v>
      </c>
      <c r="G73" s="101">
        <f t="shared" si="105"/>
        <v>7784.1</v>
      </c>
      <c r="H73" s="101">
        <f t="shared" si="105"/>
        <v>11491.08</v>
      </c>
      <c r="I73" s="101">
        <f t="shared" si="105"/>
        <v>9616.2000000000007</v>
      </c>
      <c r="J73" s="101">
        <f t="shared" si="105"/>
        <v>9104.76</v>
      </c>
      <c r="K73" s="101">
        <f t="shared" si="105"/>
        <v>8520.1949999999997</v>
      </c>
      <c r="L73" s="101">
        <f t="shared" si="105"/>
        <v>7967.7750000000005</v>
      </c>
      <c r="M73" s="101">
        <f t="shared" si="105"/>
        <v>7401.4050000000007</v>
      </c>
      <c r="N73" s="101">
        <f t="shared" si="105"/>
        <v>6769.9350000000004</v>
      </c>
      <c r="O73" s="101">
        <f t="shared" si="105"/>
        <v>6902.9250000000002</v>
      </c>
      <c r="P73" s="101">
        <f t="shared" si="105"/>
        <v>6013.38</v>
      </c>
      <c r="Q73" s="101">
        <f t="shared" si="105"/>
        <v>6479.7750000000005</v>
      </c>
      <c r="R73" s="101">
        <f t="shared" si="105"/>
        <v>9285.1200000000008</v>
      </c>
      <c r="S73" s="101">
        <f t="shared" si="105"/>
        <v>7784.1</v>
      </c>
      <c r="T73" s="101">
        <f t="shared" si="105"/>
        <v>11491.08</v>
      </c>
      <c r="U73" s="101">
        <f t="shared" si="105"/>
        <v>9616.2000000000007</v>
      </c>
      <c r="V73" s="101">
        <f t="shared" si="105"/>
        <v>9104.76</v>
      </c>
      <c r="W73" s="101">
        <f t="shared" si="105"/>
        <v>8520.1949999999997</v>
      </c>
      <c r="X73" s="101">
        <f t="shared" si="105"/>
        <v>7967.7750000000005</v>
      </c>
      <c r="Y73" s="101">
        <f t="shared" si="105"/>
        <v>7401.4050000000007</v>
      </c>
      <c r="Z73" s="101">
        <f t="shared" si="105"/>
        <v>6769.9350000000004</v>
      </c>
      <c r="AA73" s="101">
        <f t="shared" si="105"/>
        <v>6902.9250000000002</v>
      </c>
      <c r="AB73" s="101">
        <f t="shared" si="105"/>
        <v>6013.38</v>
      </c>
      <c r="AC73" s="101">
        <f t="shared" si="105"/>
        <v>6479.7750000000005</v>
      </c>
      <c r="AD73" s="101">
        <f t="shared" si="105"/>
        <v>9285.1200000000008</v>
      </c>
      <c r="AE73" s="101">
        <f t="shared" si="105"/>
        <v>7784.1</v>
      </c>
      <c r="AF73" s="101">
        <f t="shared" si="105"/>
        <v>11491.08</v>
      </c>
      <c r="AG73" s="101">
        <f t="shared" si="105"/>
        <v>9616.2000000000007</v>
      </c>
      <c r="AH73" s="101">
        <f t="shared" si="105"/>
        <v>9104.76</v>
      </c>
      <c r="AI73" s="101">
        <f t="shared" si="105"/>
        <v>8520.1949999999997</v>
      </c>
      <c r="AJ73" s="101">
        <f t="shared" si="105"/>
        <v>7967.7750000000005</v>
      </c>
      <c r="AK73" s="101">
        <f t="shared" si="105"/>
        <v>7401.4050000000007</v>
      </c>
      <c r="AL73" s="101">
        <f t="shared" si="105"/>
        <v>6769.9350000000004</v>
      </c>
      <c r="AM73" s="101">
        <f t="shared" si="105"/>
        <v>6902.9250000000002</v>
      </c>
      <c r="AN73" s="101">
        <f t="shared" si="105"/>
        <v>6013.38</v>
      </c>
      <c r="AO73" s="101">
        <f t="shared" si="105"/>
        <v>6479.7750000000005</v>
      </c>
      <c r="AP73" s="101">
        <f t="shared" si="105"/>
        <v>9285.1200000000008</v>
      </c>
      <c r="AQ73" s="101">
        <f t="shared" si="105"/>
        <v>7784.1</v>
      </c>
      <c r="AR73" s="101">
        <f t="shared" si="105"/>
        <v>11491.08</v>
      </c>
      <c r="AS73" s="101">
        <f t="shared" si="105"/>
        <v>9616.2000000000007</v>
      </c>
      <c r="AT73" s="101">
        <f t="shared" si="105"/>
        <v>9104.76</v>
      </c>
      <c r="AU73" s="101">
        <f t="shared" si="105"/>
        <v>8520.1949999999997</v>
      </c>
      <c r="AV73" s="101">
        <f t="shared" si="105"/>
        <v>7967.7750000000005</v>
      </c>
      <c r="AW73" s="101">
        <f t="shared" si="105"/>
        <v>7401.4050000000007</v>
      </c>
      <c r="AX73" s="101">
        <f t="shared" si="105"/>
        <v>6769.9350000000004</v>
      </c>
      <c r="AY73" s="101">
        <f t="shared" si="105"/>
        <v>6902.9250000000002</v>
      </c>
      <c r="AZ73" s="101">
        <f t="shared" si="105"/>
        <v>6013.38</v>
      </c>
      <c r="BA73" s="101">
        <f t="shared" si="105"/>
        <v>6479.7750000000005</v>
      </c>
      <c r="BB73" s="101">
        <f t="shared" si="105"/>
        <v>9285.1200000000008</v>
      </c>
      <c r="BC73" s="101">
        <f t="shared" si="105"/>
        <v>7784.1</v>
      </c>
      <c r="BD73" s="101">
        <f t="shared" si="105"/>
        <v>11491.08</v>
      </c>
      <c r="BE73" s="101">
        <f t="shared" si="105"/>
        <v>9616.2000000000007</v>
      </c>
      <c r="BF73" s="101">
        <f t="shared" si="105"/>
        <v>9104.76</v>
      </c>
      <c r="BG73" s="101">
        <f t="shared" si="105"/>
        <v>8520.1949999999997</v>
      </c>
      <c r="BH73" s="101">
        <f t="shared" si="105"/>
        <v>7967.7750000000005</v>
      </c>
      <c r="BI73" s="101">
        <f t="shared" si="105"/>
        <v>7401.4050000000007</v>
      </c>
      <c r="BJ73" s="101">
        <f t="shared" si="105"/>
        <v>6769.9350000000004</v>
      </c>
      <c r="BK73" s="101">
        <f t="shared" si="105"/>
        <v>6902.9250000000002</v>
      </c>
      <c r="BL73" s="101">
        <f t="shared" si="105"/>
        <v>6013.38</v>
      </c>
      <c r="BM73" s="101">
        <f t="shared" si="105"/>
        <v>6479.7750000000005</v>
      </c>
      <c r="BN73" s="101">
        <f t="shared" si="105"/>
        <v>9285.1200000000008</v>
      </c>
      <c r="BO73" s="101">
        <f t="shared" si="105"/>
        <v>7784.1</v>
      </c>
      <c r="BP73" s="101">
        <f t="shared" si="105"/>
        <v>11491.08</v>
      </c>
      <c r="BQ73" s="101">
        <f t="shared" ref="BQ73:CI73" si="106">+BQ74*$C$74+BQ75*$C$75+BQ76*$C$76</f>
        <v>9616.2000000000007</v>
      </c>
      <c r="BR73" s="101">
        <f t="shared" si="106"/>
        <v>9104.76</v>
      </c>
      <c r="BS73" s="101">
        <f t="shared" si="106"/>
        <v>8520.1949999999997</v>
      </c>
      <c r="BT73" s="101">
        <f t="shared" si="106"/>
        <v>7967.7750000000005</v>
      </c>
      <c r="BU73" s="101">
        <f t="shared" si="106"/>
        <v>7401.4050000000007</v>
      </c>
      <c r="BV73" s="101">
        <f t="shared" si="106"/>
        <v>6769.9350000000004</v>
      </c>
      <c r="BW73" s="101">
        <f t="shared" si="106"/>
        <v>6902.9250000000002</v>
      </c>
      <c r="BX73" s="101">
        <f t="shared" si="106"/>
        <v>6013.38</v>
      </c>
      <c r="BY73" s="101">
        <f t="shared" si="106"/>
        <v>6479.7750000000005</v>
      </c>
      <c r="BZ73" s="101">
        <f t="shared" si="106"/>
        <v>9285.1200000000008</v>
      </c>
      <c r="CA73" s="101">
        <f t="shared" si="106"/>
        <v>7784.1</v>
      </c>
      <c r="CB73" s="101">
        <f t="shared" si="106"/>
        <v>11491.08</v>
      </c>
      <c r="CC73" s="101">
        <f t="shared" si="106"/>
        <v>9616.2000000000007</v>
      </c>
      <c r="CD73" s="101">
        <f t="shared" si="106"/>
        <v>9104.76</v>
      </c>
      <c r="CE73" s="101">
        <f t="shared" si="106"/>
        <v>8520.1949999999997</v>
      </c>
      <c r="CF73" s="101">
        <f t="shared" si="106"/>
        <v>7967.7750000000005</v>
      </c>
      <c r="CG73" s="101">
        <f t="shared" si="106"/>
        <v>7401.4050000000007</v>
      </c>
      <c r="CH73" s="101">
        <f t="shared" si="106"/>
        <v>6769.9350000000004</v>
      </c>
      <c r="CI73" s="101">
        <f t="shared" si="106"/>
        <v>6902.9250000000002</v>
      </c>
    </row>
    <row r="74" spans="1:89" x14ac:dyDescent="0.2">
      <c r="A74" s="1">
        <v>65</v>
      </c>
      <c r="B74" s="1" t="s">
        <v>32</v>
      </c>
      <c r="C74" s="527">
        <f>'Rate Design'!P23</f>
        <v>0.98850000000000005</v>
      </c>
      <c r="D74" s="70">
        <f>'Bill Frequency'!C63+'Contract &amp; Vol Adj'!C63</f>
        <v>0</v>
      </c>
      <c r="E74" s="70">
        <f>'Bill Frequency'!D63+'Contract &amp; Vol Adj'!D63</f>
        <v>0</v>
      </c>
      <c r="F74" s="70">
        <f>'Bill Frequency'!E63+'Contract &amp; Vol Adj'!E63</f>
        <v>0</v>
      </c>
      <c r="G74" s="70">
        <f>'Bill Frequency'!F63+'Contract &amp; Vol Adj'!F63</f>
        <v>0</v>
      </c>
      <c r="H74" s="70">
        <f>'Bill Frequency'!G63+'Contract &amp; Vol Adj'!G63</f>
        <v>0</v>
      </c>
      <c r="I74" s="70">
        <f>'Bill Frequency'!H63+'Contract &amp; Vol Adj'!H63</f>
        <v>0</v>
      </c>
      <c r="J74" s="70">
        <f>'Bill Frequency'!I63+'Contract &amp; Vol Adj'!I63</f>
        <v>0</v>
      </c>
      <c r="K74" s="70">
        <f>'Bill Frequency'!J63+'Contract &amp; Vol Adj'!J63</f>
        <v>0</v>
      </c>
      <c r="L74" s="70">
        <f>'Bill Frequency'!K63+'Contract &amp; Vol Adj'!K63</f>
        <v>0</v>
      </c>
      <c r="M74" s="70">
        <f>'Bill Frequency'!L63+'Contract &amp; Vol Adj'!L63</f>
        <v>0</v>
      </c>
      <c r="N74" s="70">
        <f>'Bill Frequency'!M63+'Contract &amp; Vol Adj'!M63</f>
        <v>0</v>
      </c>
      <c r="O74" s="70">
        <f>'Bill Frequency'!N63+'Contract &amp; Vol Adj'!N63</f>
        <v>0</v>
      </c>
      <c r="P74" s="6">
        <f t="shared" ref="P74:P76" si="107">D74</f>
        <v>0</v>
      </c>
      <c r="Q74" s="6">
        <f t="shared" ref="Q74:Q76" si="108">E74</f>
        <v>0</v>
      </c>
      <c r="R74" s="6">
        <f t="shared" ref="R74:R76" si="109">F74</f>
        <v>0</v>
      </c>
      <c r="S74" s="6">
        <f t="shared" ref="S74:S76" si="110">G74</f>
        <v>0</v>
      </c>
      <c r="T74" s="6">
        <f t="shared" ref="T74:T76" si="111">H74</f>
        <v>0</v>
      </c>
      <c r="U74" s="6">
        <f t="shared" ref="U74:U76" si="112">I74</f>
        <v>0</v>
      </c>
      <c r="V74" s="6">
        <f t="shared" ref="V74:V76" si="113">J74</f>
        <v>0</v>
      </c>
      <c r="W74" s="6">
        <f t="shared" ref="W74:W76" si="114">K74</f>
        <v>0</v>
      </c>
      <c r="X74" s="6">
        <f t="shared" ref="X74:X76" si="115">L74</f>
        <v>0</v>
      </c>
      <c r="Y74" s="6">
        <f t="shared" ref="Y74:Y76" si="116">M74</f>
        <v>0</v>
      </c>
      <c r="Z74" s="6">
        <f t="shared" ref="Z74:Z76" si="117">N74</f>
        <v>0</v>
      </c>
      <c r="AA74" s="6">
        <f t="shared" ref="AA74:AA76" si="118">O74</f>
        <v>0</v>
      </c>
      <c r="AB74" s="6">
        <f t="shared" ref="AB74:AB76" si="119">P74</f>
        <v>0</v>
      </c>
      <c r="AC74" s="6">
        <f t="shared" ref="AC74:AC76" si="120">Q74</f>
        <v>0</v>
      </c>
      <c r="AD74" s="6">
        <f t="shared" ref="AD74:AD76" si="121">R74</f>
        <v>0</v>
      </c>
      <c r="AE74" s="6">
        <f t="shared" ref="AE74:AE76" si="122">S74</f>
        <v>0</v>
      </c>
      <c r="AF74" s="6">
        <f t="shared" ref="AF74:AF76" si="123">T74</f>
        <v>0</v>
      </c>
      <c r="AG74" s="6">
        <f t="shared" ref="AG74:AG76" si="124">U74</f>
        <v>0</v>
      </c>
      <c r="AH74" s="6">
        <f t="shared" ref="AH74:AH76" si="125">V74</f>
        <v>0</v>
      </c>
      <c r="AI74" s="6">
        <f t="shared" ref="AI74:AI76" si="126">W74</f>
        <v>0</v>
      </c>
      <c r="AJ74" s="6">
        <f t="shared" ref="AJ74:AJ76" si="127">X74</f>
        <v>0</v>
      </c>
      <c r="AK74" s="6">
        <f t="shared" ref="AK74:AK76" si="128">Y74</f>
        <v>0</v>
      </c>
      <c r="AL74" s="6">
        <f t="shared" ref="AL74:AL76" si="129">Z74</f>
        <v>0</v>
      </c>
      <c r="AM74" s="6">
        <f t="shared" ref="AM74:AM76" si="130">AA74</f>
        <v>0</v>
      </c>
      <c r="AN74" s="6">
        <f t="shared" ref="AN74:AN76" si="131">AB74</f>
        <v>0</v>
      </c>
      <c r="AO74" s="6">
        <f t="shared" ref="AO74:AO76" si="132">AC74</f>
        <v>0</v>
      </c>
      <c r="AP74" s="6">
        <f t="shared" ref="AP74:AP76" si="133">AD74</f>
        <v>0</v>
      </c>
      <c r="AQ74" s="6">
        <f t="shared" ref="AQ74:AQ76" si="134">AE74</f>
        <v>0</v>
      </c>
      <c r="AR74" s="6">
        <f t="shared" ref="AR74:AR76" si="135">AF74</f>
        <v>0</v>
      </c>
      <c r="AS74" s="6">
        <f t="shared" ref="AS74:AS76" si="136">AG74</f>
        <v>0</v>
      </c>
      <c r="AT74" s="6">
        <f t="shared" ref="AT74:AT76" si="137">AH74</f>
        <v>0</v>
      </c>
      <c r="AU74" s="6">
        <f t="shared" ref="AU74:AU76" si="138">AI74</f>
        <v>0</v>
      </c>
      <c r="AV74" s="6">
        <f t="shared" ref="AV74:AV76" si="139">AJ74</f>
        <v>0</v>
      </c>
      <c r="AW74" s="6">
        <f t="shared" ref="AW74:AW76" si="140">AK74</f>
        <v>0</v>
      </c>
      <c r="AX74" s="6">
        <f t="shared" ref="AX74:AX76" si="141">AL74</f>
        <v>0</v>
      </c>
      <c r="AY74" s="6">
        <f t="shared" ref="AY74:AY76" si="142">AM74</f>
        <v>0</v>
      </c>
      <c r="AZ74" s="6">
        <f t="shared" ref="AZ74:AZ76" si="143">AN74</f>
        <v>0</v>
      </c>
      <c r="BA74" s="6">
        <f t="shared" ref="BA74:BA76" si="144">AO74</f>
        <v>0</v>
      </c>
      <c r="BB74" s="6">
        <f t="shared" ref="BB74:BB76" si="145">AP74</f>
        <v>0</v>
      </c>
      <c r="BC74" s="6">
        <f t="shared" ref="BC74:BC76" si="146">AQ74</f>
        <v>0</v>
      </c>
      <c r="BD74" s="6">
        <f t="shared" ref="BD74:BD76" si="147">AR74</f>
        <v>0</v>
      </c>
      <c r="BE74" s="6">
        <f t="shared" ref="BE74:BE76" si="148">AS74</f>
        <v>0</v>
      </c>
      <c r="BF74" s="6">
        <f t="shared" ref="BF74:BF76" si="149">AT74</f>
        <v>0</v>
      </c>
      <c r="BG74" s="6">
        <f t="shared" ref="BG74:BG76" si="150">AU74</f>
        <v>0</v>
      </c>
      <c r="BH74" s="6">
        <f t="shared" ref="BH74:BH76" si="151">AV74</f>
        <v>0</v>
      </c>
      <c r="BI74" s="6">
        <f t="shared" ref="BI74:BI76" si="152">AW74</f>
        <v>0</v>
      </c>
      <c r="BJ74" s="6">
        <f t="shared" ref="BJ74:BJ76" si="153">AX74</f>
        <v>0</v>
      </c>
      <c r="BK74" s="6">
        <f t="shared" ref="BK74:BK76" si="154">AY74</f>
        <v>0</v>
      </c>
      <c r="BL74" s="6">
        <f t="shared" ref="BL74:BL76" si="155">AZ74</f>
        <v>0</v>
      </c>
      <c r="BM74" s="6">
        <f t="shared" ref="BM74:BM76" si="156">BA74</f>
        <v>0</v>
      </c>
      <c r="BN74" s="6">
        <f t="shared" ref="BN74:BN76" si="157">BB74</f>
        <v>0</v>
      </c>
      <c r="BO74" s="6">
        <f t="shared" ref="BO74:BO76" si="158">BC74</f>
        <v>0</v>
      </c>
      <c r="BP74" s="6">
        <f t="shared" ref="BP74:BP76" si="159">BD74</f>
        <v>0</v>
      </c>
      <c r="BQ74" s="6">
        <f t="shared" ref="BQ74:BQ76" si="160">BE74</f>
        <v>0</v>
      </c>
      <c r="BR74" s="6">
        <f t="shared" ref="BR74:BR76" si="161">BF74</f>
        <v>0</v>
      </c>
      <c r="BS74" s="6">
        <f t="shared" ref="BS74:BS76" si="162">BG74</f>
        <v>0</v>
      </c>
      <c r="BT74" s="6">
        <f t="shared" ref="BT74:BT76" si="163">BH74</f>
        <v>0</v>
      </c>
      <c r="BU74" s="6">
        <f t="shared" ref="BU74:BU76" si="164">BI74</f>
        <v>0</v>
      </c>
      <c r="BV74" s="6">
        <f t="shared" ref="BV74:BV76" si="165">BJ74</f>
        <v>0</v>
      </c>
      <c r="BW74" s="6">
        <f t="shared" ref="BW74:BW76" si="166">BK74</f>
        <v>0</v>
      </c>
      <c r="BX74" s="6">
        <f t="shared" ref="BX74:BX76" si="167">BL74</f>
        <v>0</v>
      </c>
      <c r="BY74" s="6">
        <f t="shared" ref="BY74:BY76" si="168">BM74</f>
        <v>0</v>
      </c>
      <c r="BZ74" s="6">
        <f t="shared" ref="BZ74:BZ76" si="169">BN74</f>
        <v>0</v>
      </c>
      <c r="CA74" s="6">
        <f t="shared" ref="CA74:CA76" si="170">BO74</f>
        <v>0</v>
      </c>
      <c r="CB74" s="6">
        <f t="shared" ref="CB74:CB76" si="171">BP74</f>
        <v>0</v>
      </c>
      <c r="CC74" s="6">
        <f t="shared" ref="CC74:CC76" si="172">BQ74</f>
        <v>0</v>
      </c>
      <c r="CD74" s="6">
        <f t="shared" ref="CD74:CD76" si="173">BR74</f>
        <v>0</v>
      </c>
      <c r="CE74" s="6">
        <f t="shared" ref="CE74:CE76" si="174">BS74</f>
        <v>0</v>
      </c>
      <c r="CF74" s="6">
        <f t="shared" ref="CF74:CF76" si="175">BT74</f>
        <v>0</v>
      </c>
      <c r="CG74" s="6">
        <f t="shared" ref="CG74:CG76" si="176">BU74</f>
        <v>0</v>
      </c>
      <c r="CH74" s="6">
        <f t="shared" ref="CH74:CH76" si="177">BV74</f>
        <v>0</v>
      </c>
      <c r="CI74" s="6">
        <f t="shared" ref="CI74:CI76" si="178">BW74</f>
        <v>0</v>
      </c>
    </row>
    <row r="75" spans="1:89" x14ac:dyDescent="0.2">
      <c r="A75" s="1">
        <v>66</v>
      </c>
      <c r="B75" s="1" t="s">
        <v>33</v>
      </c>
      <c r="C75" s="527">
        <f>'Rate Design'!P24</f>
        <v>0.66</v>
      </c>
      <c r="D75" s="70">
        <f>'Bill Frequency'!C64+'Contract &amp; Vol Adj'!C64</f>
        <v>0</v>
      </c>
      <c r="E75" s="70">
        <f>'Bill Frequency'!D64+'Contract &amp; Vol Adj'!D64</f>
        <v>0</v>
      </c>
      <c r="F75" s="70">
        <f>'Bill Frequency'!E64+'Contract &amp; Vol Adj'!E64</f>
        <v>2728</v>
      </c>
      <c r="G75" s="70">
        <f>'Bill Frequency'!F64+'Contract &amp; Vol Adj'!F64</f>
        <v>2728</v>
      </c>
      <c r="H75" s="70">
        <f>'Bill Frequency'!G64+'Contract &amp; Vol Adj'!G64</f>
        <v>2728</v>
      </c>
      <c r="I75" s="70">
        <f>'Bill Frequency'!H64+'Contract &amp; Vol Adj'!H64</f>
        <v>2728</v>
      </c>
      <c r="J75" s="70">
        <f>'Bill Frequency'!I64+'Contract &amp; Vol Adj'!I64</f>
        <v>2342</v>
      </c>
      <c r="K75" s="70">
        <f>'Bill Frequency'!J64+'Contract &amp; Vol Adj'!J64</f>
        <v>0</v>
      </c>
      <c r="L75" s="70">
        <f>'Bill Frequency'!K64+'Contract &amp; Vol Adj'!K64</f>
        <v>0</v>
      </c>
      <c r="M75" s="70">
        <f>'Bill Frequency'!L64+'Contract &amp; Vol Adj'!L64</f>
        <v>0</v>
      </c>
      <c r="N75" s="70">
        <f>'Bill Frequency'!M64+'Contract &amp; Vol Adj'!M64</f>
        <v>0</v>
      </c>
      <c r="O75" s="70">
        <f>'Bill Frequency'!N64+'Contract &amp; Vol Adj'!N64</f>
        <v>0</v>
      </c>
      <c r="P75" s="6">
        <f t="shared" si="107"/>
        <v>0</v>
      </c>
      <c r="Q75" s="6">
        <f t="shared" si="108"/>
        <v>0</v>
      </c>
      <c r="R75" s="6">
        <f t="shared" si="109"/>
        <v>2728</v>
      </c>
      <c r="S75" s="6">
        <f t="shared" si="110"/>
        <v>2728</v>
      </c>
      <c r="T75" s="6">
        <f t="shared" si="111"/>
        <v>2728</v>
      </c>
      <c r="U75" s="6">
        <f t="shared" si="112"/>
        <v>2728</v>
      </c>
      <c r="V75" s="6">
        <f t="shared" si="113"/>
        <v>2342</v>
      </c>
      <c r="W75" s="6">
        <f t="shared" si="114"/>
        <v>0</v>
      </c>
      <c r="X75" s="6">
        <f t="shared" si="115"/>
        <v>0</v>
      </c>
      <c r="Y75" s="6">
        <f t="shared" si="116"/>
        <v>0</v>
      </c>
      <c r="Z75" s="6">
        <f t="shared" si="117"/>
        <v>0</v>
      </c>
      <c r="AA75" s="6">
        <f t="shared" si="118"/>
        <v>0</v>
      </c>
      <c r="AB75" s="6">
        <f t="shared" si="119"/>
        <v>0</v>
      </c>
      <c r="AC75" s="6">
        <f t="shared" si="120"/>
        <v>0</v>
      </c>
      <c r="AD75" s="6">
        <f t="shared" si="121"/>
        <v>2728</v>
      </c>
      <c r="AE75" s="6">
        <f t="shared" si="122"/>
        <v>2728</v>
      </c>
      <c r="AF75" s="6">
        <f t="shared" si="123"/>
        <v>2728</v>
      </c>
      <c r="AG75" s="6">
        <f t="shared" si="124"/>
        <v>2728</v>
      </c>
      <c r="AH75" s="6">
        <f t="shared" si="125"/>
        <v>2342</v>
      </c>
      <c r="AI75" s="6">
        <f t="shared" si="126"/>
        <v>0</v>
      </c>
      <c r="AJ75" s="6">
        <f t="shared" si="127"/>
        <v>0</v>
      </c>
      <c r="AK75" s="6">
        <f t="shared" si="128"/>
        <v>0</v>
      </c>
      <c r="AL75" s="6">
        <f t="shared" si="129"/>
        <v>0</v>
      </c>
      <c r="AM75" s="6">
        <f t="shared" si="130"/>
        <v>0</v>
      </c>
      <c r="AN75" s="6">
        <f t="shared" si="131"/>
        <v>0</v>
      </c>
      <c r="AO75" s="6">
        <f t="shared" si="132"/>
        <v>0</v>
      </c>
      <c r="AP75" s="6">
        <f t="shared" si="133"/>
        <v>2728</v>
      </c>
      <c r="AQ75" s="6">
        <f t="shared" si="134"/>
        <v>2728</v>
      </c>
      <c r="AR75" s="6">
        <f t="shared" si="135"/>
        <v>2728</v>
      </c>
      <c r="AS75" s="6">
        <f t="shared" si="136"/>
        <v>2728</v>
      </c>
      <c r="AT75" s="6">
        <f t="shared" si="137"/>
        <v>2342</v>
      </c>
      <c r="AU75" s="6">
        <f t="shared" si="138"/>
        <v>0</v>
      </c>
      <c r="AV75" s="6">
        <f t="shared" si="139"/>
        <v>0</v>
      </c>
      <c r="AW75" s="6">
        <f t="shared" si="140"/>
        <v>0</v>
      </c>
      <c r="AX75" s="6">
        <f t="shared" si="141"/>
        <v>0</v>
      </c>
      <c r="AY75" s="6">
        <f t="shared" si="142"/>
        <v>0</v>
      </c>
      <c r="AZ75" s="6">
        <f t="shared" si="143"/>
        <v>0</v>
      </c>
      <c r="BA75" s="6">
        <f t="shared" si="144"/>
        <v>0</v>
      </c>
      <c r="BB75" s="6">
        <f t="shared" si="145"/>
        <v>2728</v>
      </c>
      <c r="BC75" s="6">
        <f t="shared" si="146"/>
        <v>2728</v>
      </c>
      <c r="BD75" s="6">
        <f t="shared" si="147"/>
        <v>2728</v>
      </c>
      <c r="BE75" s="6">
        <f t="shared" si="148"/>
        <v>2728</v>
      </c>
      <c r="BF75" s="6">
        <f t="shared" si="149"/>
        <v>2342</v>
      </c>
      <c r="BG75" s="6">
        <f t="shared" si="150"/>
        <v>0</v>
      </c>
      <c r="BH75" s="6">
        <f t="shared" si="151"/>
        <v>0</v>
      </c>
      <c r="BI75" s="6">
        <f t="shared" si="152"/>
        <v>0</v>
      </c>
      <c r="BJ75" s="6">
        <f t="shared" si="153"/>
        <v>0</v>
      </c>
      <c r="BK75" s="6">
        <f t="shared" si="154"/>
        <v>0</v>
      </c>
      <c r="BL75" s="6">
        <f t="shared" si="155"/>
        <v>0</v>
      </c>
      <c r="BM75" s="6">
        <f t="shared" si="156"/>
        <v>0</v>
      </c>
      <c r="BN75" s="6">
        <f t="shared" si="157"/>
        <v>2728</v>
      </c>
      <c r="BO75" s="6">
        <f t="shared" si="158"/>
        <v>2728</v>
      </c>
      <c r="BP75" s="6">
        <f t="shared" si="159"/>
        <v>2728</v>
      </c>
      <c r="BQ75" s="6">
        <f t="shared" si="160"/>
        <v>2728</v>
      </c>
      <c r="BR75" s="6">
        <f t="shared" si="161"/>
        <v>2342</v>
      </c>
      <c r="BS75" s="6">
        <f t="shared" si="162"/>
        <v>0</v>
      </c>
      <c r="BT75" s="6">
        <f t="shared" si="163"/>
        <v>0</v>
      </c>
      <c r="BU75" s="6">
        <f t="shared" si="164"/>
        <v>0</v>
      </c>
      <c r="BV75" s="6">
        <f t="shared" si="165"/>
        <v>0</v>
      </c>
      <c r="BW75" s="6">
        <f t="shared" si="166"/>
        <v>0</v>
      </c>
      <c r="BX75" s="6">
        <f t="shared" si="167"/>
        <v>0</v>
      </c>
      <c r="BY75" s="6">
        <f t="shared" si="168"/>
        <v>0</v>
      </c>
      <c r="BZ75" s="6">
        <f t="shared" si="169"/>
        <v>2728</v>
      </c>
      <c r="CA75" s="6">
        <f t="shared" si="170"/>
        <v>2728</v>
      </c>
      <c r="CB75" s="6">
        <f t="shared" si="171"/>
        <v>2728</v>
      </c>
      <c r="CC75" s="6">
        <f t="shared" si="172"/>
        <v>2728</v>
      </c>
      <c r="CD75" s="6">
        <f t="shared" si="173"/>
        <v>2342</v>
      </c>
      <c r="CE75" s="6">
        <f t="shared" si="174"/>
        <v>0</v>
      </c>
      <c r="CF75" s="6">
        <f t="shared" si="175"/>
        <v>0</v>
      </c>
      <c r="CG75" s="6">
        <f t="shared" si="176"/>
        <v>0</v>
      </c>
      <c r="CH75" s="6">
        <f t="shared" si="177"/>
        <v>0</v>
      </c>
      <c r="CI75" s="6">
        <f t="shared" si="178"/>
        <v>0</v>
      </c>
    </row>
    <row r="76" spans="1:89" x14ac:dyDescent="0.2">
      <c r="A76" s="1">
        <v>67</v>
      </c>
      <c r="B76" s="1" t="s">
        <v>661</v>
      </c>
      <c r="C76" s="527">
        <f>'Rate Design'!P25</f>
        <v>0.46500000000000002</v>
      </c>
      <c r="D76" s="70">
        <f>'Bill Frequency'!C65+'Contract &amp; Vol Adj'!C65</f>
        <v>12932</v>
      </c>
      <c r="E76" s="70">
        <f>'Bill Frequency'!D65+'Contract &amp; Vol Adj'!D65</f>
        <v>13935</v>
      </c>
      <c r="F76" s="70">
        <f>'Bill Frequency'!E65+'Contract &amp; Vol Adj'!E65</f>
        <v>16096</v>
      </c>
      <c r="G76" s="70">
        <f>'Bill Frequency'!F65+'Contract &amp; Vol Adj'!F65</f>
        <v>12868</v>
      </c>
      <c r="H76" s="70">
        <f>'Bill Frequency'!G65+'Contract &amp; Vol Adj'!G65</f>
        <v>20840</v>
      </c>
      <c r="I76" s="70">
        <f>'Bill Frequency'!H65+'Contract &amp; Vol Adj'!H65</f>
        <v>16808</v>
      </c>
      <c r="J76" s="70">
        <f>'Bill Frequency'!I65+'Contract &amp; Vol Adj'!I65</f>
        <v>16256</v>
      </c>
      <c r="K76" s="70">
        <f>'Bill Frequency'!J65+'Contract &amp; Vol Adj'!J65</f>
        <v>18323</v>
      </c>
      <c r="L76" s="70">
        <f>'Bill Frequency'!K65+'Contract &amp; Vol Adj'!K65</f>
        <v>17135</v>
      </c>
      <c r="M76" s="70">
        <f>'Bill Frequency'!L65+'Contract &amp; Vol Adj'!L65</f>
        <v>15917</v>
      </c>
      <c r="N76" s="70">
        <f>'Bill Frequency'!M65+'Contract &amp; Vol Adj'!M65</f>
        <v>14559</v>
      </c>
      <c r="O76" s="70">
        <f>'Bill Frequency'!N65+'Contract &amp; Vol Adj'!N65</f>
        <v>14845</v>
      </c>
      <c r="P76" s="6">
        <f t="shared" si="107"/>
        <v>12932</v>
      </c>
      <c r="Q76" s="6">
        <f t="shared" si="108"/>
        <v>13935</v>
      </c>
      <c r="R76" s="6">
        <f t="shared" si="109"/>
        <v>16096</v>
      </c>
      <c r="S76" s="6">
        <f t="shared" si="110"/>
        <v>12868</v>
      </c>
      <c r="T76" s="6">
        <f t="shared" si="111"/>
        <v>20840</v>
      </c>
      <c r="U76" s="6">
        <f t="shared" si="112"/>
        <v>16808</v>
      </c>
      <c r="V76" s="6">
        <f t="shared" si="113"/>
        <v>16256</v>
      </c>
      <c r="W76" s="6">
        <f t="shared" si="114"/>
        <v>18323</v>
      </c>
      <c r="X76" s="6">
        <f t="shared" si="115"/>
        <v>17135</v>
      </c>
      <c r="Y76" s="6">
        <f t="shared" si="116"/>
        <v>15917</v>
      </c>
      <c r="Z76" s="6">
        <f t="shared" si="117"/>
        <v>14559</v>
      </c>
      <c r="AA76" s="6">
        <f t="shared" si="118"/>
        <v>14845</v>
      </c>
      <c r="AB76" s="6">
        <f t="shared" si="119"/>
        <v>12932</v>
      </c>
      <c r="AC76" s="6">
        <f t="shared" si="120"/>
        <v>13935</v>
      </c>
      <c r="AD76" s="6">
        <f t="shared" si="121"/>
        <v>16096</v>
      </c>
      <c r="AE76" s="6">
        <f t="shared" si="122"/>
        <v>12868</v>
      </c>
      <c r="AF76" s="6">
        <f t="shared" si="123"/>
        <v>20840</v>
      </c>
      <c r="AG76" s="6">
        <f t="shared" si="124"/>
        <v>16808</v>
      </c>
      <c r="AH76" s="6">
        <f t="shared" si="125"/>
        <v>16256</v>
      </c>
      <c r="AI76" s="6">
        <f t="shared" si="126"/>
        <v>18323</v>
      </c>
      <c r="AJ76" s="6">
        <f t="shared" si="127"/>
        <v>17135</v>
      </c>
      <c r="AK76" s="6">
        <f t="shared" si="128"/>
        <v>15917</v>
      </c>
      <c r="AL76" s="6">
        <f t="shared" si="129"/>
        <v>14559</v>
      </c>
      <c r="AM76" s="6">
        <f t="shared" si="130"/>
        <v>14845</v>
      </c>
      <c r="AN76" s="6">
        <f t="shared" si="131"/>
        <v>12932</v>
      </c>
      <c r="AO76" s="6">
        <f t="shared" si="132"/>
        <v>13935</v>
      </c>
      <c r="AP76" s="6">
        <f t="shared" si="133"/>
        <v>16096</v>
      </c>
      <c r="AQ76" s="6">
        <f t="shared" si="134"/>
        <v>12868</v>
      </c>
      <c r="AR76" s="6">
        <f t="shared" si="135"/>
        <v>20840</v>
      </c>
      <c r="AS76" s="6">
        <f t="shared" si="136"/>
        <v>16808</v>
      </c>
      <c r="AT76" s="6">
        <f t="shared" si="137"/>
        <v>16256</v>
      </c>
      <c r="AU76" s="6">
        <f t="shared" si="138"/>
        <v>18323</v>
      </c>
      <c r="AV76" s="6">
        <f t="shared" si="139"/>
        <v>17135</v>
      </c>
      <c r="AW76" s="6">
        <f t="shared" si="140"/>
        <v>15917</v>
      </c>
      <c r="AX76" s="6">
        <f t="shared" si="141"/>
        <v>14559</v>
      </c>
      <c r="AY76" s="6">
        <f t="shared" si="142"/>
        <v>14845</v>
      </c>
      <c r="AZ76" s="6">
        <f t="shared" si="143"/>
        <v>12932</v>
      </c>
      <c r="BA76" s="6">
        <f t="shared" si="144"/>
        <v>13935</v>
      </c>
      <c r="BB76" s="6">
        <f t="shared" si="145"/>
        <v>16096</v>
      </c>
      <c r="BC76" s="6">
        <f t="shared" si="146"/>
        <v>12868</v>
      </c>
      <c r="BD76" s="6">
        <f t="shared" si="147"/>
        <v>20840</v>
      </c>
      <c r="BE76" s="6">
        <f t="shared" si="148"/>
        <v>16808</v>
      </c>
      <c r="BF76" s="6">
        <f t="shared" si="149"/>
        <v>16256</v>
      </c>
      <c r="BG76" s="6">
        <f t="shared" si="150"/>
        <v>18323</v>
      </c>
      <c r="BH76" s="6">
        <f t="shared" si="151"/>
        <v>17135</v>
      </c>
      <c r="BI76" s="6">
        <f t="shared" si="152"/>
        <v>15917</v>
      </c>
      <c r="BJ76" s="6">
        <f t="shared" si="153"/>
        <v>14559</v>
      </c>
      <c r="BK76" s="6">
        <f t="shared" si="154"/>
        <v>14845</v>
      </c>
      <c r="BL76" s="6">
        <f t="shared" si="155"/>
        <v>12932</v>
      </c>
      <c r="BM76" s="6">
        <f t="shared" si="156"/>
        <v>13935</v>
      </c>
      <c r="BN76" s="6">
        <f t="shared" si="157"/>
        <v>16096</v>
      </c>
      <c r="BO76" s="6">
        <f t="shared" si="158"/>
        <v>12868</v>
      </c>
      <c r="BP76" s="6">
        <f t="shared" si="159"/>
        <v>20840</v>
      </c>
      <c r="BQ76" s="6">
        <f t="shared" si="160"/>
        <v>16808</v>
      </c>
      <c r="BR76" s="6">
        <f t="shared" si="161"/>
        <v>16256</v>
      </c>
      <c r="BS76" s="6">
        <f t="shared" si="162"/>
        <v>18323</v>
      </c>
      <c r="BT76" s="6">
        <f t="shared" si="163"/>
        <v>17135</v>
      </c>
      <c r="BU76" s="6">
        <f t="shared" si="164"/>
        <v>15917</v>
      </c>
      <c r="BV76" s="6">
        <f t="shared" si="165"/>
        <v>14559</v>
      </c>
      <c r="BW76" s="6">
        <f t="shared" si="166"/>
        <v>14845</v>
      </c>
      <c r="BX76" s="6">
        <f t="shared" si="167"/>
        <v>12932</v>
      </c>
      <c r="BY76" s="6">
        <f t="shared" si="168"/>
        <v>13935</v>
      </c>
      <c r="BZ76" s="6">
        <f t="shared" si="169"/>
        <v>16096</v>
      </c>
      <c r="CA76" s="6">
        <f t="shared" si="170"/>
        <v>12868</v>
      </c>
      <c r="CB76" s="6">
        <f t="shared" si="171"/>
        <v>20840</v>
      </c>
      <c r="CC76" s="6">
        <f t="shared" si="172"/>
        <v>16808</v>
      </c>
      <c r="CD76" s="6">
        <f t="shared" si="173"/>
        <v>16256</v>
      </c>
      <c r="CE76" s="6">
        <f t="shared" si="174"/>
        <v>18323</v>
      </c>
      <c r="CF76" s="6">
        <f t="shared" si="175"/>
        <v>17135</v>
      </c>
      <c r="CG76" s="6">
        <f t="shared" si="176"/>
        <v>15917</v>
      </c>
      <c r="CH76" s="6">
        <f t="shared" si="177"/>
        <v>14559</v>
      </c>
      <c r="CI76" s="6">
        <f t="shared" si="178"/>
        <v>14845</v>
      </c>
    </row>
    <row r="77" spans="1:89" x14ac:dyDescent="0.2">
      <c r="A77" s="1">
        <v>68</v>
      </c>
      <c r="B77" s="32" t="s">
        <v>79</v>
      </c>
      <c r="C77" s="31"/>
      <c r="D77" s="31">
        <f>D74+D75+D76</f>
        <v>12932</v>
      </c>
      <c r="E77" s="31">
        <f t="shared" ref="E77:BP77" si="179">E74+E75+E76</f>
        <v>13935</v>
      </c>
      <c r="F77" s="31">
        <f t="shared" si="179"/>
        <v>18824</v>
      </c>
      <c r="G77" s="31">
        <f t="shared" si="179"/>
        <v>15596</v>
      </c>
      <c r="H77" s="31">
        <f t="shared" si="179"/>
        <v>23568</v>
      </c>
      <c r="I77" s="31">
        <f t="shared" si="179"/>
        <v>19536</v>
      </c>
      <c r="J77" s="31">
        <f t="shared" si="179"/>
        <v>18598</v>
      </c>
      <c r="K77" s="31">
        <f t="shared" si="179"/>
        <v>18323</v>
      </c>
      <c r="L77" s="31">
        <f t="shared" si="179"/>
        <v>17135</v>
      </c>
      <c r="M77" s="31">
        <f t="shared" si="179"/>
        <v>15917</v>
      </c>
      <c r="N77" s="31">
        <f t="shared" si="179"/>
        <v>14559</v>
      </c>
      <c r="O77" s="31">
        <f t="shared" si="179"/>
        <v>14845</v>
      </c>
      <c r="P77" s="31">
        <f t="shared" si="179"/>
        <v>12932</v>
      </c>
      <c r="Q77" s="31">
        <f t="shared" si="179"/>
        <v>13935</v>
      </c>
      <c r="R77" s="31">
        <f t="shared" si="179"/>
        <v>18824</v>
      </c>
      <c r="S77" s="31">
        <f t="shared" si="179"/>
        <v>15596</v>
      </c>
      <c r="T77" s="31">
        <f t="shared" si="179"/>
        <v>23568</v>
      </c>
      <c r="U77" s="31">
        <f t="shared" si="179"/>
        <v>19536</v>
      </c>
      <c r="V77" s="31">
        <f t="shared" si="179"/>
        <v>18598</v>
      </c>
      <c r="W77" s="31">
        <f t="shared" si="179"/>
        <v>18323</v>
      </c>
      <c r="X77" s="31">
        <f t="shared" si="179"/>
        <v>17135</v>
      </c>
      <c r="Y77" s="31">
        <f t="shared" si="179"/>
        <v>15917</v>
      </c>
      <c r="Z77" s="31">
        <f t="shared" si="179"/>
        <v>14559</v>
      </c>
      <c r="AA77" s="31">
        <f t="shared" si="179"/>
        <v>14845</v>
      </c>
      <c r="AB77" s="31">
        <f t="shared" si="179"/>
        <v>12932</v>
      </c>
      <c r="AC77" s="31">
        <f t="shared" si="179"/>
        <v>13935</v>
      </c>
      <c r="AD77" s="31">
        <f t="shared" si="179"/>
        <v>18824</v>
      </c>
      <c r="AE77" s="31">
        <f t="shared" si="179"/>
        <v>15596</v>
      </c>
      <c r="AF77" s="31">
        <f t="shared" si="179"/>
        <v>23568</v>
      </c>
      <c r="AG77" s="31">
        <f t="shared" si="179"/>
        <v>19536</v>
      </c>
      <c r="AH77" s="31">
        <f t="shared" si="179"/>
        <v>18598</v>
      </c>
      <c r="AI77" s="31">
        <f t="shared" si="179"/>
        <v>18323</v>
      </c>
      <c r="AJ77" s="31">
        <f t="shared" si="179"/>
        <v>17135</v>
      </c>
      <c r="AK77" s="31">
        <f t="shared" si="179"/>
        <v>15917</v>
      </c>
      <c r="AL77" s="31">
        <f t="shared" si="179"/>
        <v>14559</v>
      </c>
      <c r="AM77" s="31">
        <f t="shared" si="179"/>
        <v>14845</v>
      </c>
      <c r="AN77" s="31">
        <f t="shared" si="179"/>
        <v>12932</v>
      </c>
      <c r="AO77" s="31">
        <f t="shared" si="179"/>
        <v>13935</v>
      </c>
      <c r="AP77" s="31">
        <f t="shared" si="179"/>
        <v>18824</v>
      </c>
      <c r="AQ77" s="31">
        <f t="shared" si="179"/>
        <v>15596</v>
      </c>
      <c r="AR77" s="31">
        <f t="shared" si="179"/>
        <v>23568</v>
      </c>
      <c r="AS77" s="31">
        <f t="shared" si="179"/>
        <v>19536</v>
      </c>
      <c r="AT77" s="31">
        <f t="shared" si="179"/>
        <v>18598</v>
      </c>
      <c r="AU77" s="31">
        <f t="shared" si="179"/>
        <v>18323</v>
      </c>
      <c r="AV77" s="31">
        <f t="shared" si="179"/>
        <v>17135</v>
      </c>
      <c r="AW77" s="31">
        <f t="shared" si="179"/>
        <v>15917</v>
      </c>
      <c r="AX77" s="31">
        <f t="shared" si="179"/>
        <v>14559</v>
      </c>
      <c r="AY77" s="31">
        <f t="shared" si="179"/>
        <v>14845</v>
      </c>
      <c r="AZ77" s="31">
        <f t="shared" si="179"/>
        <v>12932</v>
      </c>
      <c r="BA77" s="31">
        <f t="shared" si="179"/>
        <v>13935</v>
      </c>
      <c r="BB77" s="31">
        <f t="shared" si="179"/>
        <v>18824</v>
      </c>
      <c r="BC77" s="31">
        <f t="shared" si="179"/>
        <v>15596</v>
      </c>
      <c r="BD77" s="31">
        <f t="shared" si="179"/>
        <v>23568</v>
      </c>
      <c r="BE77" s="31">
        <f t="shared" si="179"/>
        <v>19536</v>
      </c>
      <c r="BF77" s="31">
        <f t="shared" si="179"/>
        <v>18598</v>
      </c>
      <c r="BG77" s="31">
        <f t="shared" si="179"/>
        <v>18323</v>
      </c>
      <c r="BH77" s="31">
        <f t="shared" si="179"/>
        <v>17135</v>
      </c>
      <c r="BI77" s="31">
        <f t="shared" si="179"/>
        <v>15917</v>
      </c>
      <c r="BJ77" s="31">
        <f t="shared" si="179"/>
        <v>14559</v>
      </c>
      <c r="BK77" s="31">
        <f t="shared" si="179"/>
        <v>14845</v>
      </c>
      <c r="BL77" s="31">
        <f t="shared" si="179"/>
        <v>12932</v>
      </c>
      <c r="BM77" s="31">
        <f t="shared" si="179"/>
        <v>13935</v>
      </c>
      <c r="BN77" s="31">
        <f t="shared" si="179"/>
        <v>18824</v>
      </c>
      <c r="BO77" s="31">
        <f t="shared" si="179"/>
        <v>15596</v>
      </c>
      <c r="BP77" s="31">
        <f t="shared" si="179"/>
        <v>23568</v>
      </c>
      <c r="BQ77" s="31">
        <f t="shared" ref="BQ77:CI77" si="180">BQ74+BQ75+BQ76</f>
        <v>19536</v>
      </c>
      <c r="BR77" s="31">
        <f t="shared" si="180"/>
        <v>18598</v>
      </c>
      <c r="BS77" s="31">
        <f t="shared" si="180"/>
        <v>18323</v>
      </c>
      <c r="BT77" s="31">
        <f t="shared" si="180"/>
        <v>17135</v>
      </c>
      <c r="BU77" s="31">
        <f t="shared" si="180"/>
        <v>15917</v>
      </c>
      <c r="BV77" s="31">
        <f t="shared" si="180"/>
        <v>14559</v>
      </c>
      <c r="BW77" s="31">
        <f t="shared" si="180"/>
        <v>14845</v>
      </c>
      <c r="BX77" s="31">
        <f t="shared" si="180"/>
        <v>12932</v>
      </c>
      <c r="BY77" s="31">
        <f t="shared" si="180"/>
        <v>13935</v>
      </c>
      <c r="BZ77" s="31">
        <f t="shared" si="180"/>
        <v>18824</v>
      </c>
      <c r="CA77" s="31">
        <f t="shared" si="180"/>
        <v>15596</v>
      </c>
      <c r="CB77" s="31">
        <f t="shared" si="180"/>
        <v>23568</v>
      </c>
      <c r="CC77" s="31">
        <f t="shared" si="180"/>
        <v>19536</v>
      </c>
      <c r="CD77" s="31">
        <f t="shared" si="180"/>
        <v>18598</v>
      </c>
      <c r="CE77" s="31">
        <f t="shared" si="180"/>
        <v>18323</v>
      </c>
      <c r="CF77" s="31">
        <f t="shared" si="180"/>
        <v>17135</v>
      </c>
      <c r="CG77" s="31">
        <f t="shared" si="180"/>
        <v>15917</v>
      </c>
      <c r="CH77" s="31">
        <f t="shared" si="180"/>
        <v>14559</v>
      </c>
      <c r="CI77" s="31">
        <f t="shared" si="180"/>
        <v>14845</v>
      </c>
    </row>
    <row r="78" spans="1:89" x14ac:dyDescent="0.2">
      <c r="A78" s="1">
        <v>69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6"/>
      <c r="V78" s="16"/>
      <c r="W78" s="16"/>
      <c r="X78" s="16"/>
      <c r="Y78" s="16"/>
      <c r="Z78" s="23"/>
      <c r="AA78" s="22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9" x14ac:dyDescent="0.2">
      <c r="A79" s="1">
        <v>70</v>
      </c>
      <c r="B79" s="171" t="s">
        <v>89</v>
      </c>
      <c r="C79" s="1"/>
      <c r="D79" s="101">
        <f t="shared" ref="D79:AI79" si="181">D80*$C$80+D84*$C$84+D85*$C$85+D81+D82+D83</f>
        <v>508017.61640000006</v>
      </c>
      <c r="E79" s="101">
        <f t="shared" si="181"/>
        <v>579075.79640000011</v>
      </c>
      <c r="F79" s="101">
        <f t="shared" si="181"/>
        <v>599422.22200000007</v>
      </c>
      <c r="G79" s="101">
        <f t="shared" si="181"/>
        <v>596679.37980000011</v>
      </c>
      <c r="H79" s="101">
        <f t="shared" si="181"/>
        <v>629062.53500000003</v>
      </c>
      <c r="I79" s="101">
        <f t="shared" si="181"/>
        <v>593413.46840000001</v>
      </c>
      <c r="J79" s="101">
        <f t="shared" si="181"/>
        <v>601479.24959999998</v>
      </c>
      <c r="K79" s="101">
        <f t="shared" si="181"/>
        <v>544638.83100000001</v>
      </c>
      <c r="L79" s="101">
        <f t="shared" si="181"/>
        <v>533812.58660000004</v>
      </c>
      <c r="M79" s="101">
        <f t="shared" si="181"/>
        <v>515642.40620000003</v>
      </c>
      <c r="N79" s="101">
        <f t="shared" si="181"/>
        <v>479973.34220000001</v>
      </c>
      <c r="O79" s="101">
        <f t="shared" si="181"/>
        <v>523987.62860000005</v>
      </c>
      <c r="P79" s="101">
        <f t="shared" si="181"/>
        <v>508017.61640000006</v>
      </c>
      <c r="Q79" s="101">
        <f t="shared" si="181"/>
        <v>579075.79640000011</v>
      </c>
      <c r="R79" s="101">
        <f t="shared" si="181"/>
        <v>599422.22200000007</v>
      </c>
      <c r="S79" s="101">
        <f t="shared" si="181"/>
        <v>596679.37980000011</v>
      </c>
      <c r="T79" s="101">
        <f t="shared" si="181"/>
        <v>629062.53500000003</v>
      </c>
      <c r="U79" s="101">
        <f t="shared" si="181"/>
        <v>593413.46840000001</v>
      </c>
      <c r="V79" s="101">
        <f t="shared" si="181"/>
        <v>601479.24959999998</v>
      </c>
      <c r="W79" s="101">
        <f t="shared" si="181"/>
        <v>544638.83100000001</v>
      </c>
      <c r="X79" s="101">
        <f t="shared" si="181"/>
        <v>533812.58660000004</v>
      </c>
      <c r="Y79" s="101">
        <f t="shared" si="181"/>
        <v>515642.40620000003</v>
      </c>
      <c r="Z79" s="101">
        <f t="shared" si="181"/>
        <v>479973.34220000001</v>
      </c>
      <c r="AA79" s="101">
        <f t="shared" si="181"/>
        <v>523987.62860000005</v>
      </c>
      <c r="AB79" s="101">
        <f t="shared" si="181"/>
        <v>508017.61640000006</v>
      </c>
      <c r="AC79" s="101">
        <f t="shared" si="181"/>
        <v>579075.79640000011</v>
      </c>
      <c r="AD79" s="101">
        <f t="shared" si="181"/>
        <v>599422.22200000007</v>
      </c>
      <c r="AE79" s="101">
        <f t="shared" si="181"/>
        <v>596679.37980000011</v>
      </c>
      <c r="AF79" s="101">
        <f t="shared" si="181"/>
        <v>629062.53500000003</v>
      </c>
      <c r="AG79" s="101">
        <f t="shared" si="181"/>
        <v>593413.46840000001</v>
      </c>
      <c r="AH79" s="101">
        <f t="shared" si="181"/>
        <v>601479.24959999998</v>
      </c>
      <c r="AI79" s="101">
        <f t="shared" si="181"/>
        <v>544638.83100000001</v>
      </c>
      <c r="AJ79" s="101">
        <f t="shared" ref="AJ79:BO79" si="182">AJ80*$C$80+AJ84*$C$84+AJ85*$C$85+AJ81+AJ82+AJ83</f>
        <v>533812.58660000004</v>
      </c>
      <c r="AK79" s="101">
        <f t="shared" si="182"/>
        <v>515642.40620000003</v>
      </c>
      <c r="AL79" s="101">
        <f t="shared" si="182"/>
        <v>479973.34220000001</v>
      </c>
      <c r="AM79" s="101">
        <f t="shared" si="182"/>
        <v>523987.62860000005</v>
      </c>
      <c r="AN79" s="101">
        <f t="shared" si="182"/>
        <v>508017.61640000006</v>
      </c>
      <c r="AO79" s="101">
        <f t="shared" si="182"/>
        <v>579075.79640000011</v>
      </c>
      <c r="AP79" s="101">
        <f t="shared" si="182"/>
        <v>599422.22200000007</v>
      </c>
      <c r="AQ79" s="101">
        <f t="shared" si="182"/>
        <v>596679.37980000011</v>
      </c>
      <c r="AR79" s="101">
        <f t="shared" si="182"/>
        <v>629062.53500000003</v>
      </c>
      <c r="AS79" s="101">
        <f t="shared" si="182"/>
        <v>593413.46840000001</v>
      </c>
      <c r="AT79" s="101">
        <f t="shared" si="182"/>
        <v>601479.24959999998</v>
      </c>
      <c r="AU79" s="101">
        <f t="shared" si="182"/>
        <v>544638.83100000001</v>
      </c>
      <c r="AV79" s="101">
        <f t="shared" si="182"/>
        <v>533812.58660000004</v>
      </c>
      <c r="AW79" s="101">
        <f t="shared" si="182"/>
        <v>515642.40620000003</v>
      </c>
      <c r="AX79" s="101">
        <f t="shared" si="182"/>
        <v>479973.34220000001</v>
      </c>
      <c r="AY79" s="101">
        <f t="shared" si="182"/>
        <v>523987.62860000005</v>
      </c>
      <c r="AZ79" s="101">
        <f t="shared" si="182"/>
        <v>508017.61640000006</v>
      </c>
      <c r="BA79" s="101">
        <f t="shared" si="182"/>
        <v>579075.79640000011</v>
      </c>
      <c r="BB79" s="101">
        <f t="shared" si="182"/>
        <v>599422.22200000007</v>
      </c>
      <c r="BC79" s="101">
        <f t="shared" si="182"/>
        <v>596679.37980000011</v>
      </c>
      <c r="BD79" s="101">
        <f t="shared" si="182"/>
        <v>629062.53500000003</v>
      </c>
      <c r="BE79" s="101">
        <f t="shared" si="182"/>
        <v>593413.46840000001</v>
      </c>
      <c r="BF79" s="101">
        <f t="shared" si="182"/>
        <v>601479.24959999998</v>
      </c>
      <c r="BG79" s="101">
        <f t="shared" si="182"/>
        <v>544638.83100000001</v>
      </c>
      <c r="BH79" s="101">
        <f t="shared" si="182"/>
        <v>533812.58660000004</v>
      </c>
      <c r="BI79" s="101">
        <f t="shared" si="182"/>
        <v>515642.40620000003</v>
      </c>
      <c r="BJ79" s="101">
        <f t="shared" si="182"/>
        <v>479973.34220000001</v>
      </c>
      <c r="BK79" s="101">
        <f t="shared" si="182"/>
        <v>523987.62860000005</v>
      </c>
      <c r="BL79" s="101">
        <f t="shared" si="182"/>
        <v>508017.61640000006</v>
      </c>
      <c r="BM79" s="101">
        <f t="shared" si="182"/>
        <v>579075.79640000011</v>
      </c>
      <c r="BN79" s="101">
        <f t="shared" si="182"/>
        <v>599422.22200000007</v>
      </c>
      <c r="BO79" s="101">
        <f t="shared" si="182"/>
        <v>596679.37980000011</v>
      </c>
      <c r="BP79" s="101">
        <f t="shared" ref="BP79:CI79" si="183">BP80*$C$80+BP84*$C$84+BP85*$C$85+BP81+BP82+BP83</f>
        <v>629062.53500000003</v>
      </c>
      <c r="BQ79" s="101">
        <f t="shared" si="183"/>
        <v>593413.46840000001</v>
      </c>
      <c r="BR79" s="101">
        <f t="shared" si="183"/>
        <v>601479.24959999998</v>
      </c>
      <c r="BS79" s="101">
        <f t="shared" si="183"/>
        <v>544638.83100000001</v>
      </c>
      <c r="BT79" s="101">
        <f t="shared" si="183"/>
        <v>533812.58660000004</v>
      </c>
      <c r="BU79" s="101">
        <f t="shared" si="183"/>
        <v>515642.40620000003</v>
      </c>
      <c r="BV79" s="101">
        <f t="shared" si="183"/>
        <v>479973.34220000001</v>
      </c>
      <c r="BW79" s="101">
        <f t="shared" si="183"/>
        <v>523987.62860000005</v>
      </c>
      <c r="BX79" s="101">
        <f t="shared" si="183"/>
        <v>508017.61640000006</v>
      </c>
      <c r="BY79" s="101">
        <f t="shared" si="183"/>
        <v>579075.79640000011</v>
      </c>
      <c r="BZ79" s="101">
        <f t="shared" si="183"/>
        <v>599422.22200000007</v>
      </c>
      <c r="CA79" s="101">
        <f t="shared" si="183"/>
        <v>596679.37980000011</v>
      </c>
      <c r="CB79" s="101">
        <f t="shared" si="183"/>
        <v>629062.53500000003</v>
      </c>
      <c r="CC79" s="101">
        <f t="shared" si="183"/>
        <v>593413.46840000001</v>
      </c>
      <c r="CD79" s="101">
        <f t="shared" si="183"/>
        <v>601479.24959999998</v>
      </c>
      <c r="CE79" s="101">
        <f t="shared" si="183"/>
        <v>544638.83100000001</v>
      </c>
      <c r="CF79" s="101">
        <f t="shared" si="183"/>
        <v>533812.58660000004</v>
      </c>
      <c r="CG79" s="101">
        <f t="shared" si="183"/>
        <v>515642.40620000003</v>
      </c>
      <c r="CH79" s="101">
        <f t="shared" si="183"/>
        <v>479973.34220000001</v>
      </c>
      <c r="CI79" s="101">
        <f t="shared" si="183"/>
        <v>523987.62860000005</v>
      </c>
      <c r="CJ79" s="104"/>
      <c r="CK79" s="104"/>
    </row>
    <row r="80" spans="1:89" x14ac:dyDescent="0.2">
      <c r="A80" s="1">
        <v>71</v>
      </c>
      <c r="B80" s="1" t="s">
        <v>87</v>
      </c>
      <c r="C80" s="214">
        <f>'Rate Design'!F16</f>
        <v>388.79</v>
      </c>
      <c r="D80" s="70">
        <f>'Bill Frequency'!C69+'Contract &amp; Vol Adj'!C69</f>
        <v>71</v>
      </c>
      <c r="E80" s="70">
        <f>'Bill Frequency'!D69+'Contract &amp; Vol Adj'!D69</f>
        <v>71</v>
      </c>
      <c r="F80" s="70">
        <f>'Bill Frequency'!E69+'Contract &amp; Vol Adj'!E69</f>
        <v>71</v>
      </c>
      <c r="G80" s="70">
        <f>'Bill Frequency'!F69+'Contract &amp; Vol Adj'!F69</f>
        <v>71</v>
      </c>
      <c r="H80" s="70">
        <f>'Bill Frequency'!G69+'Contract &amp; Vol Adj'!G69</f>
        <v>71</v>
      </c>
      <c r="I80" s="70">
        <f>'Bill Frequency'!H69+'Contract &amp; Vol Adj'!H69</f>
        <v>71</v>
      </c>
      <c r="J80" s="70">
        <f>'Bill Frequency'!I69+'Contract &amp; Vol Adj'!I69</f>
        <v>71</v>
      </c>
      <c r="K80" s="70">
        <f>'Bill Frequency'!J69+'Contract &amp; Vol Adj'!J69</f>
        <v>71</v>
      </c>
      <c r="L80" s="70">
        <f>'Bill Frequency'!K69+'Contract &amp; Vol Adj'!K69</f>
        <v>71</v>
      </c>
      <c r="M80" s="70">
        <f>'Bill Frequency'!L69+'Contract &amp; Vol Adj'!L69</f>
        <v>71</v>
      </c>
      <c r="N80" s="70">
        <f>'Bill Frequency'!M69+'Contract &amp; Vol Adj'!M69</f>
        <v>71</v>
      </c>
      <c r="O80" s="70">
        <f>'Bill Frequency'!N69+'Contract &amp; Vol Adj'!N69</f>
        <v>71</v>
      </c>
      <c r="P80" s="6">
        <f t="shared" ref="P80:Y85" si="184">D80</f>
        <v>71</v>
      </c>
      <c r="Q80" s="6">
        <f t="shared" si="184"/>
        <v>71</v>
      </c>
      <c r="R80" s="6">
        <f t="shared" si="184"/>
        <v>71</v>
      </c>
      <c r="S80" s="6">
        <f t="shared" si="184"/>
        <v>71</v>
      </c>
      <c r="T80" s="6">
        <f t="shared" si="184"/>
        <v>71</v>
      </c>
      <c r="U80" s="6">
        <f t="shared" si="184"/>
        <v>71</v>
      </c>
      <c r="V80" s="6">
        <f t="shared" si="184"/>
        <v>71</v>
      </c>
      <c r="W80" s="6">
        <f t="shared" si="184"/>
        <v>71</v>
      </c>
      <c r="X80" s="6">
        <f t="shared" si="184"/>
        <v>71</v>
      </c>
      <c r="Y80" s="6">
        <f t="shared" si="184"/>
        <v>71</v>
      </c>
      <c r="Z80" s="6">
        <f t="shared" ref="Z80:AI85" si="185">N80</f>
        <v>71</v>
      </c>
      <c r="AA80" s="6">
        <f t="shared" si="185"/>
        <v>71</v>
      </c>
      <c r="AB80" s="6">
        <f t="shared" si="185"/>
        <v>71</v>
      </c>
      <c r="AC80" s="6">
        <f t="shared" si="185"/>
        <v>71</v>
      </c>
      <c r="AD80" s="6">
        <f t="shared" si="185"/>
        <v>71</v>
      </c>
      <c r="AE80" s="6">
        <f t="shared" si="185"/>
        <v>71</v>
      </c>
      <c r="AF80" s="6">
        <f t="shared" si="185"/>
        <v>71</v>
      </c>
      <c r="AG80" s="6">
        <f t="shared" si="185"/>
        <v>71</v>
      </c>
      <c r="AH80" s="6">
        <f t="shared" si="185"/>
        <v>71</v>
      </c>
      <c r="AI80" s="6">
        <f t="shared" si="185"/>
        <v>71</v>
      </c>
      <c r="AJ80" s="6">
        <f t="shared" ref="AJ80:AS85" si="186">X80</f>
        <v>71</v>
      </c>
      <c r="AK80" s="6">
        <f t="shared" si="186"/>
        <v>71</v>
      </c>
      <c r="AL80" s="6">
        <f t="shared" si="186"/>
        <v>71</v>
      </c>
      <c r="AM80" s="6">
        <f t="shared" si="186"/>
        <v>71</v>
      </c>
      <c r="AN80" s="6">
        <f t="shared" si="186"/>
        <v>71</v>
      </c>
      <c r="AO80" s="6">
        <f t="shared" si="186"/>
        <v>71</v>
      </c>
      <c r="AP80" s="6">
        <f t="shared" si="186"/>
        <v>71</v>
      </c>
      <c r="AQ80" s="6">
        <f t="shared" si="186"/>
        <v>71</v>
      </c>
      <c r="AR80" s="6">
        <f t="shared" si="186"/>
        <v>71</v>
      </c>
      <c r="AS80" s="6">
        <f t="shared" si="186"/>
        <v>71</v>
      </c>
      <c r="AT80" s="6">
        <f t="shared" ref="AT80:BC85" si="187">AH80</f>
        <v>71</v>
      </c>
      <c r="AU80" s="6">
        <f t="shared" si="187"/>
        <v>71</v>
      </c>
      <c r="AV80" s="6">
        <f t="shared" si="187"/>
        <v>71</v>
      </c>
      <c r="AW80" s="6">
        <f t="shared" si="187"/>
        <v>71</v>
      </c>
      <c r="AX80" s="6">
        <f t="shared" si="187"/>
        <v>71</v>
      </c>
      <c r="AY80" s="6">
        <f t="shared" si="187"/>
        <v>71</v>
      </c>
      <c r="AZ80" s="6">
        <f t="shared" si="187"/>
        <v>71</v>
      </c>
      <c r="BA80" s="6">
        <f t="shared" si="187"/>
        <v>71</v>
      </c>
      <c r="BB80" s="6">
        <f t="shared" si="187"/>
        <v>71</v>
      </c>
      <c r="BC80" s="6">
        <f t="shared" si="187"/>
        <v>71</v>
      </c>
      <c r="BD80" s="6">
        <f t="shared" ref="BD80:BS85" si="188">AR80</f>
        <v>71</v>
      </c>
      <c r="BE80" s="6">
        <f t="shared" si="188"/>
        <v>71</v>
      </c>
      <c r="BF80" s="6">
        <f t="shared" si="188"/>
        <v>71</v>
      </c>
      <c r="BG80" s="6">
        <f t="shared" si="188"/>
        <v>71</v>
      </c>
      <c r="BH80" s="6">
        <f t="shared" si="188"/>
        <v>71</v>
      </c>
      <c r="BI80" s="6">
        <f t="shared" si="188"/>
        <v>71</v>
      </c>
      <c r="BJ80" s="6">
        <f t="shared" si="188"/>
        <v>71</v>
      </c>
      <c r="BK80" s="6">
        <f t="shared" si="188"/>
        <v>71</v>
      </c>
      <c r="BL80" s="6">
        <f t="shared" si="188"/>
        <v>71</v>
      </c>
      <c r="BM80" s="6">
        <f t="shared" si="188"/>
        <v>71</v>
      </c>
      <c r="BN80" s="6">
        <f t="shared" si="188"/>
        <v>71</v>
      </c>
      <c r="BO80" s="6">
        <f t="shared" si="188"/>
        <v>71</v>
      </c>
      <c r="BP80" s="6">
        <f t="shared" si="188"/>
        <v>71</v>
      </c>
      <c r="BQ80" s="6">
        <f t="shared" si="188"/>
        <v>71</v>
      </c>
      <c r="BR80" s="6">
        <f t="shared" si="188"/>
        <v>71</v>
      </c>
      <c r="BS80" s="6">
        <f t="shared" si="188"/>
        <v>71</v>
      </c>
      <c r="BT80" s="6">
        <f t="shared" ref="BT80:BW85" si="189">BH80</f>
        <v>71</v>
      </c>
      <c r="BU80" s="6">
        <f t="shared" si="189"/>
        <v>71</v>
      </c>
      <c r="BV80" s="6">
        <f t="shared" si="189"/>
        <v>71</v>
      </c>
      <c r="BW80" s="6">
        <f t="shared" si="189"/>
        <v>71</v>
      </c>
      <c r="BX80" s="6">
        <f t="shared" ref="BX80:BX85" si="190">BL80</f>
        <v>71</v>
      </c>
      <c r="BY80" s="6">
        <f t="shared" ref="BY80:BY85" si="191">BM80</f>
        <v>71</v>
      </c>
      <c r="BZ80" s="6">
        <f t="shared" ref="BZ80:BZ85" si="192">BN80</f>
        <v>71</v>
      </c>
      <c r="CA80" s="6">
        <f t="shared" ref="CA80:CA85" si="193">BO80</f>
        <v>71</v>
      </c>
      <c r="CB80" s="6">
        <f t="shared" ref="CB80:CB85" si="194">BP80</f>
        <v>71</v>
      </c>
      <c r="CC80" s="6">
        <f t="shared" ref="CC80:CC85" si="195">BQ80</f>
        <v>71</v>
      </c>
      <c r="CD80" s="6">
        <f t="shared" ref="CD80:CD85" si="196">BR80</f>
        <v>71</v>
      </c>
      <c r="CE80" s="6">
        <f t="shared" ref="CE80:CE85" si="197">BS80</f>
        <v>71</v>
      </c>
      <c r="CF80" s="6">
        <f t="shared" ref="CF80:CF85" si="198">BT80</f>
        <v>71</v>
      </c>
      <c r="CG80" s="6">
        <f t="shared" ref="CG80:CG85" si="199">BU80</f>
        <v>71</v>
      </c>
      <c r="CH80" s="6">
        <f t="shared" ref="CH80:CH85" si="200">BV80</f>
        <v>71</v>
      </c>
      <c r="CI80" s="6">
        <f t="shared" ref="CI80:CI85" si="201">BW80</f>
        <v>71</v>
      </c>
    </row>
    <row r="81" spans="1:87" x14ac:dyDescent="0.2">
      <c r="A81" s="1">
        <v>72</v>
      </c>
      <c r="B81" s="1" t="s">
        <v>1</v>
      </c>
      <c r="C81" s="1"/>
      <c r="D81" s="60">
        <f>'Bill Frequency'!C70+'Contract &amp; Vol Adj'!C70</f>
        <v>3550</v>
      </c>
      <c r="E81" s="60">
        <f>'Bill Frequency'!D70+'Contract &amp; Vol Adj'!D70</f>
        <v>3550</v>
      </c>
      <c r="F81" s="60">
        <f>'Bill Frequency'!E70+'Contract &amp; Vol Adj'!E70</f>
        <v>3550</v>
      </c>
      <c r="G81" s="60">
        <f>'Bill Frequency'!F70+'Contract &amp; Vol Adj'!F70</f>
        <v>3550</v>
      </c>
      <c r="H81" s="60">
        <f>'Bill Frequency'!G70+'Contract &amp; Vol Adj'!G70</f>
        <v>3550</v>
      </c>
      <c r="I81" s="60">
        <f>'Bill Frequency'!H70+'Contract &amp; Vol Adj'!H70</f>
        <v>3550</v>
      </c>
      <c r="J81" s="60">
        <f>'Bill Frequency'!I70+'Contract &amp; Vol Adj'!I70</f>
        <v>3550</v>
      </c>
      <c r="K81" s="60">
        <f>'Bill Frequency'!J70+'Contract &amp; Vol Adj'!J70</f>
        <v>3550</v>
      </c>
      <c r="L81" s="60">
        <f>'Bill Frequency'!K70+'Contract &amp; Vol Adj'!K70</f>
        <v>3550</v>
      </c>
      <c r="M81" s="60">
        <f>'Bill Frequency'!L70+'Contract &amp; Vol Adj'!L70</f>
        <v>3550</v>
      </c>
      <c r="N81" s="60">
        <f>'Bill Frequency'!M70+'Contract &amp; Vol Adj'!M70</f>
        <v>3550</v>
      </c>
      <c r="O81" s="60">
        <f>'Bill Frequency'!N70+'Contract &amp; Vol Adj'!N70</f>
        <v>3550</v>
      </c>
      <c r="P81" s="60">
        <f t="shared" si="184"/>
        <v>3550</v>
      </c>
      <c r="Q81" s="60">
        <f t="shared" si="184"/>
        <v>3550</v>
      </c>
      <c r="R81" s="60">
        <f t="shared" si="184"/>
        <v>3550</v>
      </c>
      <c r="S81" s="60">
        <f t="shared" si="184"/>
        <v>3550</v>
      </c>
      <c r="T81" s="60">
        <f t="shared" si="184"/>
        <v>3550</v>
      </c>
      <c r="U81" s="60">
        <f t="shared" si="184"/>
        <v>3550</v>
      </c>
      <c r="V81" s="60">
        <f t="shared" si="184"/>
        <v>3550</v>
      </c>
      <c r="W81" s="60">
        <f t="shared" si="184"/>
        <v>3550</v>
      </c>
      <c r="X81" s="60">
        <f t="shared" si="184"/>
        <v>3550</v>
      </c>
      <c r="Y81" s="60">
        <f t="shared" si="184"/>
        <v>3550</v>
      </c>
      <c r="Z81" s="60">
        <f t="shared" si="185"/>
        <v>3550</v>
      </c>
      <c r="AA81" s="60">
        <f t="shared" si="185"/>
        <v>3550</v>
      </c>
      <c r="AB81" s="60">
        <f t="shared" si="185"/>
        <v>3550</v>
      </c>
      <c r="AC81" s="60">
        <f t="shared" si="185"/>
        <v>3550</v>
      </c>
      <c r="AD81" s="60">
        <f t="shared" si="185"/>
        <v>3550</v>
      </c>
      <c r="AE81" s="60">
        <f t="shared" si="185"/>
        <v>3550</v>
      </c>
      <c r="AF81" s="60">
        <f t="shared" si="185"/>
        <v>3550</v>
      </c>
      <c r="AG81" s="60">
        <f t="shared" si="185"/>
        <v>3550</v>
      </c>
      <c r="AH81" s="60">
        <f t="shared" si="185"/>
        <v>3550</v>
      </c>
      <c r="AI81" s="60">
        <f t="shared" si="185"/>
        <v>3550</v>
      </c>
      <c r="AJ81" s="60">
        <f t="shared" si="186"/>
        <v>3550</v>
      </c>
      <c r="AK81" s="60">
        <f t="shared" si="186"/>
        <v>3550</v>
      </c>
      <c r="AL81" s="60">
        <f t="shared" si="186"/>
        <v>3550</v>
      </c>
      <c r="AM81" s="60">
        <f t="shared" si="186"/>
        <v>3550</v>
      </c>
      <c r="AN81" s="60">
        <f t="shared" si="186"/>
        <v>3550</v>
      </c>
      <c r="AO81" s="60">
        <f t="shared" si="186"/>
        <v>3550</v>
      </c>
      <c r="AP81" s="60">
        <f t="shared" si="186"/>
        <v>3550</v>
      </c>
      <c r="AQ81" s="60">
        <f t="shared" si="186"/>
        <v>3550</v>
      </c>
      <c r="AR81" s="60">
        <f t="shared" si="186"/>
        <v>3550</v>
      </c>
      <c r="AS81" s="60">
        <f t="shared" si="186"/>
        <v>3550</v>
      </c>
      <c r="AT81" s="60">
        <f t="shared" si="187"/>
        <v>3550</v>
      </c>
      <c r="AU81" s="60">
        <f t="shared" si="187"/>
        <v>3550</v>
      </c>
      <c r="AV81" s="60">
        <f t="shared" si="187"/>
        <v>3550</v>
      </c>
      <c r="AW81" s="60">
        <f t="shared" si="187"/>
        <v>3550</v>
      </c>
      <c r="AX81" s="60">
        <f t="shared" si="187"/>
        <v>3550</v>
      </c>
      <c r="AY81" s="60">
        <f t="shared" si="187"/>
        <v>3550</v>
      </c>
      <c r="AZ81" s="60">
        <f t="shared" si="187"/>
        <v>3550</v>
      </c>
      <c r="BA81" s="60">
        <f t="shared" si="187"/>
        <v>3550</v>
      </c>
      <c r="BB81" s="60">
        <f t="shared" si="187"/>
        <v>3550</v>
      </c>
      <c r="BC81" s="60">
        <f t="shared" si="187"/>
        <v>3550</v>
      </c>
      <c r="BD81" s="60">
        <f t="shared" si="188"/>
        <v>3550</v>
      </c>
      <c r="BE81" s="60">
        <f t="shared" si="188"/>
        <v>3550</v>
      </c>
      <c r="BF81" s="60">
        <f t="shared" si="188"/>
        <v>3550</v>
      </c>
      <c r="BG81" s="60">
        <f t="shared" si="188"/>
        <v>3550</v>
      </c>
      <c r="BH81" s="60">
        <f t="shared" si="188"/>
        <v>3550</v>
      </c>
      <c r="BI81" s="60">
        <f t="shared" si="188"/>
        <v>3550</v>
      </c>
      <c r="BJ81" s="60">
        <f t="shared" si="188"/>
        <v>3550</v>
      </c>
      <c r="BK81" s="60">
        <f t="shared" si="188"/>
        <v>3550</v>
      </c>
      <c r="BL81" s="60">
        <f t="shared" si="188"/>
        <v>3550</v>
      </c>
      <c r="BM81" s="60">
        <f t="shared" si="188"/>
        <v>3550</v>
      </c>
      <c r="BN81" s="60">
        <f t="shared" si="188"/>
        <v>3550</v>
      </c>
      <c r="BO81" s="60">
        <f t="shared" si="188"/>
        <v>3550</v>
      </c>
      <c r="BP81" s="60">
        <f t="shared" si="188"/>
        <v>3550</v>
      </c>
      <c r="BQ81" s="60">
        <f t="shared" si="188"/>
        <v>3550</v>
      </c>
      <c r="BR81" s="60">
        <f t="shared" si="188"/>
        <v>3550</v>
      </c>
      <c r="BS81" s="60">
        <f t="shared" si="188"/>
        <v>3550</v>
      </c>
      <c r="BT81" s="60">
        <f t="shared" si="189"/>
        <v>3550</v>
      </c>
      <c r="BU81" s="60">
        <f t="shared" si="189"/>
        <v>3550</v>
      </c>
      <c r="BV81" s="60">
        <f t="shared" si="189"/>
        <v>3550</v>
      </c>
      <c r="BW81" s="60">
        <f t="shared" si="189"/>
        <v>3550</v>
      </c>
      <c r="BX81" s="60">
        <f t="shared" si="190"/>
        <v>3550</v>
      </c>
      <c r="BY81" s="60">
        <f t="shared" si="191"/>
        <v>3550</v>
      </c>
      <c r="BZ81" s="60">
        <f t="shared" si="192"/>
        <v>3550</v>
      </c>
      <c r="CA81" s="60">
        <f t="shared" si="193"/>
        <v>3550</v>
      </c>
      <c r="CB81" s="60">
        <f t="shared" si="194"/>
        <v>3550</v>
      </c>
      <c r="CC81" s="60">
        <f t="shared" si="195"/>
        <v>3550</v>
      </c>
      <c r="CD81" s="60">
        <f t="shared" si="196"/>
        <v>3550</v>
      </c>
      <c r="CE81" s="60">
        <f t="shared" si="197"/>
        <v>3550</v>
      </c>
      <c r="CF81" s="60">
        <f t="shared" si="198"/>
        <v>3550</v>
      </c>
      <c r="CG81" s="60">
        <f t="shared" si="199"/>
        <v>3550</v>
      </c>
      <c r="CH81" s="60">
        <f t="shared" si="200"/>
        <v>3550</v>
      </c>
      <c r="CI81" s="60">
        <f t="shared" si="201"/>
        <v>3550</v>
      </c>
    </row>
    <row r="82" spans="1:87" x14ac:dyDescent="0.2">
      <c r="A82" s="1">
        <v>73</v>
      </c>
      <c r="B82" s="1" t="s">
        <v>62</v>
      </c>
      <c r="C82" s="1"/>
      <c r="D82" s="60">
        <f>'Bill Frequency'!C71+'Contract &amp; Vol Adj'!C71</f>
        <v>3200</v>
      </c>
      <c r="E82" s="60">
        <f>'Bill Frequency'!D71+'Contract &amp; Vol Adj'!D71</f>
        <v>3300</v>
      </c>
      <c r="F82" s="60">
        <f>'Bill Frequency'!E71+'Contract &amp; Vol Adj'!E71</f>
        <v>3300</v>
      </c>
      <c r="G82" s="60">
        <f>'Bill Frequency'!F71+'Contract &amp; Vol Adj'!F71</f>
        <v>3300</v>
      </c>
      <c r="H82" s="60">
        <f>'Bill Frequency'!G71+'Contract &amp; Vol Adj'!G71</f>
        <v>3300</v>
      </c>
      <c r="I82" s="60">
        <f>'Bill Frequency'!H71+'Contract &amp; Vol Adj'!H71</f>
        <v>3325</v>
      </c>
      <c r="J82" s="60">
        <f>'Bill Frequency'!I71+'Contract &amp; Vol Adj'!I71</f>
        <v>3325</v>
      </c>
      <c r="K82" s="60">
        <f>'Bill Frequency'!J71+'Contract &amp; Vol Adj'!J71</f>
        <v>3325</v>
      </c>
      <c r="L82" s="60">
        <f>'Bill Frequency'!K71+'Contract &amp; Vol Adj'!K71</f>
        <v>3600</v>
      </c>
      <c r="M82" s="60">
        <f>'Bill Frequency'!L71+'Contract &amp; Vol Adj'!L71</f>
        <v>3500</v>
      </c>
      <c r="N82" s="60">
        <f>'Bill Frequency'!M71+'Contract &amp; Vol Adj'!M71</f>
        <v>3650</v>
      </c>
      <c r="O82" s="60">
        <f>'Bill Frequency'!N71+'Contract &amp; Vol Adj'!N71</f>
        <v>3675</v>
      </c>
      <c r="P82" s="60">
        <f t="shared" si="184"/>
        <v>3200</v>
      </c>
      <c r="Q82" s="60">
        <f t="shared" si="184"/>
        <v>3300</v>
      </c>
      <c r="R82" s="60">
        <f t="shared" si="184"/>
        <v>3300</v>
      </c>
      <c r="S82" s="60">
        <f t="shared" si="184"/>
        <v>3300</v>
      </c>
      <c r="T82" s="60">
        <f t="shared" si="184"/>
        <v>3300</v>
      </c>
      <c r="U82" s="60">
        <f t="shared" si="184"/>
        <v>3325</v>
      </c>
      <c r="V82" s="60">
        <f t="shared" si="184"/>
        <v>3325</v>
      </c>
      <c r="W82" s="60">
        <f t="shared" si="184"/>
        <v>3325</v>
      </c>
      <c r="X82" s="60">
        <f t="shared" si="184"/>
        <v>3600</v>
      </c>
      <c r="Y82" s="60">
        <f t="shared" si="184"/>
        <v>3500</v>
      </c>
      <c r="Z82" s="60">
        <f t="shared" si="185"/>
        <v>3650</v>
      </c>
      <c r="AA82" s="60">
        <f t="shared" si="185"/>
        <v>3675</v>
      </c>
      <c r="AB82" s="60">
        <f t="shared" si="185"/>
        <v>3200</v>
      </c>
      <c r="AC82" s="60">
        <f t="shared" si="185"/>
        <v>3300</v>
      </c>
      <c r="AD82" s="60">
        <f t="shared" si="185"/>
        <v>3300</v>
      </c>
      <c r="AE82" s="60">
        <f t="shared" si="185"/>
        <v>3300</v>
      </c>
      <c r="AF82" s="60">
        <f t="shared" si="185"/>
        <v>3300</v>
      </c>
      <c r="AG82" s="60">
        <f t="shared" si="185"/>
        <v>3325</v>
      </c>
      <c r="AH82" s="60">
        <f t="shared" si="185"/>
        <v>3325</v>
      </c>
      <c r="AI82" s="60">
        <f t="shared" si="185"/>
        <v>3325</v>
      </c>
      <c r="AJ82" s="60">
        <f t="shared" si="186"/>
        <v>3600</v>
      </c>
      <c r="AK82" s="60">
        <f t="shared" si="186"/>
        <v>3500</v>
      </c>
      <c r="AL82" s="60">
        <f t="shared" si="186"/>
        <v>3650</v>
      </c>
      <c r="AM82" s="60">
        <f t="shared" si="186"/>
        <v>3675</v>
      </c>
      <c r="AN82" s="60">
        <f t="shared" si="186"/>
        <v>3200</v>
      </c>
      <c r="AO82" s="60">
        <f t="shared" si="186"/>
        <v>3300</v>
      </c>
      <c r="AP82" s="60">
        <f t="shared" si="186"/>
        <v>3300</v>
      </c>
      <c r="AQ82" s="60">
        <f t="shared" si="186"/>
        <v>3300</v>
      </c>
      <c r="AR82" s="60">
        <f t="shared" si="186"/>
        <v>3300</v>
      </c>
      <c r="AS82" s="60">
        <f t="shared" si="186"/>
        <v>3325</v>
      </c>
      <c r="AT82" s="60">
        <f t="shared" si="187"/>
        <v>3325</v>
      </c>
      <c r="AU82" s="60">
        <f t="shared" si="187"/>
        <v>3325</v>
      </c>
      <c r="AV82" s="60">
        <f t="shared" si="187"/>
        <v>3600</v>
      </c>
      <c r="AW82" s="60">
        <f t="shared" si="187"/>
        <v>3500</v>
      </c>
      <c r="AX82" s="60">
        <f t="shared" si="187"/>
        <v>3650</v>
      </c>
      <c r="AY82" s="60">
        <f t="shared" si="187"/>
        <v>3675</v>
      </c>
      <c r="AZ82" s="60">
        <f t="shared" si="187"/>
        <v>3200</v>
      </c>
      <c r="BA82" s="60">
        <f t="shared" si="187"/>
        <v>3300</v>
      </c>
      <c r="BB82" s="60">
        <f t="shared" si="187"/>
        <v>3300</v>
      </c>
      <c r="BC82" s="60">
        <f t="shared" si="187"/>
        <v>3300</v>
      </c>
      <c r="BD82" s="60">
        <f t="shared" si="188"/>
        <v>3300</v>
      </c>
      <c r="BE82" s="60">
        <f t="shared" si="188"/>
        <v>3325</v>
      </c>
      <c r="BF82" s="60">
        <f t="shared" si="188"/>
        <v>3325</v>
      </c>
      <c r="BG82" s="60">
        <f t="shared" si="188"/>
        <v>3325</v>
      </c>
      <c r="BH82" s="60">
        <f t="shared" si="188"/>
        <v>3600</v>
      </c>
      <c r="BI82" s="60">
        <f t="shared" si="188"/>
        <v>3500</v>
      </c>
      <c r="BJ82" s="60">
        <f t="shared" si="188"/>
        <v>3650</v>
      </c>
      <c r="BK82" s="60">
        <f t="shared" si="188"/>
        <v>3675</v>
      </c>
      <c r="BL82" s="60">
        <f t="shared" si="188"/>
        <v>3200</v>
      </c>
      <c r="BM82" s="60">
        <f t="shared" si="188"/>
        <v>3300</v>
      </c>
      <c r="BN82" s="60">
        <f t="shared" si="188"/>
        <v>3300</v>
      </c>
      <c r="BO82" s="60">
        <f t="shared" si="188"/>
        <v>3300</v>
      </c>
      <c r="BP82" s="60">
        <f t="shared" si="188"/>
        <v>3300</v>
      </c>
      <c r="BQ82" s="60">
        <f t="shared" si="188"/>
        <v>3325</v>
      </c>
      <c r="BR82" s="60">
        <f t="shared" si="188"/>
        <v>3325</v>
      </c>
      <c r="BS82" s="60">
        <f t="shared" si="188"/>
        <v>3325</v>
      </c>
      <c r="BT82" s="60">
        <f t="shared" si="189"/>
        <v>3600</v>
      </c>
      <c r="BU82" s="60">
        <f t="shared" si="189"/>
        <v>3500</v>
      </c>
      <c r="BV82" s="60">
        <f t="shared" si="189"/>
        <v>3650</v>
      </c>
      <c r="BW82" s="60">
        <f t="shared" si="189"/>
        <v>3675</v>
      </c>
      <c r="BX82" s="60">
        <f t="shared" si="190"/>
        <v>3200</v>
      </c>
      <c r="BY82" s="60">
        <f t="shared" si="191"/>
        <v>3300</v>
      </c>
      <c r="BZ82" s="60">
        <f t="shared" si="192"/>
        <v>3300</v>
      </c>
      <c r="CA82" s="60">
        <f t="shared" si="193"/>
        <v>3300</v>
      </c>
      <c r="CB82" s="60">
        <f t="shared" si="194"/>
        <v>3300</v>
      </c>
      <c r="CC82" s="60">
        <f t="shared" si="195"/>
        <v>3325</v>
      </c>
      <c r="CD82" s="60">
        <f t="shared" si="196"/>
        <v>3325</v>
      </c>
      <c r="CE82" s="60">
        <f t="shared" si="197"/>
        <v>3325</v>
      </c>
      <c r="CF82" s="60">
        <f t="shared" si="198"/>
        <v>3600</v>
      </c>
      <c r="CG82" s="60">
        <f t="shared" si="199"/>
        <v>3500</v>
      </c>
      <c r="CH82" s="60">
        <f t="shared" si="200"/>
        <v>3650</v>
      </c>
      <c r="CI82" s="60">
        <f t="shared" si="201"/>
        <v>3675</v>
      </c>
    </row>
    <row r="83" spans="1:87" x14ac:dyDescent="0.2">
      <c r="A83" s="1">
        <v>74</v>
      </c>
      <c r="B83" s="1" t="s">
        <v>2</v>
      </c>
      <c r="C83" s="1"/>
      <c r="D83" s="60">
        <f>'Bill Frequency'!C72+'Contract &amp; Vol Adj'!C72</f>
        <v>345.5</v>
      </c>
      <c r="E83" s="60">
        <f>'Bill Frequency'!D72+'Contract &amp; Vol Adj'!D72</f>
        <v>318.29999999999995</v>
      </c>
      <c r="F83" s="60">
        <f>'Bill Frequency'!E72+'Contract &amp; Vol Adj'!E72</f>
        <v>281.60000000000002</v>
      </c>
      <c r="G83" s="60">
        <f>'Bill Frequency'!F72+'Contract &amp; Vol Adj'!F72</f>
        <v>379.4</v>
      </c>
      <c r="H83" s="60">
        <f>'Bill Frequency'!G72+'Contract &amp; Vol Adj'!G72</f>
        <v>323.10000000000002</v>
      </c>
      <c r="I83" s="60">
        <f>'Bill Frequency'!H72+'Contract &amp; Vol Adj'!H72</f>
        <v>226.7</v>
      </c>
      <c r="J83" s="60">
        <f>'Bill Frequency'!I72+'Contract &amp; Vol Adj'!I72</f>
        <v>303.10000000000002</v>
      </c>
      <c r="K83" s="60">
        <f>'Bill Frequency'!J72+'Contract &amp; Vol Adj'!J72</f>
        <v>315.3</v>
      </c>
      <c r="L83" s="60">
        <f>'Bill Frequency'!K72+'Contract &amp; Vol Adj'!K72</f>
        <v>247.9</v>
      </c>
      <c r="M83" s="60">
        <f>'Bill Frequency'!L72+'Contract &amp; Vol Adj'!L72</f>
        <v>402</v>
      </c>
      <c r="N83" s="60">
        <f>'Bill Frequency'!M72+'Contract &amp; Vol Adj'!M72</f>
        <v>229.9</v>
      </c>
      <c r="O83" s="60">
        <f>'Bill Frequency'!N72+'Contract &amp; Vol Adj'!N72</f>
        <v>310.8</v>
      </c>
      <c r="P83" s="60">
        <f t="shared" si="184"/>
        <v>345.5</v>
      </c>
      <c r="Q83" s="60">
        <f t="shared" si="184"/>
        <v>318.29999999999995</v>
      </c>
      <c r="R83" s="60">
        <f t="shared" si="184"/>
        <v>281.60000000000002</v>
      </c>
      <c r="S83" s="60">
        <f t="shared" si="184"/>
        <v>379.4</v>
      </c>
      <c r="T83" s="60">
        <f t="shared" si="184"/>
        <v>323.10000000000002</v>
      </c>
      <c r="U83" s="60">
        <f t="shared" si="184"/>
        <v>226.7</v>
      </c>
      <c r="V83" s="60">
        <f t="shared" si="184"/>
        <v>303.10000000000002</v>
      </c>
      <c r="W83" s="60">
        <f t="shared" si="184"/>
        <v>315.3</v>
      </c>
      <c r="X83" s="60">
        <f t="shared" si="184"/>
        <v>247.9</v>
      </c>
      <c r="Y83" s="60">
        <f t="shared" si="184"/>
        <v>402</v>
      </c>
      <c r="Z83" s="60">
        <f t="shared" si="185"/>
        <v>229.9</v>
      </c>
      <c r="AA83" s="60">
        <f t="shared" si="185"/>
        <v>310.8</v>
      </c>
      <c r="AB83" s="60">
        <f t="shared" si="185"/>
        <v>345.5</v>
      </c>
      <c r="AC83" s="60">
        <f t="shared" si="185"/>
        <v>318.29999999999995</v>
      </c>
      <c r="AD83" s="60">
        <f t="shared" si="185"/>
        <v>281.60000000000002</v>
      </c>
      <c r="AE83" s="60">
        <f t="shared" si="185"/>
        <v>379.4</v>
      </c>
      <c r="AF83" s="60">
        <f t="shared" si="185"/>
        <v>323.10000000000002</v>
      </c>
      <c r="AG83" s="60">
        <f t="shared" si="185"/>
        <v>226.7</v>
      </c>
      <c r="AH83" s="60">
        <f t="shared" si="185"/>
        <v>303.10000000000002</v>
      </c>
      <c r="AI83" s="60">
        <f t="shared" si="185"/>
        <v>315.3</v>
      </c>
      <c r="AJ83" s="60">
        <f t="shared" si="186"/>
        <v>247.9</v>
      </c>
      <c r="AK83" s="60">
        <f t="shared" si="186"/>
        <v>402</v>
      </c>
      <c r="AL83" s="60">
        <f t="shared" si="186"/>
        <v>229.9</v>
      </c>
      <c r="AM83" s="60">
        <f t="shared" si="186"/>
        <v>310.8</v>
      </c>
      <c r="AN83" s="60">
        <f t="shared" si="186"/>
        <v>345.5</v>
      </c>
      <c r="AO83" s="60">
        <f t="shared" si="186"/>
        <v>318.29999999999995</v>
      </c>
      <c r="AP83" s="60">
        <f t="shared" si="186"/>
        <v>281.60000000000002</v>
      </c>
      <c r="AQ83" s="60">
        <f t="shared" si="186"/>
        <v>379.4</v>
      </c>
      <c r="AR83" s="60">
        <f t="shared" si="186"/>
        <v>323.10000000000002</v>
      </c>
      <c r="AS83" s="60">
        <f t="shared" si="186"/>
        <v>226.7</v>
      </c>
      <c r="AT83" s="60">
        <f t="shared" si="187"/>
        <v>303.10000000000002</v>
      </c>
      <c r="AU83" s="60">
        <f t="shared" si="187"/>
        <v>315.3</v>
      </c>
      <c r="AV83" s="60">
        <f t="shared" si="187"/>
        <v>247.9</v>
      </c>
      <c r="AW83" s="60">
        <f t="shared" si="187"/>
        <v>402</v>
      </c>
      <c r="AX83" s="60">
        <f t="shared" si="187"/>
        <v>229.9</v>
      </c>
      <c r="AY83" s="60">
        <f t="shared" si="187"/>
        <v>310.8</v>
      </c>
      <c r="AZ83" s="60">
        <f t="shared" si="187"/>
        <v>345.5</v>
      </c>
      <c r="BA83" s="60">
        <f t="shared" si="187"/>
        <v>318.29999999999995</v>
      </c>
      <c r="BB83" s="60">
        <f t="shared" si="187"/>
        <v>281.60000000000002</v>
      </c>
      <c r="BC83" s="60">
        <f t="shared" si="187"/>
        <v>379.4</v>
      </c>
      <c r="BD83" s="60">
        <f t="shared" si="188"/>
        <v>323.10000000000002</v>
      </c>
      <c r="BE83" s="60">
        <f t="shared" si="188"/>
        <v>226.7</v>
      </c>
      <c r="BF83" s="60">
        <f t="shared" si="188"/>
        <v>303.10000000000002</v>
      </c>
      <c r="BG83" s="60">
        <f t="shared" si="188"/>
        <v>315.3</v>
      </c>
      <c r="BH83" s="60">
        <f t="shared" si="188"/>
        <v>247.9</v>
      </c>
      <c r="BI83" s="60">
        <f t="shared" si="188"/>
        <v>402</v>
      </c>
      <c r="BJ83" s="60">
        <f t="shared" si="188"/>
        <v>229.9</v>
      </c>
      <c r="BK83" s="60">
        <f t="shared" si="188"/>
        <v>310.8</v>
      </c>
      <c r="BL83" s="60">
        <f t="shared" si="188"/>
        <v>345.5</v>
      </c>
      <c r="BM83" s="60">
        <f t="shared" si="188"/>
        <v>318.29999999999995</v>
      </c>
      <c r="BN83" s="60">
        <f t="shared" si="188"/>
        <v>281.60000000000002</v>
      </c>
      <c r="BO83" s="60">
        <f t="shared" si="188"/>
        <v>379.4</v>
      </c>
      <c r="BP83" s="60">
        <f t="shared" si="188"/>
        <v>323.10000000000002</v>
      </c>
      <c r="BQ83" s="60">
        <f t="shared" si="188"/>
        <v>226.7</v>
      </c>
      <c r="BR83" s="60">
        <f t="shared" si="188"/>
        <v>303.10000000000002</v>
      </c>
      <c r="BS83" s="60">
        <f t="shared" si="188"/>
        <v>315.3</v>
      </c>
      <c r="BT83" s="60">
        <f t="shared" si="189"/>
        <v>247.9</v>
      </c>
      <c r="BU83" s="60">
        <f t="shared" si="189"/>
        <v>402</v>
      </c>
      <c r="BV83" s="60">
        <f t="shared" si="189"/>
        <v>229.9</v>
      </c>
      <c r="BW83" s="60">
        <f t="shared" si="189"/>
        <v>310.8</v>
      </c>
      <c r="BX83" s="60">
        <f t="shared" si="190"/>
        <v>345.5</v>
      </c>
      <c r="BY83" s="60">
        <f t="shared" si="191"/>
        <v>318.29999999999995</v>
      </c>
      <c r="BZ83" s="60">
        <f t="shared" si="192"/>
        <v>281.60000000000002</v>
      </c>
      <c r="CA83" s="60">
        <f t="shared" si="193"/>
        <v>379.4</v>
      </c>
      <c r="CB83" s="60">
        <f t="shared" si="194"/>
        <v>323.10000000000002</v>
      </c>
      <c r="CC83" s="60">
        <f t="shared" si="195"/>
        <v>226.7</v>
      </c>
      <c r="CD83" s="60">
        <f t="shared" si="196"/>
        <v>303.10000000000002</v>
      </c>
      <c r="CE83" s="60">
        <f t="shared" si="197"/>
        <v>315.3</v>
      </c>
      <c r="CF83" s="60">
        <f t="shared" si="198"/>
        <v>247.9</v>
      </c>
      <c r="CG83" s="60">
        <f t="shared" si="199"/>
        <v>402</v>
      </c>
      <c r="CH83" s="60">
        <f t="shared" si="200"/>
        <v>229.9</v>
      </c>
      <c r="CI83" s="60">
        <f t="shared" si="201"/>
        <v>310.8</v>
      </c>
    </row>
    <row r="84" spans="1:87" x14ac:dyDescent="0.2">
      <c r="A84" s="1">
        <v>75</v>
      </c>
      <c r="B84" s="1" t="s">
        <v>46</v>
      </c>
      <c r="C84" s="14">
        <f>'Rate Design'!F30</f>
        <v>0.877</v>
      </c>
      <c r="D84" s="70">
        <f>'Bill Frequency'!C73+'Contract &amp; Vol Adj'!C73</f>
        <v>408790</v>
      </c>
      <c r="E84" s="70">
        <f>'Bill Frequency'!D73+'Contract &amp; Vol Adj'!D73</f>
        <v>466856</v>
      </c>
      <c r="F84" s="70">
        <f>'Bill Frequency'!E73+'Contract &amp; Vol Adj'!E73</f>
        <v>483708</v>
      </c>
      <c r="G84" s="70">
        <f>'Bill Frequency'!F73+'Contract &amp; Vol Adj'!F73</f>
        <v>481947</v>
      </c>
      <c r="H84" s="70">
        <f>'Bill Frequency'!G73+'Contract &amp; Vol Adj'!G73</f>
        <v>484717</v>
      </c>
      <c r="I84" s="70">
        <f>'Bill Frequency'!H73+'Contract &amp; Vol Adj'!H73</f>
        <v>471016</v>
      </c>
      <c r="J84" s="70">
        <f>'Bill Frequency'!I73+'Contract &amp; Vol Adj'!I73</f>
        <v>465642</v>
      </c>
      <c r="K84" s="70">
        <f>'Bill Frequency'!J73+'Contract &amp; Vol Adj'!J73</f>
        <v>452077</v>
      </c>
      <c r="L84" s="70">
        <f>'Bill Frequency'!K73+'Contract &amp; Vol Adj'!K73</f>
        <v>436031</v>
      </c>
      <c r="M84" s="70">
        <f>'Bill Frequency'!L73+'Contract &amp; Vol Adj'!L73</f>
        <v>429475</v>
      </c>
      <c r="N84" s="70">
        <f>'Bill Frequency'!M73+'Contract &amp; Vol Adj'!M73</f>
        <v>388379</v>
      </c>
      <c r="O84" s="70">
        <f>'Bill Frequency'!N73+'Contract &amp; Vol Adj'!N73</f>
        <v>413453</v>
      </c>
      <c r="P84" s="6">
        <f t="shared" si="184"/>
        <v>408790</v>
      </c>
      <c r="Q84" s="6">
        <f t="shared" si="184"/>
        <v>466856</v>
      </c>
      <c r="R84" s="6">
        <f t="shared" si="184"/>
        <v>483708</v>
      </c>
      <c r="S84" s="6">
        <f t="shared" si="184"/>
        <v>481947</v>
      </c>
      <c r="T84" s="6">
        <f t="shared" si="184"/>
        <v>484717</v>
      </c>
      <c r="U84" s="6">
        <f t="shared" si="184"/>
        <v>471016</v>
      </c>
      <c r="V84" s="6">
        <f t="shared" si="184"/>
        <v>465642</v>
      </c>
      <c r="W84" s="6">
        <f t="shared" si="184"/>
        <v>452077</v>
      </c>
      <c r="X84" s="6">
        <f t="shared" si="184"/>
        <v>436031</v>
      </c>
      <c r="Y84" s="6">
        <f t="shared" si="184"/>
        <v>429475</v>
      </c>
      <c r="Z84" s="6">
        <f t="shared" si="185"/>
        <v>388379</v>
      </c>
      <c r="AA84" s="6">
        <f t="shared" si="185"/>
        <v>413453</v>
      </c>
      <c r="AB84" s="6">
        <f t="shared" si="185"/>
        <v>408790</v>
      </c>
      <c r="AC84" s="6">
        <f t="shared" si="185"/>
        <v>466856</v>
      </c>
      <c r="AD84" s="6">
        <f t="shared" si="185"/>
        <v>483708</v>
      </c>
      <c r="AE84" s="6">
        <f t="shared" si="185"/>
        <v>481947</v>
      </c>
      <c r="AF84" s="6">
        <f t="shared" si="185"/>
        <v>484717</v>
      </c>
      <c r="AG84" s="6">
        <f t="shared" si="185"/>
        <v>471016</v>
      </c>
      <c r="AH84" s="6">
        <f t="shared" si="185"/>
        <v>465642</v>
      </c>
      <c r="AI84" s="6">
        <f t="shared" si="185"/>
        <v>452077</v>
      </c>
      <c r="AJ84" s="6">
        <f t="shared" si="186"/>
        <v>436031</v>
      </c>
      <c r="AK84" s="6">
        <f t="shared" si="186"/>
        <v>429475</v>
      </c>
      <c r="AL84" s="6">
        <f t="shared" si="186"/>
        <v>388379</v>
      </c>
      <c r="AM84" s="6">
        <f t="shared" si="186"/>
        <v>413453</v>
      </c>
      <c r="AN84" s="6">
        <f t="shared" si="186"/>
        <v>408790</v>
      </c>
      <c r="AO84" s="6">
        <f t="shared" si="186"/>
        <v>466856</v>
      </c>
      <c r="AP84" s="6">
        <f t="shared" si="186"/>
        <v>483708</v>
      </c>
      <c r="AQ84" s="6">
        <f t="shared" si="186"/>
        <v>481947</v>
      </c>
      <c r="AR84" s="6">
        <f t="shared" si="186"/>
        <v>484717</v>
      </c>
      <c r="AS84" s="6">
        <f t="shared" si="186"/>
        <v>471016</v>
      </c>
      <c r="AT84" s="6">
        <f t="shared" si="187"/>
        <v>465642</v>
      </c>
      <c r="AU84" s="6">
        <f t="shared" si="187"/>
        <v>452077</v>
      </c>
      <c r="AV84" s="6">
        <f t="shared" si="187"/>
        <v>436031</v>
      </c>
      <c r="AW84" s="6">
        <f t="shared" si="187"/>
        <v>429475</v>
      </c>
      <c r="AX84" s="6">
        <f t="shared" si="187"/>
        <v>388379</v>
      </c>
      <c r="AY84" s="6">
        <f t="shared" si="187"/>
        <v>413453</v>
      </c>
      <c r="AZ84" s="6">
        <f t="shared" si="187"/>
        <v>408790</v>
      </c>
      <c r="BA84" s="6">
        <f t="shared" si="187"/>
        <v>466856</v>
      </c>
      <c r="BB84" s="6">
        <f t="shared" si="187"/>
        <v>483708</v>
      </c>
      <c r="BC84" s="6">
        <f t="shared" si="187"/>
        <v>481947</v>
      </c>
      <c r="BD84" s="6">
        <f t="shared" si="188"/>
        <v>484717</v>
      </c>
      <c r="BE84" s="6">
        <f t="shared" si="188"/>
        <v>471016</v>
      </c>
      <c r="BF84" s="6">
        <f t="shared" si="188"/>
        <v>465642</v>
      </c>
      <c r="BG84" s="6">
        <f t="shared" si="188"/>
        <v>452077</v>
      </c>
      <c r="BH84" s="6">
        <f t="shared" si="188"/>
        <v>436031</v>
      </c>
      <c r="BI84" s="6">
        <f t="shared" si="188"/>
        <v>429475</v>
      </c>
      <c r="BJ84" s="6">
        <f t="shared" si="188"/>
        <v>388379</v>
      </c>
      <c r="BK84" s="6">
        <f t="shared" si="188"/>
        <v>413453</v>
      </c>
      <c r="BL84" s="6">
        <f t="shared" si="188"/>
        <v>408790</v>
      </c>
      <c r="BM84" s="6">
        <f t="shared" si="188"/>
        <v>466856</v>
      </c>
      <c r="BN84" s="6">
        <f t="shared" si="188"/>
        <v>483708</v>
      </c>
      <c r="BO84" s="6">
        <f t="shared" si="188"/>
        <v>481947</v>
      </c>
      <c r="BP84" s="6">
        <f t="shared" si="188"/>
        <v>484717</v>
      </c>
      <c r="BQ84" s="6">
        <f t="shared" si="188"/>
        <v>471016</v>
      </c>
      <c r="BR84" s="6">
        <f t="shared" si="188"/>
        <v>465642</v>
      </c>
      <c r="BS84" s="6">
        <f t="shared" si="188"/>
        <v>452077</v>
      </c>
      <c r="BT84" s="6">
        <f t="shared" si="189"/>
        <v>436031</v>
      </c>
      <c r="BU84" s="6">
        <f t="shared" si="189"/>
        <v>429475</v>
      </c>
      <c r="BV84" s="6">
        <f t="shared" si="189"/>
        <v>388379</v>
      </c>
      <c r="BW84" s="6">
        <f t="shared" si="189"/>
        <v>413453</v>
      </c>
      <c r="BX84" s="6">
        <f t="shared" si="190"/>
        <v>408790</v>
      </c>
      <c r="BY84" s="6">
        <f t="shared" si="191"/>
        <v>466856</v>
      </c>
      <c r="BZ84" s="6">
        <f t="shared" si="192"/>
        <v>483708</v>
      </c>
      <c r="CA84" s="6">
        <f t="shared" si="193"/>
        <v>481947</v>
      </c>
      <c r="CB84" s="6">
        <f t="shared" si="194"/>
        <v>484717</v>
      </c>
      <c r="CC84" s="6">
        <f t="shared" si="195"/>
        <v>471016</v>
      </c>
      <c r="CD84" s="6">
        <f t="shared" si="196"/>
        <v>465642</v>
      </c>
      <c r="CE84" s="6">
        <f t="shared" si="197"/>
        <v>452077</v>
      </c>
      <c r="CF84" s="6">
        <f t="shared" si="198"/>
        <v>436031</v>
      </c>
      <c r="CG84" s="6">
        <f t="shared" si="199"/>
        <v>429475</v>
      </c>
      <c r="CH84" s="6">
        <f t="shared" si="200"/>
        <v>388379</v>
      </c>
      <c r="CI84" s="6">
        <f t="shared" si="201"/>
        <v>413453</v>
      </c>
    </row>
    <row r="85" spans="1:87" x14ac:dyDescent="0.2">
      <c r="A85" s="1">
        <v>76</v>
      </c>
      <c r="B85" s="1" t="s">
        <v>47</v>
      </c>
      <c r="C85" s="14">
        <f>'Rate Design'!F31</f>
        <v>0.58840000000000003</v>
      </c>
      <c r="D85" s="70">
        <f>'Bill Frequency'!C74+'Contract &amp; Vol Adj'!C74</f>
        <v>195121</v>
      </c>
      <c r="E85" s="70">
        <f>'Bill Frequency'!D74+'Contract &amp; Vol Adj'!D74</f>
        <v>229216</v>
      </c>
      <c r="F85" s="70">
        <f>'Bill Frequency'!E74+'Contract &amp; Vol Adj'!E74</f>
        <v>238740</v>
      </c>
      <c r="G85" s="70">
        <f>'Bill Frequency'!F74+'Contract &amp; Vol Adj'!F74</f>
        <v>236537</v>
      </c>
      <c r="H85" s="70">
        <f>'Bill Frequency'!G74+'Contract &amp; Vol Adj'!G74</f>
        <v>287540</v>
      </c>
      <c r="I85" s="70">
        <f>'Bill Frequency'!H74+'Contract &amp; Vol Adj'!H74</f>
        <v>247496</v>
      </c>
      <c r="J85" s="70">
        <f>'Bill Frequency'!I74+'Contract &amp; Vol Adj'!I74</f>
        <v>269084</v>
      </c>
      <c r="K85" s="70">
        <f>'Bill Frequency'!J74+'Contract &amp; Vol Adj'!J74</f>
        <v>192680</v>
      </c>
      <c r="L85" s="70">
        <f>'Bill Frequency'!K74+'Contract &amp; Vol Adj'!K74</f>
        <v>197844</v>
      </c>
      <c r="M85" s="70">
        <f>'Bill Frequency'!L74+'Contract &amp; Vol Adj'!L74</f>
        <v>176643</v>
      </c>
      <c r="N85" s="70">
        <f>'Bill Frequency'!M74+'Contract &amp; Vol Adj'!M74</f>
        <v>177313</v>
      </c>
      <c r="O85" s="70">
        <f>'Bill Frequency'!N74+'Contract &amp; Vol Adj'!N74</f>
        <v>214564</v>
      </c>
      <c r="P85" s="6">
        <f t="shared" si="184"/>
        <v>195121</v>
      </c>
      <c r="Q85" s="6">
        <f t="shared" si="184"/>
        <v>229216</v>
      </c>
      <c r="R85" s="6">
        <f t="shared" si="184"/>
        <v>238740</v>
      </c>
      <c r="S85" s="6">
        <f t="shared" si="184"/>
        <v>236537</v>
      </c>
      <c r="T85" s="6">
        <f t="shared" si="184"/>
        <v>287540</v>
      </c>
      <c r="U85" s="6">
        <f t="shared" si="184"/>
        <v>247496</v>
      </c>
      <c r="V85" s="6">
        <f t="shared" si="184"/>
        <v>269084</v>
      </c>
      <c r="W85" s="6">
        <f t="shared" si="184"/>
        <v>192680</v>
      </c>
      <c r="X85" s="6">
        <f t="shared" si="184"/>
        <v>197844</v>
      </c>
      <c r="Y85" s="6">
        <f t="shared" si="184"/>
        <v>176643</v>
      </c>
      <c r="Z85" s="6">
        <f t="shared" si="185"/>
        <v>177313</v>
      </c>
      <c r="AA85" s="6">
        <f t="shared" si="185"/>
        <v>214564</v>
      </c>
      <c r="AB85" s="6">
        <f t="shared" si="185"/>
        <v>195121</v>
      </c>
      <c r="AC85" s="6">
        <f t="shared" si="185"/>
        <v>229216</v>
      </c>
      <c r="AD85" s="6">
        <f t="shared" si="185"/>
        <v>238740</v>
      </c>
      <c r="AE85" s="6">
        <f t="shared" si="185"/>
        <v>236537</v>
      </c>
      <c r="AF85" s="6">
        <f t="shared" si="185"/>
        <v>287540</v>
      </c>
      <c r="AG85" s="6">
        <f t="shared" si="185"/>
        <v>247496</v>
      </c>
      <c r="AH85" s="6">
        <f t="shared" si="185"/>
        <v>269084</v>
      </c>
      <c r="AI85" s="6">
        <f t="shared" si="185"/>
        <v>192680</v>
      </c>
      <c r="AJ85" s="6">
        <f t="shared" si="186"/>
        <v>197844</v>
      </c>
      <c r="AK85" s="6">
        <f t="shared" si="186"/>
        <v>176643</v>
      </c>
      <c r="AL85" s="6">
        <f t="shared" si="186"/>
        <v>177313</v>
      </c>
      <c r="AM85" s="6">
        <f t="shared" si="186"/>
        <v>214564</v>
      </c>
      <c r="AN85" s="6">
        <f t="shared" si="186"/>
        <v>195121</v>
      </c>
      <c r="AO85" s="6">
        <f t="shared" si="186"/>
        <v>229216</v>
      </c>
      <c r="AP85" s="6">
        <f t="shared" si="186"/>
        <v>238740</v>
      </c>
      <c r="AQ85" s="6">
        <f t="shared" si="186"/>
        <v>236537</v>
      </c>
      <c r="AR85" s="6">
        <f t="shared" si="186"/>
        <v>287540</v>
      </c>
      <c r="AS85" s="6">
        <f t="shared" si="186"/>
        <v>247496</v>
      </c>
      <c r="AT85" s="6">
        <f t="shared" si="187"/>
        <v>269084</v>
      </c>
      <c r="AU85" s="6">
        <f t="shared" si="187"/>
        <v>192680</v>
      </c>
      <c r="AV85" s="6">
        <f t="shared" si="187"/>
        <v>197844</v>
      </c>
      <c r="AW85" s="6">
        <f t="shared" si="187"/>
        <v>176643</v>
      </c>
      <c r="AX85" s="6">
        <f t="shared" si="187"/>
        <v>177313</v>
      </c>
      <c r="AY85" s="6">
        <f t="shared" si="187"/>
        <v>214564</v>
      </c>
      <c r="AZ85" s="6">
        <f t="shared" si="187"/>
        <v>195121</v>
      </c>
      <c r="BA85" s="6">
        <f t="shared" si="187"/>
        <v>229216</v>
      </c>
      <c r="BB85" s="6">
        <f t="shared" si="187"/>
        <v>238740</v>
      </c>
      <c r="BC85" s="6">
        <f t="shared" si="187"/>
        <v>236537</v>
      </c>
      <c r="BD85" s="6">
        <f t="shared" si="188"/>
        <v>287540</v>
      </c>
      <c r="BE85" s="6">
        <f t="shared" si="188"/>
        <v>247496</v>
      </c>
      <c r="BF85" s="6">
        <f t="shared" si="188"/>
        <v>269084</v>
      </c>
      <c r="BG85" s="6">
        <f t="shared" si="188"/>
        <v>192680</v>
      </c>
      <c r="BH85" s="6">
        <f t="shared" si="188"/>
        <v>197844</v>
      </c>
      <c r="BI85" s="6">
        <f t="shared" si="188"/>
        <v>176643</v>
      </c>
      <c r="BJ85" s="6">
        <f t="shared" si="188"/>
        <v>177313</v>
      </c>
      <c r="BK85" s="6">
        <f t="shared" si="188"/>
        <v>214564</v>
      </c>
      <c r="BL85" s="6">
        <f t="shared" si="188"/>
        <v>195121</v>
      </c>
      <c r="BM85" s="6">
        <f t="shared" si="188"/>
        <v>229216</v>
      </c>
      <c r="BN85" s="6">
        <f t="shared" si="188"/>
        <v>238740</v>
      </c>
      <c r="BO85" s="6">
        <f t="shared" si="188"/>
        <v>236537</v>
      </c>
      <c r="BP85" s="6">
        <f t="shared" si="188"/>
        <v>287540</v>
      </c>
      <c r="BQ85" s="6">
        <f t="shared" si="188"/>
        <v>247496</v>
      </c>
      <c r="BR85" s="6">
        <f t="shared" si="188"/>
        <v>269084</v>
      </c>
      <c r="BS85" s="6">
        <f t="shared" si="188"/>
        <v>192680</v>
      </c>
      <c r="BT85" s="6">
        <f t="shared" si="189"/>
        <v>197844</v>
      </c>
      <c r="BU85" s="6">
        <f t="shared" si="189"/>
        <v>176643</v>
      </c>
      <c r="BV85" s="6">
        <f t="shared" si="189"/>
        <v>177313</v>
      </c>
      <c r="BW85" s="6">
        <f t="shared" si="189"/>
        <v>214564</v>
      </c>
      <c r="BX85" s="6">
        <f t="shared" si="190"/>
        <v>195121</v>
      </c>
      <c r="BY85" s="6">
        <f t="shared" si="191"/>
        <v>229216</v>
      </c>
      <c r="BZ85" s="6">
        <f t="shared" si="192"/>
        <v>238740</v>
      </c>
      <c r="CA85" s="6">
        <f t="shared" si="193"/>
        <v>236537</v>
      </c>
      <c r="CB85" s="6">
        <f t="shared" si="194"/>
        <v>287540</v>
      </c>
      <c r="CC85" s="6">
        <f t="shared" si="195"/>
        <v>247496</v>
      </c>
      <c r="CD85" s="6">
        <f t="shared" si="196"/>
        <v>269084</v>
      </c>
      <c r="CE85" s="6">
        <f t="shared" si="197"/>
        <v>192680</v>
      </c>
      <c r="CF85" s="6">
        <f t="shared" si="198"/>
        <v>197844</v>
      </c>
      <c r="CG85" s="6">
        <f t="shared" si="199"/>
        <v>176643</v>
      </c>
      <c r="CH85" s="6">
        <f t="shared" si="200"/>
        <v>177313</v>
      </c>
      <c r="CI85" s="6">
        <f t="shared" si="201"/>
        <v>214564</v>
      </c>
    </row>
    <row r="86" spans="1:87" x14ac:dyDescent="0.2">
      <c r="A86" s="1">
        <v>77</v>
      </c>
      <c r="B86" s="32" t="s">
        <v>79</v>
      </c>
      <c r="C86" s="32"/>
      <c r="D86" s="31">
        <f t="shared" ref="D86:AI86" si="202">D84+D85</f>
        <v>603911</v>
      </c>
      <c r="E86" s="31">
        <f t="shared" si="202"/>
        <v>696072</v>
      </c>
      <c r="F86" s="31">
        <f t="shared" si="202"/>
        <v>722448</v>
      </c>
      <c r="G86" s="31">
        <f t="shared" si="202"/>
        <v>718484</v>
      </c>
      <c r="H86" s="31">
        <f t="shared" si="202"/>
        <v>772257</v>
      </c>
      <c r="I86" s="31">
        <f t="shared" si="202"/>
        <v>718512</v>
      </c>
      <c r="J86" s="31">
        <f t="shared" si="202"/>
        <v>734726</v>
      </c>
      <c r="K86" s="31">
        <f t="shared" si="202"/>
        <v>644757</v>
      </c>
      <c r="L86" s="31">
        <f t="shared" si="202"/>
        <v>633875</v>
      </c>
      <c r="M86" s="31">
        <f t="shared" si="202"/>
        <v>606118</v>
      </c>
      <c r="N86" s="31">
        <f t="shared" si="202"/>
        <v>565692</v>
      </c>
      <c r="O86" s="31">
        <f t="shared" si="202"/>
        <v>628017</v>
      </c>
      <c r="P86" s="31">
        <f t="shared" si="202"/>
        <v>603911</v>
      </c>
      <c r="Q86" s="31">
        <f t="shared" si="202"/>
        <v>696072</v>
      </c>
      <c r="R86" s="31">
        <f t="shared" si="202"/>
        <v>722448</v>
      </c>
      <c r="S86" s="31">
        <f t="shared" si="202"/>
        <v>718484</v>
      </c>
      <c r="T86" s="31">
        <f t="shared" si="202"/>
        <v>772257</v>
      </c>
      <c r="U86" s="31">
        <f t="shared" si="202"/>
        <v>718512</v>
      </c>
      <c r="V86" s="31">
        <f t="shared" si="202"/>
        <v>734726</v>
      </c>
      <c r="W86" s="31">
        <f t="shared" si="202"/>
        <v>644757</v>
      </c>
      <c r="X86" s="31">
        <f t="shared" si="202"/>
        <v>633875</v>
      </c>
      <c r="Y86" s="31">
        <f t="shared" si="202"/>
        <v>606118</v>
      </c>
      <c r="Z86" s="31">
        <f t="shared" si="202"/>
        <v>565692</v>
      </c>
      <c r="AA86" s="31">
        <f t="shared" si="202"/>
        <v>628017</v>
      </c>
      <c r="AB86" s="31">
        <f t="shared" si="202"/>
        <v>603911</v>
      </c>
      <c r="AC86" s="31">
        <f t="shared" si="202"/>
        <v>696072</v>
      </c>
      <c r="AD86" s="31">
        <f t="shared" si="202"/>
        <v>722448</v>
      </c>
      <c r="AE86" s="31">
        <f t="shared" si="202"/>
        <v>718484</v>
      </c>
      <c r="AF86" s="31">
        <f t="shared" si="202"/>
        <v>772257</v>
      </c>
      <c r="AG86" s="31">
        <f t="shared" si="202"/>
        <v>718512</v>
      </c>
      <c r="AH86" s="31">
        <f t="shared" si="202"/>
        <v>734726</v>
      </c>
      <c r="AI86" s="31">
        <f t="shared" si="202"/>
        <v>644757</v>
      </c>
      <c r="AJ86" s="31">
        <f t="shared" ref="AJ86:BW86" si="203">AJ84+AJ85</f>
        <v>633875</v>
      </c>
      <c r="AK86" s="31">
        <f t="shared" si="203"/>
        <v>606118</v>
      </c>
      <c r="AL86" s="31">
        <f t="shared" si="203"/>
        <v>565692</v>
      </c>
      <c r="AM86" s="31">
        <f t="shared" si="203"/>
        <v>628017</v>
      </c>
      <c r="AN86" s="31">
        <f t="shared" si="203"/>
        <v>603911</v>
      </c>
      <c r="AO86" s="31">
        <f t="shared" si="203"/>
        <v>696072</v>
      </c>
      <c r="AP86" s="31">
        <f t="shared" si="203"/>
        <v>722448</v>
      </c>
      <c r="AQ86" s="31">
        <f t="shared" si="203"/>
        <v>718484</v>
      </c>
      <c r="AR86" s="31">
        <f t="shared" si="203"/>
        <v>772257</v>
      </c>
      <c r="AS86" s="31">
        <f t="shared" si="203"/>
        <v>718512</v>
      </c>
      <c r="AT86" s="31">
        <f t="shared" si="203"/>
        <v>734726</v>
      </c>
      <c r="AU86" s="31">
        <f t="shared" si="203"/>
        <v>644757</v>
      </c>
      <c r="AV86" s="31">
        <f t="shared" si="203"/>
        <v>633875</v>
      </c>
      <c r="AW86" s="31">
        <f t="shared" si="203"/>
        <v>606118</v>
      </c>
      <c r="AX86" s="31">
        <f t="shared" si="203"/>
        <v>565692</v>
      </c>
      <c r="AY86" s="31">
        <f t="shared" si="203"/>
        <v>628017</v>
      </c>
      <c r="AZ86" s="31">
        <f t="shared" si="203"/>
        <v>603911</v>
      </c>
      <c r="BA86" s="31">
        <f t="shared" si="203"/>
        <v>696072</v>
      </c>
      <c r="BB86" s="31">
        <f t="shared" si="203"/>
        <v>722448</v>
      </c>
      <c r="BC86" s="31">
        <f t="shared" si="203"/>
        <v>718484</v>
      </c>
      <c r="BD86" s="31">
        <f t="shared" si="203"/>
        <v>772257</v>
      </c>
      <c r="BE86" s="31">
        <f t="shared" si="203"/>
        <v>718512</v>
      </c>
      <c r="BF86" s="31">
        <f t="shared" si="203"/>
        <v>734726</v>
      </c>
      <c r="BG86" s="31">
        <f t="shared" si="203"/>
        <v>644757</v>
      </c>
      <c r="BH86" s="31">
        <f t="shared" si="203"/>
        <v>633875</v>
      </c>
      <c r="BI86" s="31">
        <f t="shared" si="203"/>
        <v>606118</v>
      </c>
      <c r="BJ86" s="31">
        <f t="shared" si="203"/>
        <v>565692</v>
      </c>
      <c r="BK86" s="31">
        <f t="shared" si="203"/>
        <v>628017</v>
      </c>
      <c r="BL86" s="31">
        <f t="shared" si="203"/>
        <v>603911</v>
      </c>
      <c r="BM86" s="31">
        <f t="shared" si="203"/>
        <v>696072</v>
      </c>
      <c r="BN86" s="31">
        <f t="shared" si="203"/>
        <v>722448</v>
      </c>
      <c r="BO86" s="31">
        <f t="shared" si="203"/>
        <v>718484</v>
      </c>
      <c r="BP86" s="31">
        <f t="shared" si="203"/>
        <v>772257</v>
      </c>
      <c r="BQ86" s="31">
        <f t="shared" si="203"/>
        <v>718512</v>
      </c>
      <c r="BR86" s="31">
        <f t="shared" si="203"/>
        <v>734726</v>
      </c>
      <c r="BS86" s="31">
        <f t="shared" si="203"/>
        <v>644757</v>
      </c>
      <c r="BT86" s="31">
        <f t="shared" si="203"/>
        <v>633875</v>
      </c>
      <c r="BU86" s="31">
        <f t="shared" si="203"/>
        <v>606118</v>
      </c>
      <c r="BV86" s="31">
        <f t="shared" si="203"/>
        <v>565692</v>
      </c>
      <c r="BW86" s="31">
        <f t="shared" si="203"/>
        <v>628017</v>
      </c>
      <c r="BX86" s="31">
        <f t="shared" ref="BX86:CI86" si="204">BX84+BX85</f>
        <v>603911</v>
      </c>
      <c r="BY86" s="31">
        <f t="shared" si="204"/>
        <v>696072</v>
      </c>
      <c r="BZ86" s="31">
        <f t="shared" si="204"/>
        <v>722448</v>
      </c>
      <c r="CA86" s="31">
        <f t="shared" si="204"/>
        <v>718484</v>
      </c>
      <c r="CB86" s="31">
        <f t="shared" si="204"/>
        <v>772257</v>
      </c>
      <c r="CC86" s="31">
        <f t="shared" si="204"/>
        <v>718512</v>
      </c>
      <c r="CD86" s="31">
        <f t="shared" si="204"/>
        <v>734726</v>
      </c>
      <c r="CE86" s="31">
        <f t="shared" si="204"/>
        <v>644757</v>
      </c>
      <c r="CF86" s="31">
        <f t="shared" si="204"/>
        <v>633875</v>
      </c>
      <c r="CG86" s="31">
        <f t="shared" si="204"/>
        <v>606118</v>
      </c>
      <c r="CH86" s="31">
        <f t="shared" si="204"/>
        <v>565692</v>
      </c>
      <c r="CI86" s="31">
        <f t="shared" si="204"/>
        <v>628017</v>
      </c>
    </row>
    <row r="87" spans="1:87" x14ac:dyDescent="0.2">
      <c r="A87" s="1">
        <v>78</v>
      </c>
      <c r="C87" s="1"/>
      <c r="D87" s="48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x14ac:dyDescent="0.2">
      <c r="A88" s="1">
        <v>79</v>
      </c>
      <c r="B88" s="171" t="s">
        <v>90</v>
      </c>
      <c r="C88" s="1"/>
      <c r="D88" s="101">
        <f t="shared" ref="D88:AI88" si="205">D89*$C$89+D90+D91+D92+D94</f>
        <v>197356.58499999999</v>
      </c>
      <c r="E88" s="101">
        <f t="shared" si="205"/>
        <v>213502.51250000004</v>
      </c>
      <c r="F88" s="101">
        <f t="shared" si="205"/>
        <v>225558.07250000001</v>
      </c>
      <c r="G88" s="101">
        <f t="shared" si="205"/>
        <v>235550.01249999998</v>
      </c>
      <c r="H88" s="101">
        <f t="shared" si="205"/>
        <v>252288.6275</v>
      </c>
      <c r="I88" s="101">
        <f t="shared" si="205"/>
        <v>241810.63249999995</v>
      </c>
      <c r="J88" s="101">
        <f t="shared" si="205"/>
        <v>227856.71499999997</v>
      </c>
      <c r="K88" s="101">
        <f t="shared" si="205"/>
        <v>214959.52000000002</v>
      </c>
      <c r="L88" s="101">
        <f t="shared" si="205"/>
        <v>205466.29249999998</v>
      </c>
      <c r="M88" s="101">
        <f t="shared" si="205"/>
        <v>198243.80750000002</v>
      </c>
      <c r="N88" s="101">
        <f t="shared" si="205"/>
        <v>198681.44750000004</v>
      </c>
      <c r="O88" s="101">
        <f t="shared" si="205"/>
        <v>207453.83249999999</v>
      </c>
      <c r="P88" s="101">
        <f t="shared" si="205"/>
        <v>197356.58499999999</v>
      </c>
      <c r="Q88" s="101">
        <f t="shared" si="205"/>
        <v>213502.51250000004</v>
      </c>
      <c r="R88" s="101">
        <f t="shared" si="205"/>
        <v>225558.07250000001</v>
      </c>
      <c r="S88" s="101">
        <f t="shared" si="205"/>
        <v>235550.01249999998</v>
      </c>
      <c r="T88" s="101">
        <f t="shared" si="205"/>
        <v>252288.6275</v>
      </c>
      <c r="U88" s="101">
        <f t="shared" si="205"/>
        <v>241810.63249999995</v>
      </c>
      <c r="V88" s="101">
        <f t="shared" si="205"/>
        <v>227856.71499999997</v>
      </c>
      <c r="W88" s="101">
        <f t="shared" si="205"/>
        <v>214959.52000000002</v>
      </c>
      <c r="X88" s="101">
        <f t="shared" si="205"/>
        <v>205466.29249999998</v>
      </c>
      <c r="Y88" s="101">
        <f t="shared" si="205"/>
        <v>198243.80750000002</v>
      </c>
      <c r="Z88" s="101">
        <f t="shared" si="205"/>
        <v>198681.44750000004</v>
      </c>
      <c r="AA88" s="101">
        <f t="shared" si="205"/>
        <v>207453.83249999999</v>
      </c>
      <c r="AB88" s="101">
        <f t="shared" si="205"/>
        <v>197356.58499999999</v>
      </c>
      <c r="AC88" s="101">
        <f t="shared" si="205"/>
        <v>213502.51250000004</v>
      </c>
      <c r="AD88" s="101">
        <f t="shared" si="205"/>
        <v>225558.07250000001</v>
      </c>
      <c r="AE88" s="101">
        <f t="shared" si="205"/>
        <v>235550.01249999998</v>
      </c>
      <c r="AF88" s="101">
        <f t="shared" si="205"/>
        <v>252288.6275</v>
      </c>
      <c r="AG88" s="101">
        <f t="shared" si="205"/>
        <v>241810.63249999995</v>
      </c>
      <c r="AH88" s="101">
        <f t="shared" si="205"/>
        <v>227856.71499999997</v>
      </c>
      <c r="AI88" s="101">
        <f t="shared" si="205"/>
        <v>214959.52000000002</v>
      </c>
      <c r="AJ88" s="101">
        <f t="shared" ref="AJ88:BO88" si="206">AJ89*$C$89+AJ90+AJ91+AJ92+AJ94</f>
        <v>205466.29249999998</v>
      </c>
      <c r="AK88" s="101">
        <f t="shared" si="206"/>
        <v>198243.80750000002</v>
      </c>
      <c r="AL88" s="101">
        <f t="shared" si="206"/>
        <v>198681.44750000004</v>
      </c>
      <c r="AM88" s="101">
        <f t="shared" si="206"/>
        <v>207453.83249999999</v>
      </c>
      <c r="AN88" s="101">
        <f t="shared" si="206"/>
        <v>197356.58499999999</v>
      </c>
      <c r="AO88" s="101">
        <f t="shared" si="206"/>
        <v>213502.51250000004</v>
      </c>
      <c r="AP88" s="101">
        <f t="shared" si="206"/>
        <v>225558.07250000001</v>
      </c>
      <c r="AQ88" s="101">
        <f t="shared" si="206"/>
        <v>235550.01249999998</v>
      </c>
      <c r="AR88" s="101">
        <f t="shared" si="206"/>
        <v>252288.6275</v>
      </c>
      <c r="AS88" s="101">
        <f t="shared" si="206"/>
        <v>241810.63249999995</v>
      </c>
      <c r="AT88" s="101">
        <f t="shared" si="206"/>
        <v>227856.71499999997</v>
      </c>
      <c r="AU88" s="101">
        <f t="shared" si="206"/>
        <v>214959.52000000002</v>
      </c>
      <c r="AV88" s="101">
        <f t="shared" si="206"/>
        <v>205466.29249999998</v>
      </c>
      <c r="AW88" s="101">
        <f t="shared" si="206"/>
        <v>198243.80750000002</v>
      </c>
      <c r="AX88" s="101">
        <f t="shared" si="206"/>
        <v>198681.44750000004</v>
      </c>
      <c r="AY88" s="101">
        <f t="shared" si="206"/>
        <v>207453.83249999999</v>
      </c>
      <c r="AZ88" s="101">
        <f t="shared" si="206"/>
        <v>197356.58499999999</v>
      </c>
      <c r="BA88" s="101">
        <f t="shared" si="206"/>
        <v>213502.51250000004</v>
      </c>
      <c r="BB88" s="101">
        <f t="shared" si="206"/>
        <v>225558.07250000001</v>
      </c>
      <c r="BC88" s="101">
        <f t="shared" si="206"/>
        <v>235550.01249999998</v>
      </c>
      <c r="BD88" s="101">
        <f t="shared" si="206"/>
        <v>252288.6275</v>
      </c>
      <c r="BE88" s="101">
        <f t="shared" si="206"/>
        <v>241810.63249999995</v>
      </c>
      <c r="BF88" s="101">
        <f t="shared" si="206"/>
        <v>227856.71499999997</v>
      </c>
      <c r="BG88" s="101">
        <f t="shared" si="206"/>
        <v>214959.52000000002</v>
      </c>
      <c r="BH88" s="101">
        <f t="shared" si="206"/>
        <v>205466.29249999998</v>
      </c>
      <c r="BI88" s="101">
        <f t="shared" si="206"/>
        <v>198243.80750000002</v>
      </c>
      <c r="BJ88" s="101">
        <f t="shared" si="206"/>
        <v>198681.44750000004</v>
      </c>
      <c r="BK88" s="101">
        <f t="shared" si="206"/>
        <v>207453.83249999999</v>
      </c>
      <c r="BL88" s="101">
        <f t="shared" si="206"/>
        <v>197356.58499999999</v>
      </c>
      <c r="BM88" s="101">
        <f t="shared" si="206"/>
        <v>213502.51250000004</v>
      </c>
      <c r="BN88" s="101">
        <f t="shared" si="206"/>
        <v>225558.07250000001</v>
      </c>
      <c r="BO88" s="101">
        <f t="shared" si="206"/>
        <v>235550.01249999998</v>
      </c>
      <c r="BP88" s="101">
        <f t="shared" ref="BP88:CI88" si="207">BP89*$C$89+BP90+BP91+BP92+BP94</f>
        <v>252288.6275</v>
      </c>
      <c r="BQ88" s="101">
        <f t="shared" si="207"/>
        <v>241810.63249999995</v>
      </c>
      <c r="BR88" s="101">
        <f t="shared" si="207"/>
        <v>227856.71499999997</v>
      </c>
      <c r="BS88" s="101">
        <f t="shared" si="207"/>
        <v>214959.52000000002</v>
      </c>
      <c r="BT88" s="101">
        <f t="shared" si="207"/>
        <v>205466.29249999998</v>
      </c>
      <c r="BU88" s="101">
        <f t="shared" si="207"/>
        <v>198243.80750000002</v>
      </c>
      <c r="BV88" s="101">
        <f t="shared" si="207"/>
        <v>198681.44750000004</v>
      </c>
      <c r="BW88" s="101">
        <f t="shared" si="207"/>
        <v>207453.83249999999</v>
      </c>
      <c r="BX88" s="101">
        <f t="shared" si="207"/>
        <v>197356.58499999999</v>
      </c>
      <c r="BY88" s="101">
        <f t="shared" si="207"/>
        <v>213502.51250000004</v>
      </c>
      <c r="BZ88" s="101">
        <f t="shared" si="207"/>
        <v>225558.07250000001</v>
      </c>
      <c r="CA88" s="101">
        <f t="shared" si="207"/>
        <v>235550.01249999998</v>
      </c>
      <c r="CB88" s="101">
        <f t="shared" si="207"/>
        <v>252288.6275</v>
      </c>
      <c r="CC88" s="101">
        <f t="shared" si="207"/>
        <v>241810.63249999995</v>
      </c>
      <c r="CD88" s="101">
        <f t="shared" si="207"/>
        <v>227856.71499999997</v>
      </c>
      <c r="CE88" s="101">
        <f t="shared" si="207"/>
        <v>214959.52000000002</v>
      </c>
      <c r="CF88" s="101">
        <f t="shared" si="207"/>
        <v>205466.29249999998</v>
      </c>
      <c r="CG88" s="101">
        <f t="shared" si="207"/>
        <v>198243.80750000002</v>
      </c>
      <c r="CH88" s="101">
        <f t="shared" si="207"/>
        <v>198681.44750000004</v>
      </c>
      <c r="CI88" s="101">
        <f t="shared" si="207"/>
        <v>207453.83249999999</v>
      </c>
    </row>
    <row r="89" spans="1:87" x14ac:dyDescent="0.2">
      <c r="A89" s="1">
        <v>80</v>
      </c>
      <c r="B89" s="1" t="s">
        <v>87</v>
      </c>
      <c r="C89" s="214">
        <f>'Rate Design'!F17</f>
        <v>350</v>
      </c>
      <c r="D89" s="70">
        <f>'Bill Frequency'!C78+'Contract &amp; Vol Adj'!C78</f>
        <v>15</v>
      </c>
      <c r="E89" s="70">
        <f>'Bill Frequency'!D78+'Contract &amp; Vol Adj'!D78</f>
        <v>15</v>
      </c>
      <c r="F89" s="70">
        <f>'Bill Frequency'!E78+'Contract &amp; Vol Adj'!E78</f>
        <v>15</v>
      </c>
      <c r="G89" s="70">
        <f>'Bill Frequency'!F78+'Contract &amp; Vol Adj'!F78</f>
        <v>15</v>
      </c>
      <c r="H89" s="70">
        <f>'Bill Frequency'!G78+'Contract &amp; Vol Adj'!G78</f>
        <v>15</v>
      </c>
      <c r="I89" s="70">
        <f>'Bill Frequency'!H78+'Contract &amp; Vol Adj'!H78</f>
        <v>15</v>
      </c>
      <c r="J89" s="70">
        <f>'Bill Frequency'!I78+'Contract &amp; Vol Adj'!I78</f>
        <v>15</v>
      </c>
      <c r="K89" s="70">
        <f>'Bill Frequency'!J78+'Contract &amp; Vol Adj'!J78</f>
        <v>15</v>
      </c>
      <c r="L89" s="70">
        <f>'Bill Frequency'!K78+'Contract &amp; Vol Adj'!K78</f>
        <v>15</v>
      </c>
      <c r="M89" s="70">
        <f>'Bill Frequency'!L78+'Contract &amp; Vol Adj'!L78</f>
        <v>15</v>
      </c>
      <c r="N89" s="70">
        <f>'Bill Frequency'!M78+'Contract &amp; Vol Adj'!M78</f>
        <v>15</v>
      </c>
      <c r="O89" s="70">
        <f>'Bill Frequency'!N78+'Contract &amp; Vol Adj'!N78</f>
        <v>15</v>
      </c>
      <c r="P89" s="6">
        <f t="shared" ref="P89:Y94" si="208">D89</f>
        <v>15</v>
      </c>
      <c r="Q89" s="6">
        <f t="shared" si="208"/>
        <v>15</v>
      </c>
      <c r="R89" s="6">
        <f t="shared" si="208"/>
        <v>15</v>
      </c>
      <c r="S89" s="6">
        <f t="shared" si="208"/>
        <v>15</v>
      </c>
      <c r="T89" s="6">
        <f t="shared" si="208"/>
        <v>15</v>
      </c>
      <c r="U89" s="6">
        <f t="shared" si="208"/>
        <v>15</v>
      </c>
      <c r="V89" s="6">
        <f t="shared" si="208"/>
        <v>15</v>
      </c>
      <c r="W89" s="6">
        <f t="shared" si="208"/>
        <v>15</v>
      </c>
      <c r="X89" s="6">
        <f t="shared" si="208"/>
        <v>15</v>
      </c>
      <c r="Y89" s="6">
        <f t="shared" si="208"/>
        <v>15</v>
      </c>
      <c r="Z89" s="6">
        <f t="shared" ref="Z89:AI94" si="209">N89</f>
        <v>15</v>
      </c>
      <c r="AA89" s="6">
        <f t="shared" si="209"/>
        <v>15</v>
      </c>
      <c r="AB89" s="6">
        <f t="shared" si="209"/>
        <v>15</v>
      </c>
      <c r="AC89" s="6">
        <f t="shared" si="209"/>
        <v>15</v>
      </c>
      <c r="AD89" s="6">
        <f t="shared" si="209"/>
        <v>15</v>
      </c>
      <c r="AE89" s="6">
        <f t="shared" si="209"/>
        <v>15</v>
      </c>
      <c r="AF89" s="6">
        <f t="shared" si="209"/>
        <v>15</v>
      </c>
      <c r="AG89" s="6">
        <f t="shared" si="209"/>
        <v>15</v>
      </c>
      <c r="AH89" s="6">
        <f t="shared" si="209"/>
        <v>15</v>
      </c>
      <c r="AI89" s="6">
        <f t="shared" si="209"/>
        <v>15</v>
      </c>
      <c r="AJ89" s="6">
        <f t="shared" ref="AJ89:AS94" si="210">X89</f>
        <v>15</v>
      </c>
      <c r="AK89" s="6">
        <f t="shared" si="210"/>
        <v>15</v>
      </c>
      <c r="AL89" s="6">
        <f t="shared" si="210"/>
        <v>15</v>
      </c>
      <c r="AM89" s="6">
        <f t="shared" si="210"/>
        <v>15</v>
      </c>
      <c r="AN89" s="6">
        <f t="shared" si="210"/>
        <v>15</v>
      </c>
      <c r="AO89" s="6">
        <f t="shared" si="210"/>
        <v>15</v>
      </c>
      <c r="AP89" s="6">
        <f t="shared" si="210"/>
        <v>15</v>
      </c>
      <c r="AQ89" s="6">
        <f t="shared" si="210"/>
        <v>15</v>
      </c>
      <c r="AR89" s="6">
        <f t="shared" si="210"/>
        <v>15</v>
      </c>
      <c r="AS89" s="6">
        <f t="shared" si="210"/>
        <v>15</v>
      </c>
      <c r="AT89" s="6">
        <f t="shared" ref="AT89:BC94" si="211">AH89</f>
        <v>15</v>
      </c>
      <c r="AU89" s="6">
        <f t="shared" si="211"/>
        <v>15</v>
      </c>
      <c r="AV89" s="6">
        <f t="shared" si="211"/>
        <v>15</v>
      </c>
      <c r="AW89" s="6">
        <f t="shared" si="211"/>
        <v>15</v>
      </c>
      <c r="AX89" s="6">
        <f t="shared" si="211"/>
        <v>15</v>
      </c>
      <c r="AY89" s="6">
        <f t="shared" si="211"/>
        <v>15</v>
      </c>
      <c r="AZ89" s="6">
        <f t="shared" si="211"/>
        <v>15</v>
      </c>
      <c r="BA89" s="6">
        <f t="shared" si="211"/>
        <v>15</v>
      </c>
      <c r="BB89" s="6">
        <f t="shared" si="211"/>
        <v>15</v>
      </c>
      <c r="BC89" s="6">
        <f t="shared" si="211"/>
        <v>15</v>
      </c>
      <c r="BD89" s="6">
        <f t="shared" ref="BD89:BS94" si="212">AR89</f>
        <v>15</v>
      </c>
      <c r="BE89" s="6">
        <f t="shared" si="212"/>
        <v>15</v>
      </c>
      <c r="BF89" s="6">
        <f t="shared" si="212"/>
        <v>15</v>
      </c>
      <c r="BG89" s="6">
        <f t="shared" si="212"/>
        <v>15</v>
      </c>
      <c r="BH89" s="6">
        <f t="shared" si="212"/>
        <v>15</v>
      </c>
      <c r="BI89" s="6">
        <f t="shared" si="212"/>
        <v>15</v>
      </c>
      <c r="BJ89" s="6">
        <f t="shared" si="212"/>
        <v>15</v>
      </c>
      <c r="BK89" s="6">
        <f t="shared" si="212"/>
        <v>15</v>
      </c>
      <c r="BL89" s="6">
        <f t="shared" si="212"/>
        <v>15</v>
      </c>
      <c r="BM89" s="6">
        <f t="shared" si="212"/>
        <v>15</v>
      </c>
      <c r="BN89" s="6">
        <f t="shared" si="212"/>
        <v>15</v>
      </c>
      <c r="BO89" s="6">
        <f t="shared" si="212"/>
        <v>15</v>
      </c>
      <c r="BP89" s="6">
        <f t="shared" si="212"/>
        <v>15</v>
      </c>
      <c r="BQ89" s="6">
        <f t="shared" si="212"/>
        <v>15</v>
      </c>
      <c r="BR89" s="6">
        <f t="shared" si="212"/>
        <v>15</v>
      </c>
      <c r="BS89" s="6">
        <f t="shared" si="212"/>
        <v>15</v>
      </c>
      <c r="BT89" s="6">
        <f t="shared" ref="BT89:BW94" si="213">BH89</f>
        <v>15</v>
      </c>
      <c r="BU89" s="6">
        <f t="shared" si="213"/>
        <v>15</v>
      </c>
      <c r="BV89" s="6">
        <f t="shared" si="213"/>
        <v>15</v>
      </c>
      <c r="BW89" s="6">
        <f t="shared" si="213"/>
        <v>15</v>
      </c>
      <c r="BX89" s="6">
        <f t="shared" ref="BX89:BX94" si="214">BL89</f>
        <v>15</v>
      </c>
      <c r="BY89" s="6">
        <f t="shared" ref="BY89:BY94" si="215">BM89</f>
        <v>15</v>
      </c>
      <c r="BZ89" s="6">
        <f t="shared" ref="BZ89:BZ94" si="216">BN89</f>
        <v>15</v>
      </c>
      <c r="CA89" s="6">
        <f t="shared" ref="CA89:CA94" si="217">BO89</f>
        <v>15</v>
      </c>
      <c r="CB89" s="6">
        <f t="shared" ref="CB89:CB94" si="218">BP89</f>
        <v>15</v>
      </c>
      <c r="CC89" s="6">
        <f t="shared" ref="CC89:CC94" si="219">BQ89</f>
        <v>15</v>
      </c>
      <c r="CD89" s="6">
        <f t="shared" ref="CD89:CD94" si="220">BR89</f>
        <v>15</v>
      </c>
      <c r="CE89" s="6">
        <f t="shared" ref="CE89:CE94" si="221">BS89</f>
        <v>15</v>
      </c>
      <c r="CF89" s="6">
        <f t="shared" ref="CF89:CF94" si="222">BT89</f>
        <v>15</v>
      </c>
      <c r="CG89" s="6">
        <f t="shared" ref="CG89:CG94" si="223">BU89</f>
        <v>15</v>
      </c>
      <c r="CH89" s="6">
        <f t="shared" ref="CH89:CH94" si="224">BV89</f>
        <v>15</v>
      </c>
      <c r="CI89" s="6">
        <f t="shared" ref="CI89:CI94" si="225">BW89</f>
        <v>15</v>
      </c>
    </row>
    <row r="90" spans="1:87" x14ac:dyDescent="0.2">
      <c r="A90" s="1">
        <v>81</v>
      </c>
      <c r="B90" s="1" t="s">
        <v>1</v>
      </c>
      <c r="C90" s="1"/>
      <c r="D90" s="60">
        <f>'Bill Frequency'!C79+'Contract &amp; Vol Adj'!C79</f>
        <v>750</v>
      </c>
      <c r="E90" s="60">
        <f>'Bill Frequency'!D79+'Contract &amp; Vol Adj'!D79</f>
        <v>750</v>
      </c>
      <c r="F90" s="60">
        <f>'Bill Frequency'!E79+'Contract &amp; Vol Adj'!E79</f>
        <v>750</v>
      </c>
      <c r="G90" s="60">
        <f>'Bill Frequency'!F79+'Contract &amp; Vol Adj'!F79</f>
        <v>750</v>
      </c>
      <c r="H90" s="60">
        <f>'Bill Frequency'!G79+'Contract &amp; Vol Adj'!G79</f>
        <v>750</v>
      </c>
      <c r="I90" s="60">
        <f>'Bill Frequency'!H79+'Contract &amp; Vol Adj'!H79</f>
        <v>750</v>
      </c>
      <c r="J90" s="60">
        <f>'Bill Frequency'!I79+'Contract &amp; Vol Adj'!I79</f>
        <v>750</v>
      </c>
      <c r="K90" s="60">
        <f>'Bill Frequency'!J79+'Contract &amp; Vol Adj'!J79</f>
        <v>750</v>
      </c>
      <c r="L90" s="60">
        <f>'Bill Frequency'!K79+'Contract &amp; Vol Adj'!K79</f>
        <v>750</v>
      </c>
      <c r="M90" s="60">
        <f>'Bill Frequency'!L79+'Contract &amp; Vol Adj'!L79</f>
        <v>750</v>
      </c>
      <c r="N90" s="60">
        <f>'Bill Frequency'!M79+'Contract &amp; Vol Adj'!M79</f>
        <v>750</v>
      </c>
      <c r="O90" s="60">
        <f>'Bill Frequency'!N79+'Contract &amp; Vol Adj'!N79</f>
        <v>750</v>
      </c>
      <c r="P90" s="60">
        <f t="shared" si="208"/>
        <v>750</v>
      </c>
      <c r="Q90" s="60">
        <f t="shared" si="208"/>
        <v>750</v>
      </c>
      <c r="R90" s="60">
        <f t="shared" si="208"/>
        <v>750</v>
      </c>
      <c r="S90" s="60">
        <f t="shared" si="208"/>
        <v>750</v>
      </c>
      <c r="T90" s="60">
        <f t="shared" si="208"/>
        <v>750</v>
      </c>
      <c r="U90" s="60">
        <f t="shared" si="208"/>
        <v>750</v>
      </c>
      <c r="V90" s="60">
        <f t="shared" si="208"/>
        <v>750</v>
      </c>
      <c r="W90" s="60">
        <f t="shared" si="208"/>
        <v>750</v>
      </c>
      <c r="X90" s="60">
        <f t="shared" si="208"/>
        <v>750</v>
      </c>
      <c r="Y90" s="60">
        <f t="shared" si="208"/>
        <v>750</v>
      </c>
      <c r="Z90" s="60">
        <f t="shared" si="209"/>
        <v>750</v>
      </c>
      <c r="AA90" s="60">
        <f t="shared" si="209"/>
        <v>750</v>
      </c>
      <c r="AB90" s="60">
        <f t="shared" si="209"/>
        <v>750</v>
      </c>
      <c r="AC90" s="60">
        <f t="shared" si="209"/>
        <v>750</v>
      </c>
      <c r="AD90" s="60">
        <f t="shared" si="209"/>
        <v>750</v>
      </c>
      <c r="AE90" s="60">
        <f t="shared" si="209"/>
        <v>750</v>
      </c>
      <c r="AF90" s="60">
        <f t="shared" si="209"/>
        <v>750</v>
      </c>
      <c r="AG90" s="60">
        <f t="shared" si="209"/>
        <v>750</v>
      </c>
      <c r="AH90" s="60">
        <f t="shared" si="209"/>
        <v>750</v>
      </c>
      <c r="AI90" s="60">
        <f t="shared" si="209"/>
        <v>750</v>
      </c>
      <c r="AJ90" s="60">
        <f t="shared" si="210"/>
        <v>750</v>
      </c>
      <c r="AK90" s="60">
        <f t="shared" si="210"/>
        <v>750</v>
      </c>
      <c r="AL90" s="60">
        <f t="shared" si="210"/>
        <v>750</v>
      </c>
      <c r="AM90" s="60">
        <f t="shared" si="210"/>
        <v>750</v>
      </c>
      <c r="AN90" s="60">
        <f t="shared" si="210"/>
        <v>750</v>
      </c>
      <c r="AO90" s="60">
        <f t="shared" si="210"/>
        <v>750</v>
      </c>
      <c r="AP90" s="60">
        <f t="shared" si="210"/>
        <v>750</v>
      </c>
      <c r="AQ90" s="60">
        <f t="shared" si="210"/>
        <v>750</v>
      </c>
      <c r="AR90" s="60">
        <f t="shared" si="210"/>
        <v>750</v>
      </c>
      <c r="AS90" s="60">
        <f t="shared" si="210"/>
        <v>750</v>
      </c>
      <c r="AT90" s="60">
        <f t="shared" si="211"/>
        <v>750</v>
      </c>
      <c r="AU90" s="60">
        <f t="shared" si="211"/>
        <v>750</v>
      </c>
      <c r="AV90" s="60">
        <f t="shared" si="211"/>
        <v>750</v>
      </c>
      <c r="AW90" s="60">
        <f t="shared" si="211"/>
        <v>750</v>
      </c>
      <c r="AX90" s="60">
        <f t="shared" si="211"/>
        <v>750</v>
      </c>
      <c r="AY90" s="60">
        <f t="shared" si="211"/>
        <v>750</v>
      </c>
      <c r="AZ90" s="60">
        <f t="shared" si="211"/>
        <v>750</v>
      </c>
      <c r="BA90" s="60">
        <f t="shared" si="211"/>
        <v>750</v>
      </c>
      <c r="BB90" s="60">
        <f t="shared" si="211"/>
        <v>750</v>
      </c>
      <c r="BC90" s="60">
        <f t="shared" si="211"/>
        <v>750</v>
      </c>
      <c r="BD90" s="60">
        <f t="shared" si="212"/>
        <v>750</v>
      </c>
      <c r="BE90" s="60">
        <f t="shared" si="212"/>
        <v>750</v>
      </c>
      <c r="BF90" s="60">
        <f t="shared" si="212"/>
        <v>750</v>
      </c>
      <c r="BG90" s="60">
        <f t="shared" si="212"/>
        <v>750</v>
      </c>
      <c r="BH90" s="60">
        <f t="shared" si="212"/>
        <v>750</v>
      </c>
      <c r="BI90" s="60">
        <f t="shared" si="212"/>
        <v>750</v>
      </c>
      <c r="BJ90" s="60">
        <f t="shared" si="212"/>
        <v>750</v>
      </c>
      <c r="BK90" s="60">
        <f t="shared" si="212"/>
        <v>750</v>
      </c>
      <c r="BL90" s="60">
        <f t="shared" si="212"/>
        <v>750</v>
      </c>
      <c r="BM90" s="60">
        <f t="shared" si="212"/>
        <v>750</v>
      </c>
      <c r="BN90" s="60">
        <f t="shared" si="212"/>
        <v>750</v>
      </c>
      <c r="BO90" s="60">
        <f t="shared" si="212"/>
        <v>750</v>
      </c>
      <c r="BP90" s="60">
        <f t="shared" si="212"/>
        <v>750</v>
      </c>
      <c r="BQ90" s="60">
        <f t="shared" si="212"/>
        <v>750</v>
      </c>
      <c r="BR90" s="60">
        <f t="shared" si="212"/>
        <v>750</v>
      </c>
      <c r="BS90" s="60">
        <f t="shared" si="212"/>
        <v>750</v>
      </c>
      <c r="BT90" s="60">
        <f t="shared" si="213"/>
        <v>750</v>
      </c>
      <c r="BU90" s="60">
        <f t="shared" si="213"/>
        <v>750</v>
      </c>
      <c r="BV90" s="60">
        <f t="shared" si="213"/>
        <v>750</v>
      </c>
      <c r="BW90" s="60">
        <f t="shared" si="213"/>
        <v>750</v>
      </c>
      <c r="BX90" s="60">
        <f t="shared" si="214"/>
        <v>750</v>
      </c>
      <c r="BY90" s="60">
        <f t="shared" si="215"/>
        <v>750</v>
      </c>
      <c r="BZ90" s="60">
        <f t="shared" si="216"/>
        <v>750</v>
      </c>
      <c r="CA90" s="60">
        <f t="shared" si="217"/>
        <v>750</v>
      </c>
      <c r="CB90" s="60">
        <f t="shared" si="218"/>
        <v>750</v>
      </c>
      <c r="CC90" s="60">
        <f t="shared" si="219"/>
        <v>750</v>
      </c>
      <c r="CD90" s="60">
        <f t="shared" si="220"/>
        <v>750</v>
      </c>
      <c r="CE90" s="60">
        <f t="shared" si="221"/>
        <v>750</v>
      </c>
      <c r="CF90" s="60">
        <f t="shared" si="222"/>
        <v>750</v>
      </c>
      <c r="CG90" s="60">
        <f t="shared" si="223"/>
        <v>750</v>
      </c>
      <c r="CH90" s="60">
        <f t="shared" si="224"/>
        <v>750</v>
      </c>
      <c r="CI90" s="60">
        <f t="shared" si="225"/>
        <v>750</v>
      </c>
    </row>
    <row r="91" spans="1:87" x14ac:dyDescent="0.2">
      <c r="A91" s="1">
        <v>82</v>
      </c>
      <c r="B91" s="1" t="s">
        <v>62</v>
      </c>
      <c r="C91" s="1"/>
      <c r="D91" s="60">
        <f>'Bill Frequency'!C80+'Contract &amp; Vol Adj'!C80</f>
        <v>700</v>
      </c>
      <c r="E91" s="60">
        <f>'Bill Frequency'!D80+'Contract &amp; Vol Adj'!D80</f>
        <v>700</v>
      </c>
      <c r="F91" s="60">
        <f>'Bill Frequency'!E80+'Contract &amp; Vol Adj'!E80</f>
        <v>700</v>
      </c>
      <c r="G91" s="60">
        <f>'Bill Frequency'!F80+'Contract &amp; Vol Adj'!F80</f>
        <v>700</v>
      </c>
      <c r="H91" s="60">
        <f>'Bill Frequency'!G80+'Contract &amp; Vol Adj'!G80</f>
        <v>700</v>
      </c>
      <c r="I91" s="60">
        <f>'Bill Frequency'!H80+'Contract &amp; Vol Adj'!H80</f>
        <v>700</v>
      </c>
      <c r="J91" s="60">
        <f>'Bill Frequency'!I80+'Contract &amp; Vol Adj'!I80</f>
        <v>700</v>
      </c>
      <c r="K91" s="60">
        <f>'Bill Frequency'!J80+'Contract &amp; Vol Adj'!J80</f>
        <v>700</v>
      </c>
      <c r="L91" s="60">
        <f>'Bill Frequency'!K80+'Contract &amp; Vol Adj'!K80</f>
        <v>700</v>
      </c>
      <c r="M91" s="60">
        <f>'Bill Frequency'!L80+'Contract &amp; Vol Adj'!L80</f>
        <v>700</v>
      </c>
      <c r="N91" s="60">
        <f>'Bill Frequency'!M80+'Contract &amp; Vol Adj'!M80</f>
        <v>700</v>
      </c>
      <c r="O91" s="60">
        <f>'Bill Frequency'!N80+'Contract &amp; Vol Adj'!N80</f>
        <v>700</v>
      </c>
      <c r="P91" s="60">
        <f t="shared" si="208"/>
        <v>700</v>
      </c>
      <c r="Q91" s="60">
        <f t="shared" si="208"/>
        <v>700</v>
      </c>
      <c r="R91" s="60">
        <f t="shared" si="208"/>
        <v>700</v>
      </c>
      <c r="S91" s="60">
        <f t="shared" si="208"/>
        <v>700</v>
      </c>
      <c r="T91" s="60">
        <f t="shared" si="208"/>
        <v>700</v>
      </c>
      <c r="U91" s="60">
        <f t="shared" si="208"/>
        <v>700</v>
      </c>
      <c r="V91" s="60">
        <f t="shared" si="208"/>
        <v>700</v>
      </c>
      <c r="W91" s="60">
        <f t="shared" si="208"/>
        <v>700</v>
      </c>
      <c r="X91" s="60">
        <f t="shared" si="208"/>
        <v>700</v>
      </c>
      <c r="Y91" s="60">
        <f t="shared" si="208"/>
        <v>700</v>
      </c>
      <c r="Z91" s="60">
        <f t="shared" si="209"/>
        <v>700</v>
      </c>
      <c r="AA91" s="60">
        <f t="shared" si="209"/>
        <v>700</v>
      </c>
      <c r="AB91" s="60">
        <f t="shared" si="209"/>
        <v>700</v>
      </c>
      <c r="AC91" s="60">
        <f t="shared" si="209"/>
        <v>700</v>
      </c>
      <c r="AD91" s="60">
        <f t="shared" si="209"/>
        <v>700</v>
      </c>
      <c r="AE91" s="60">
        <f t="shared" si="209"/>
        <v>700</v>
      </c>
      <c r="AF91" s="60">
        <f t="shared" si="209"/>
        <v>700</v>
      </c>
      <c r="AG91" s="60">
        <f t="shared" si="209"/>
        <v>700</v>
      </c>
      <c r="AH91" s="60">
        <f t="shared" si="209"/>
        <v>700</v>
      </c>
      <c r="AI91" s="60">
        <f t="shared" si="209"/>
        <v>700</v>
      </c>
      <c r="AJ91" s="60">
        <f t="shared" si="210"/>
        <v>700</v>
      </c>
      <c r="AK91" s="60">
        <f t="shared" si="210"/>
        <v>700</v>
      </c>
      <c r="AL91" s="60">
        <f t="shared" si="210"/>
        <v>700</v>
      </c>
      <c r="AM91" s="60">
        <f t="shared" si="210"/>
        <v>700</v>
      </c>
      <c r="AN91" s="60">
        <f t="shared" si="210"/>
        <v>700</v>
      </c>
      <c r="AO91" s="60">
        <f t="shared" si="210"/>
        <v>700</v>
      </c>
      <c r="AP91" s="60">
        <f t="shared" si="210"/>
        <v>700</v>
      </c>
      <c r="AQ91" s="60">
        <f t="shared" si="210"/>
        <v>700</v>
      </c>
      <c r="AR91" s="60">
        <f t="shared" si="210"/>
        <v>700</v>
      </c>
      <c r="AS91" s="60">
        <f t="shared" si="210"/>
        <v>700</v>
      </c>
      <c r="AT91" s="60">
        <f t="shared" si="211"/>
        <v>700</v>
      </c>
      <c r="AU91" s="60">
        <f t="shared" si="211"/>
        <v>700</v>
      </c>
      <c r="AV91" s="60">
        <f t="shared" si="211"/>
        <v>700</v>
      </c>
      <c r="AW91" s="60">
        <f t="shared" si="211"/>
        <v>700</v>
      </c>
      <c r="AX91" s="60">
        <f t="shared" si="211"/>
        <v>700</v>
      </c>
      <c r="AY91" s="60">
        <f t="shared" si="211"/>
        <v>700</v>
      </c>
      <c r="AZ91" s="60">
        <f t="shared" si="211"/>
        <v>700</v>
      </c>
      <c r="BA91" s="60">
        <f t="shared" si="211"/>
        <v>700</v>
      </c>
      <c r="BB91" s="60">
        <f t="shared" si="211"/>
        <v>700</v>
      </c>
      <c r="BC91" s="60">
        <f t="shared" si="211"/>
        <v>700</v>
      </c>
      <c r="BD91" s="60">
        <f t="shared" si="212"/>
        <v>700</v>
      </c>
      <c r="BE91" s="60">
        <f t="shared" si="212"/>
        <v>700</v>
      </c>
      <c r="BF91" s="60">
        <f t="shared" si="212"/>
        <v>700</v>
      </c>
      <c r="BG91" s="60">
        <f t="shared" si="212"/>
        <v>700</v>
      </c>
      <c r="BH91" s="60">
        <f t="shared" si="212"/>
        <v>700</v>
      </c>
      <c r="BI91" s="60">
        <f t="shared" si="212"/>
        <v>700</v>
      </c>
      <c r="BJ91" s="60">
        <f t="shared" si="212"/>
        <v>700</v>
      </c>
      <c r="BK91" s="60">
        <f t="shared" si="212"/>
        <v>700</v>
      </c>
      <c r="BL91" s="60">
        <f t="shared" si="212"/>
        <v>700</v>
      </c>
      <c r="BM91" s="60">
        <f t="shared" si="212"/>
        <v>700</v>
      </c>
      <c r="BN91" s="60">
        <f t="shared" si="212"/>
        <v>700</v>
      </c>
      <c r="BO91" s="60">
        <f t="shared" si="212"/>
        <v>700</v>
      </c>
      <c r="BP91" s="60">
        <f t="shared" si="212"/>
        <v>700</v>
      </c>
      <c r="BQ91" s="60">
        <f t="shared" si="212"/>
        <v>700</v>
      </c>
      <c r="BR91" s="60">
        <f t="shared" si="212"/>
        <v>700</v>
      </c>
      <c r="BS91" s="60">
        <f t="shared" si="212"/>
        <v>700</v>
      </c>
      <c r="BT91" s="60">
        <f t="shared" si="213"/>
        <v>700</v>
      </c>
      <c r="BU91" s="60">
        <f t="shared" si="213"/>
        <v>700</v>
      </c>
      <c r="BV91" s="60">
        <f t="shared" si="213"/>
        <v>700</v>
      </c>
      <c r="BW91" s="60">
        <f t="shared" si="213"/>
        <v>700</v>
      </c>
      <c r="BX91" s="60">
        <f t="shared" si="214"/>
        <v>700</v>
      </c>
      <c r="BY91" s="60">
        <f t="shared" si="215"/>
        <v>700</v>
      </c>
      <c r="BZ91" s="60">
        <f t="shared" si="216"/>
        <v>700</v>
      </c>
      <c r="CA91" s="60">
        <f t="shared" si="217"/>
        <v>700</v>
      </c>
      <c r="CB91" s="60">
        <f t="shared" si="218"/>
        <v>700</v>
      </c>
      <c r="CC91" s="60">
        <f t="shared" si="219"/>
        <v>700</v>
      </c>
      <c r="CD91" s="60">
        <f t="shared" si="220"/>
        <v>700</v>
      </c>
      <c r="CE91" s="60">
        <f t="shared" si="221"/>
        <v>700</v>
      </c>
      <c r="CF91" s="60">
        <f t="shared" si="222"/>
        <v>700</v>
      </c>
      <c r="CG91" s="60">
        <f t="shared" si="223"/>
        <v>700</v>
      </c>
      <c r="CH91" s="60">
        <f t="shared" si="224"/>
        <v>700</v>
      </c>
      <c r="CI91" s="60">
        <f t="shared" si="225"/>
        <v>700</v>
      </c>
    </row>
    <row r="92" spans="1:87" x14ac:dyDescent="0.2">
      <c r="A92" s="1">
        <v>83</v>
      </c>
      <c r="B92" s="1" t="s">
        <v>2</v>
      </c>
      <c r="C92" s="1"/>
      <c r="D92" s="60">
        <f>'Bill Frequency'!C81+'Contract &amp; Vol Adj'!C81</f>
        <v>5302.8</v>
      </c>
      <c r="E92" s="60">
        <f>'Bill Frequency'!D81+'Contract &amp; Vol Adj'!D81</f>
        <v>4009.6000000000004</v>
      </c>
      <c r="F92" s="60">
        <f>'Bill Frequency'!E81+'Contract &amp; Vol Adj'!E81</f>
        <v>11880.3</v>
      </c>
      <c r="G92" s="60">
        <f>'Bill Frequency'!F81+'Contract &amp; Vol Adj'!F81</f>
        <v>13347.599999999999</v>
      </c>
      <c r="H92" s="60">
        <f>'Bill Frequency'!G81+'Contract &amp; Vol Adj'!G81</f>
        <v>9687.6999999999989</v>
      </c>
      <c r="I92" s="60">
        <f>'Bill Frequency'!H81+'Contract &amp; Vol Adj'!H81</f>
        <v>7007.9000000000005</v>
      </c>
      <c r="J92" s="60">
        <f>'Bill Frequency'!I81+'Contract &amp; Vol Adj'!I81</f>
        <v>8230.7999999999993</v>
      </c>
      <c r="K92" s="60">
        <f>'Bill Frequency'!J81+'Contract &amp; Vol Adj'!J81</f>
        <v>4601.3</v>
      </c>
      <c r="L92" s="60">
        <f>'Bill Frequency'!K81+'Contract &amp; Vol Adj'!K81</f>
        <v>8004.5</v>
      </c>
      <c r="M92" s="60">
        <f>'Bill Frequency'!L81+'Contract &amp; Vol Adj'!L81</f>
        <v>7314.7999999999993</v>
      </c>
      <c r="N92" s="60">
        <f>'Bill Frequency'!M81+'Contract &amp; Vol Adj'!M81</f>
        <v>4248.3999999999996</v>
      </c>
      <c r="O92" s="60">
        <f>'Bill Frequency'!N81+'Contract &amp; Vol Adj'!N81</f>
        <v>8166.9</v>
      </c>
      <c r="P92" s="60">
        <f t="shared" si="208"/>
        <v>5302.8</v>
      </c>
      <c r="Q92" s="60">
        <f t="shared" si="208"/>
        <v>4009.6000000000004</v>
      </c>
      <c r="R92" s="60">
        <f t="shared" si="208"/>
        <v>11880.3</v>
      </c>
      <c r="S92" s="60">
        <f t="shared" si="208"/>
        <v>13347.599999999999</v>
      </c>
      <c r="T92" s="60">
        <f t="shared" si="208"/>
        <v>9687.6999999999989</v>
      </c>
      <c r="U92" s="60">
        <f t="shared" si="208"/>
        <v>7007.9000000000005</v>
      </c>
      <c r="V92" s="60">
        <f t="shared" si="208"/>
        <v>8230.7999999999993</v>
      </c>
      <c r="W92" s="60">
        <f t="shared" si="208"/>
        <v>4601.3</v>
      </c>
      <c r="X92" s="60">
        <f t="shared" si="208"/>
        <v>8004.5</v>
      </c>
      <c r="Y92" s="60">
        <f t="shared" si="208"/>
        <v>7314.7999999999993</v>
      </c>
      <c r="Z92" s="60">
        <f t="shared" si="209"/>
        <v>4248.3999999999996</v>
      </c>
      <c r="AA92" s="60">
        <f t="shared" si="209"/>
        <v>8166.9</v>
      </c>
      <c r="AB92" s="60">
        <f t="shared" si="209"/>
        <v>5302.8</v>
      </c>
      <c r="AC92" s="60">
        <f t="shared" si="209"/>
        <v>4009.6000000000004</v>
      </c>
      <c r="AD92" s="60">
        <f t="shared" si="209"/>
        <v>11880.3</v>
      </c>
      <c r="AE92" s="60">
        <f t="shared" si="209"/>
        <v>13347.599999999999</v>
      </c>
      <c r="AF92" s="60">
        <f t="shared" si="209"/>
        <v>9687.6999999999989</v>
      </c>
      <c r="AG92" s="60">
        <f t="shared" si="209"/>
        <v>7007.9000000000005</v>
      </c>
      <c r="AH92" s="60">
        <f t="shared" si="209"/>
        <v>8230.7999999999993</v>
      </c>
      <c r="AI92" s="60">
        <f t="shared" si="209"/>
        <v>4601.3</v>
      </c>
      <c r="AJ92" s="60">
        <f t="shared" si="210"/>
        <v>8004.5</v>
      </c>
      <c r="AK92" s="60">
        <f t="shared" si="210"/>
        <v>7314.7999999999993</v>
      </c>
      <c r="AL92" s="60">
        <f t="shared" si="210"/>
        <v>4248.3999999999996</v>
      </c>
      <c r="AM92" s="60">
        <f t="shared" si="210"/>
        <v>8166.9</v>
      </c>
      <c r="AN92" s="60">
        <f t="shared" si="210"/>
        <v>5302.8</v>
      </c>
      <c r="AO92" s="60">
        <f t="shared" si="210"/>
        <v>4009.6000000000004</v>
      </c>
      <c r="AP92" s="60">
        <f t="shared" si="210"/>
        <v>11880.3</v>
      </c>
      <c r="AQ92" s="60">
        <f t="shared" si="210"/>
        <v>13347.599999999999</v>
      </c>
      <c r="AR92" s="60">
        <f t="shared" si="210"/>
        <v>9687.6999999999989</v>
      </c>
      <c r="AS92" s="60">
        <f t="shared" si="210"/>
        <v>7007.9000000000005</v>
      </c>
      <c r="AT92" s="60">
        <f t="shared" si="211"/>
        <v>8230.7999999999993</v>
      </c>
      <c r="AU92" s="60">
        <f t="shared" si="211"/>
        <v>4601.3</v>
      </c>
      <c r="AV92" s="60">
        <f t="shared" si="211"/>
        <v>8004.5</v>
      </c>
      <c r="AW92" s="60">
        <f t="shared" si="211"/>
        <v>7314.7999999999993</v>
      </c>
      <c r="AX92" s="60">
        <f t="shared" si="211"/>
        <v>4248.3999999999996</v>
      </c>
      <c r="AY92" s="60">
        <f t="shared" si="211"/>
        <v>8166.9</v>
      </c>
      <c r="AZ92" s="60">
        <f t="shared" si="211"/>
        <v>5302.8</v>
      </c>
      <c r="BA92" s="60">
        <f t="shared" si="211"/>
        <v>4009.6000000000004</v>
      </c>
      <c r="BB92" s="60">
        <f t="shared" si="211"/>
        <v>11880.3</v>
      </c>
      <c r="BC92" s="60">
        <f t="shared" si="211"/>
        <v>13347.599999999999</v>
      </c>
      <c r="BD92" s="60">
        <f t="shared" si="212"/>
        <v>9687.6999999999989</v>
      </c>
      <c r="BE92" s="60">
        <f t="shared" si="212"/>
        <v>7007.9000000000005</v>
      </c>
      <c r="BF92" s="60">
        <f t="shared" si="212"/>
        <v>8230.7999999999993</v>
      </c>
      <c r="BG92" s="60">
        <f t="shared" si="212"/>
        <v>4601.3</v>
      </c>
      <c r="BH92" s="60">
        <f t="shared" si="212"/>
        <v>8004.5</v>
      </c>
      <c r="BI92" s="60">
        <f t="shared" si="212"/>
        <v>7314.7999999999993</v>
      </c>
      <c r="BJ92" s="60">
        <f t="shared" si="212"/>
        <v>4248.3999999999996</v>
      </c>
      <c r="BK92" s="60">
        <f t="shared" si="212"/>
        <v>8166.9</v>
      </c>
      <c r="BL92" s="60">
        <f t="shared" si="212"/>
        <v>5302.8</v>
      </c>
      <c r="BM92" s="60">
        <f t="shared" si="212"/>
        <v>4009.6000000000004</v>
      </c>
      <c r="BN92" s="60">
        <f t="shared" si="212"/>
        <v>11880.3</v>
      </c>
      <c r="BO92" s="60">
        <f t="shared" si="212"/>
        <v>13347.599999999999</v>
      </c>
      <c r="BP92" s="60">
        <f t="shared" si="212"/>
        <v>9687.6999999999989</v>
      </c>
      <c r="BQ92" s="60">
        <f t="shared" si="212"/>
        <v>7007.9000000000005</v>
      </c>
      <c r="BR92" s="60">
        <f t="shared" si="212"/>
        <v>8230.7999999999993</v>
      </c>
      <c r="BS92" s="60">
        <f t="shared" si="212"/>
        <v>4601.3</v>
      </c>
      <c r="BT92" s="60">
        <f t="shared" si="213"/>
        <v>8004.5</v>
      </c>
      <c r="BU92" s="60">
        <f t="shared" si="213"/>
        <v>7314.7999999999993</v>
      </c>
      <c r="BV92" s="60">
        <f t="shared" si="213"/>
        <v>4248.3999999999996</v>
      </c>
      <c r="BW92" s="60">
        <f t="shared" si="213"/>
        <v>8166.9</v>
      </c>
      <c r="BX92" s="60">
        <f t="shared" si="214"/>
        <v>5302.8</v>
      </c>
      <c r="BY92" s="60">
        <f t="shared" si="215"/>
        <v>4009.6000000000004</v>
      </c>
      <c r="BZ92" s="60">
        <f t="shared" si="216"/>
        <v>11880.3</v>
      </c>
      <c r="CA92" s="60">
        <f t="shared" si="217"/>
        <v>13347.599999999999</v>
      </c>
      <c r="CB92" s="60">
        <f t="shared" si="218"/>
        <v>9687.6999999999989</v>
      </c>
      <c r="CC92" s="60">
        <f t="shared" si="219"/>
        <v>7007.9000000000005</v>
      </c>
      <c r="CD92" s="60">
        <f t="shared" si="220"/>
        <v>8230.7999999999993</v>
      </c>
      <c r="CE92" s="60">
        <f t="shared" si="221"/>
        <v>4601.3</v>
      </c>
      <c r="CF92" s="60">
        <f t="shared" si="222"/>
        <v>8004.5</v>
      </c>
      <c r="CG92" s="60">
        <f t="shared" si="223"/>
        <v>7314.7999999999993</v>
      </c>
      <c r="CH92" s="60">
        <f t="shared" si="224"/>
        <v>4248.3999999999996</v>
      </c>
      <c r="CI92" s="60">
        <f t="shared" si="225"/>
        <v>8166.9</v>
      </c>
    </row>
    <row r="93" spans="1:87" x14ac:dyDescent="0.2">
      <c r="A93" s="1">
        <v>84</v>
      </c>
      <c r="B93" s="1" t="s">
        <v>91</v>
      </c>
      <c r="C93" s="69" t="s">
        <v>61</v>
      </c>
      <c r="D93" s="70">
        <f>'Bill Frequency'!C82+'Contract &amp; Vol Adj'!C82</f>
        <v>1120717</v>
      </c>
      <c r="E93" s="70">
        <f>'Bill Frequency'!D82+'Contract &amp; Vol Adj'!D82</f>
        <v>1161721</v>
      </c>
      <c r="F93" s="70">
        <f>'Bill Frequency'!E82+'Contract &amp; Vol Adj'!E82</f>
        <v>1213200</v>
      </c>
      <c r="G93" s="70">
        <f>'Bill Frequency'!F82+'Contract &amp; Vol Adj'!F82</f>
        <v>1264580</v>
      </c>
      <c r="H93" s="70">
        <f>'Bill Frequency'!G82+'Contract &amp; Vol Adj'!G82</f>
        <v>1356515</v>
      </c>
      <c r="I93" s="70">
        <f>'Bill Frequency'!H82+'Contract &amp; Vol Adj'!H82</f>
        <v>1329401</v>
      </c>
      <c r="J93" s="70">
        <f>'Bill Frequency'!I82+'Contract &amp; Vol Adj'!I82</f>
        <v>1281922</v>
      </c>
      <c r="K93" s="70">
        <f>'Bill Frequency'!J82+'Contract &amp; Vol Adj'!J82</f>
        <v>1164880</v>
      </c>
      <c r="L93" s="70">
        <f>'Bill Frequency'!K82+'Contract &amp; Vol Adj'!K82</f>
        <v>1118519</v>
      </c>
      <c r="M93" s="70">
        <f>'Bill Frequency'!L82+'Contract &amp; Vol Adj'!L82</f>
        <v>1109174</v>
      </c>
      <c r="N93" s="70">
        <f>'Bill Frequency'!M82+'Contract &amp; Vol Adj'!M82</f>
        <v>1125907</v>
      </c>
      <c r="O93" s="70">
        <f>'Bill Frequency'!N82+'Contract &amp; Vol Adj'!N82</f>
        <v>1134520</v>
      </c>
      <c r="P93" s="6">
        <f t="shared" si="208"/>
        <v>1120717</v>
      </c>
      <c r="Q93" s="6">
        <f t="shared" si="208"/>
        <v>1161721</v>
      </c>
      <c r="R93" s="6">
        <f t="shared" si="208"/>
        <v>1213200</v>
      </c>
      <c r="S93" s="6">
        <f t="shared" si="208"/>
        <v>1264580</v>
      </c>
      <c r="T93" s="6">
        <f t="shared" si="208"/>
        <v>1356515</v>
      </c>
      <c r="U93" s="6">
        <f t="shared" si="208"/>
        <v>1329401</v>
      </c>
      <c r="V93" s="6">
        <f t="shared" si="208"/>
        <v>1281922</v>
      </c>
      <c r="W93" s="6">
        <f t="shared" si="208"/>
        <v>1164880</v>
      </c>
      <c r="X93" s="6">
        <f t="shared" si="208"/>
        <v>1118519</v>
      </c>
      <c r="Y93" s="6">
        <f t="shared" si="208"/>
        <v>1109174</v>
      </c>
      <c r="Z93" s="6">
        <f t="shared" si="209"/>
        <v>1125907</v>
      </c>
      <c r="AA93" s="6">
        <f t="shared" si="209"/>
        <v>1134520</v>
      </c>
      <c r="AB93" s="6">
        <f t="shared" si="209"/>
        <v>1120717</v>
      </c>
      <c r="AC93" s="6">
        <f t="shared" si="209"/>
        <v>1161721</v>
      </c>
      <c r="AD93" s="6">
        <f t="shared" si="209"/>
        <v>1213200</v>
      </c>
      <c r="AE93" s="6">
        <f t="shared" si="209"/>
        <v>1264580</v>
      </c>
      <c r="AF93" s="6">
        <f t="shared" si="209"/>
        <v>1356515</v>
      </c>
      <c r="AG93" s="6">
        <f t="shared" si="209"/>
        <v>1329401</v>
      </c>
      <c r="AH93" s="6">
        <f t="shared" si="209"/>
        <v>1281922</v>
      </c>
      <c r="AI93" s="6">
        <f t="shared" si="209"/>
        <v>1164880</v>
      </c>
      <c r="AJ93" s="6">
        <f t="shared" si="210"/>
        <v>1118519</v>
      </c>
      <c r="AK93" s="6">
        <f t="shared" si="210"/>
        <v>1109174</v>
      </c>
      <c r="AL93" s="6">
        <f t="shared" si="210"/>
        <v>1125907</v>
      </c>
      <c r="AM93" s="6">
        <f t="shared" si="210"/>
        <v>1134520</v>
      </c>
      <c r="AN93" s="6">
        <f t="shared" si="210"/>
        <v>1120717</v>
      </c>
      <c r="AO93" s="6">
        <f t="shared" si="210"/>
        <v>1161721</v>
      </c>
      <c r="AP93" s="6">
        <f t="shared" si="210"/>
        <v>1213200</v>
      </c>
      <c r="AQ93" s="6">
        <f t="shared" si="210"/>
        <v>1264580</v>
      </c>
      <c r="AR93" s="6">
        <f t="shared" si="210"/>
        <v>1356515</v>
      </c>
      <c r="AS93" s="6">
        <f t="shared" si="210"/>
        <v>1329401</v>
      </c>
      <c r="AT93" s="6">
        <f t="shared" si="211"/>
        <v>1281922</v>
      </c>
      <c r="AU93" s="6">
        <f t="shared" si="211"/>
        <v>1164880</v>
      </c>
      <c r="AV93" s="6">
        <f t="shared" si="211"/>
        <v>1118519</v>
      </c>
      <c r="AW93" s="6">
        <f t="shared" si="211"/>
        <v>1109174</v>
      </c>
      <c r="AX93" s="6">
        <f t="shared" si="211"/>
        <v>1125907</v>
      </c>
      <c r="AY93" s="6">
        <f t="shared" si="211"/>
        <v>1134520</v>
      </c>
      <c r="AZ93" s="6">
        <f t="shared" si="211"/>
        <v>1120717</v>
      </c>
      <c r="BA93" s="6">
        <f t="shared" si="211"/>
        <v>1161721</v>
      </c>
      <c r="BB93" s="6">
        <f t="shared" si="211"/>
        <v>1213200</v>
      </c>
      <c r="BC93" s="6">
        <f t="shared" si="211"/>
        <v>1264580</v>
      </c>
      <c r="BD93" s="6">
        <f t="shared" si="212"/>
        <v>1356515</v>
      </c>
      <c r="BE93" s="6">
        <f t="shared" si="212"/>
        <v>1329401</v>
      </c>
      <c r="BF93" s="6">
        <f t="shared" si="212"/>
        <v>1281922</v>
      </c>
      <c r="BG93" s="6">
        <f t="shared" si="212"/>
        <v>1164880</v>
      </c>
      <c r="BH93" s="6">
        <f t="shared" si="212"/>
        <v>1118519</v>
      </c>
      <c r="BI93" s="6">
        <f t="shared" si="212"/>
        <v>1109174</v>
      </c>
      <c r="BJ93" s="6">
        <f t="shared" si="212"/>
        <v>1125907</v>
      </c>
      <c r="BK93" s="6">
        <f t="shared" si="212"/>
        <v>1134520</v>
      </c>
      <c r="BL93" s="6">
        <f t="shared" si="212"/>
        <v>1120717</v>
      </c>
      <c r="BM93" s="6">
        <f t="shared" si="212"/>
        <v>1161721</v>
      </c>
      <c r="BN93" s="6">
        <f t="shared" si="212"/>
        <v>1213200</v>
      </c>
      <c r="BO93" s="6">
        <f t="shared" si="212"/>
        <v>1264580</v>
      </c>
      <c r="BP93" s="6">
        <f t="shared" si="212"/>
        <v>1356515</v>
      </c>
      <c r="BQ93" s="6">
        <f t="shared" si="212"/>
        <v>1329401</v>
      </c>
      <c r="BR93" s="6">
        <f t="shared" si="212"/>
        <v>1281922</v>
      </c>
      <c r="BS93" s="6">
        <f t="shared" si="212"/>
        <v>1164880</v>
      </c>
      <c r="BT93" s="6">
        <f t="shared" si="213"/>
        <v>1118519</v>
      </c>
      <c r="BU93" s="6">
        <f t="shared" si="213"/>
        <v>1109174</v>
      </c>
      <c r="BV93" s="6">
        <f t="shared" si="213"/>
        <v>1125907</v>
      </c>
      <c r="BW93" s="6">
        <f t="shared" si="213"/>
        <v>1134520</v>
      </c>
      <c r="BX93" s="6">
        <f t="shared" si="214"/>
        <v>1120717</v>
      </c>
      <c r="BY93" s="6">
        <f t="shared" si="215"/>
        <v>1161721</v>
      </c>
      <c r="BZ93" s="6">
        <f t="shared" si="216"/>
        <v>1213200</v>
      </c>
      <c r="CA93" s="6">
        <f t="shared" si="217"/>
        <v>1264580</v>
      </c>
      <c r="CB93" s="6">
        <f t="shared" si="218"/>
        <v>1356515</v>
      </c>
      <c r="CC93" s="6">
        <f t="shared" si="219"/>
        <v>1329401</v>
      </c>
      <c r="CD93" s="6">
        <f t="shared" si="220"/>
        <v>1281922</v>
      </c>
      <c r="CE93" s="6">
        <f t="shared" si="221"/>
        <v>1164880</v>
      </c>
      <c r="CF93" s="6">
        <f t="shared" si="222"/>
        <v>1118519</v>
      </c>
      <c r="CG93" s="6">
        <f t="shared" si="223"/>
        <v>1109174</v>
      </c>
      <c r="CH93" s="6">
        <f t="shared" si="224"/>
        <v>1125907</v>
      </c>
      <c r="CI93" s="6">
        <f t="shared" si="225"/>
        <v>1134520</v>
      </c>
    </row>
    <row r="94" spans="1:87" x14ac:dyDescent="0.2">
      <c r="A94" s="1">
        <v>85</v>
      </c>
      <c r="B94" s="1" t="s">
        <v>92</v>
      </c>
      <c r="C94" s="69"/>
      <c r="D94" s="60">
        <f>'Bill Frequency'!C83+'Contract &amp; Vol Adj'!C83</f>
        <v>185353.785</v>
      </c>
      <c r="E94" s="60">
        <f>'Bill Frequency'!D83+'Contract &amp; Vol Adj'!D83</f>
        <v>202792.91250000003</v>
      </c>
      <c r="F94" s="60">
        <f>'Bill Frequency'!E83+'Contract &amp; Vol Adj'!E83</f>
        <v>206977.77250000002</v>
      </c>
      <c r="G94" s="60">
        <f>'Bill Frequency'!F83+'Contract &amp; Vol Adj'!F83</f>
        <v>215502.41249999998</v>
      </c>
      <c r="H94" s="60">
        <f>'Bill Frequency'!G83+'Contract &amp; Vol Adj'!G83</f>
        <v>235900.92749999999</v>
      </c>
      <c r="I94" s="60">
        <f>'Bill Frequency'!H83+'Contract &amp; Vol Adj'!H83</f>
        <v>228102.73249999995</v>
      </c>
      <c r="J94" s="60">
        <f>'Bill Frequency'!I83+'Contract &amp; Vol Adj'!I83</f>
        <v>212925.91499999998</v>
      </c>
      <c r="K94" s="60">
        <f>'Bill Frequency'!J83+'Contract &amp; Vol Adj'!J83</f>
        <v>203658.22000000003</v>
      </c>
      <c r="L94" s="60">
        <f>'Bill Frequency'!K83+'Contract &amp; Vol Adj'!K83</f>
        <v>190761.79249999998</v>
      </c>
      <c r="M94" s="60">
        <f>'Bill Frequency'!L83+'Contract &amp; Vol Adj'!L83</f>
        <v>184229.00750000004</v>
      </c>
      <c r="N94" s="60">
        <f>'Bill Frequency'!M83+'Contract &amp; Vol Adj'!M83</f>
        <v>187733.04750000004</v>
      </c>
      <c r="O94" s="60">
        <f>'Bill Frequency'!N83+'Contract &amp; Vol Adj'!N83</f>
        <v>192586.9325</v>
      </c>
      <c r="P94" s="60">
        <f t="shared" si="208"/>
        <v>185353.785</v>
      </c>
      <c r="Q94" s="60">
        <f t="shared" si="208"/>
        <v>202792.91250000003</v>
      </c>
      <c r="R94" s="60">
        <f t="shared" si="208"/>
        <v>206977.77250000002</v>
      </c>
      <c r="S94" s="60">
        <f t="shared" si="208"/>
        <v>215502.41249999998</v>
      </c>
      <c r="T94" s="60">
        <f t="shared" si="208"/>
        <v>235900.92749999999</v>
      </c>
      <c r="U94" s="60">
        <f t="shared" si="208"/>
        <v>228102.73249999995</v>
      </c>
      <c r="V94" s="60">
        <f t="shared" si="208"/>
        <v>212925.91499999998</v>
      </c>
      <c r="W94" s="60">
        <f t="shared" si="208"/>
        <v>203658.22000000003</v>
      </c>
      <c r="X94" s="60">
        <f t="shared" si="208"/>
        <v>190761.79249999998</v>
      </c>
      <c r="Y94" s="60">
        <f t="shared" si="208"/>
        <v>184229.00750000004</v>
      </c>
      <c r="Z94" s="60">
        <f t="shared" si="209"/>
        <v>187733.04750000004</v>
      </c>
      <c r="AA94" s="60">
        <f t="shared" si="209"/>
        <v>192586.9325</v>
      </c>
      <c r="AB94" s="60">
        <f t="shared" si="209"/>
        <v>185353.785</v>
      </c>
      <c r="AC94" s="60">
        <f t="shared" si="209"/>
        <v>202792.91250000003</v>
      </c>
      <c r="AD94" s="60">
        <f t="shared" si="209"/>
        <v>206977.77250000002</v>
      </c>
      <c r="AE94" s="60">
        <f t="shared" si="209"/>
        <v>215502.41249999998</v>
      </c>
      <c r="AF94" s="60">
        <f t="shared" si="209"/>
        <v>235900.92749999999</v>
      </c>
      <c r="AG94" s="60">
        <f t="shared" si="209"/>
        <v>228102.73249999995</v>
      </c>
      <c r="AH94" s="60">
        <f t="shared" si="209"/>
        <v>212925.91499999998</v>
      </c>
      <c r="AI94" s="60">
        <f t="shared" si="209"/>
        <v>203658.22000000003</v>
      </c>
      <c r="AJ94" s="60">
        <f t="shared" si="210"/>
        <v>190761.79249999998</v>
      </c>
      <c r="AK94" s="60">
        <f t="shared" si="210"/>
        <v>184229.00750000004</v>
      </c>
      <c r="AL94" s="60">
        <f t="shared" si="210"/>
        <v>187733.04750000004</v>
      </c>
      <c r="AM94" s="60">
        <f t="shared" si="210"/>
        <v>192586.9325</v>
      </c>
      <c r="AN94" s="60">
        <f t="shared" si="210"/>
        <v>185353.785</v>
      </c>
      <c r="AO94" s="60">
        <f t="shared" si="210"/>
        <v>202792.91250000003</v>
      </c>
      <c r="AP94" s="60">
        <f t="shared" si="210"/>
        <v>206977.77250000002</v>
      </c>
      <c r="AQ94" s="60">
        <f t="shared" si="210"/>
        <v>215502.41249999998</v>
      </c>
      <c r="AR94" s="60">
        <f t="shared" si="210"/>
        <v>235900.92749999999</v>
      </c>
      <c r="AS94" s="60">
        <f t="shared" si="210"/>
        <v>228102.73249999995</v>
      </c>
      <c r="AT94" s="60">
        <f t="shared" si="211"/>
        <v>212925.91499999998</v>
      </c>
      <c r="AU94" s="60">
        <f t="shared" si="211"/>
        <v>203658.22000000003</v>
      </c>
      <c r="AV94" s="60">
        <f t="shared" si="211"/>
        <v>190761.79249999998</v>
      </c>
      <c r="AW94" s="60">
        <f t="shared" si="211"/>
        <v>184229.00750000004</v>
      </c>
      <c r="AX94" s="60">
        <f t="shared" si="211"/>
        <v>187733.04750000004</v>
      </c>
      <c r="AY94" s="60">
        <f t="shared" si="211"/>
        <v>192586.9325</v>
      </c>
      <c r="AZ94" s="60">
        <f t="shared" si="211"/>
        <v>185353.785</v>
      </c>
      <c r="BA94" s="60">
        <f t="shared" si="211"/>
        <v>202792.91250000003</v>
      </c>
      <c r="BB94" s="60">
        <f t="shared" si="211"/>
        <v>206977.77250000002</v>
      </c>
      <c r="BC94" s="60">
        <f t="shared" si="211"/>
        <v>215502.41249999998</v>
      </c>
      <c r="BD94" s="60">
        <f t="shared" si="212"/>
        <v>235900.92749999999</v>
      </c>
      <c r="BE94" s="60">
        <f t="shared" si="212"/>
        <v>228102.73249999995</v>
      </c>
      <c r="BF94" s="60">
        <f t="shared" si="212"/>
        <v>212925.91499999998</v>
      </c>
      <c r="BG94" s="60">
        <f t="shared" si="212"/>
        <v>203658.22000000003</v>
      </c>
      <c r="BH94" s="60">
        <f t="shared" si="212"/>
        <v>190761.79249999998</v>
      </c>
      <c r="BI94" s="60">
        <f t="shared" si="212"/>
        <v>184229.00750000004</v>
      </c>
      <c r="BJ94" s="60">
        <f t="shared" si="212"/>
        <v>187733.04750000004</v>
      </c>
      <c r="BK94" s="60">
        <f t="shared" si="212"/>
        <v>192586.9325</v>
      </c>
      <c r="BL94" s="60">
        <f t="shared" si="212"/>
        <v>185353.785</v>
      </c>
      <c r="BM94" s="60">
        <f t="shared" si="212"/>
        <v>202792.91250000003</v>
      </c>
      <c r="BN94" s="60">
        <f t="shared" si="212"/>
        <v>206977.77250000002</v>
      </c>
      <c r="BO94" s="60">
        <f t="shared" si="212"/>
        <v>215502.41249999998</v>
      </c>
      <c r="BP94" s="60">
        <f t="shared" si="212"/>
        <v>235900.92749999999</v>
      </c>
      <c r="BQ94" s="60">
        <f t="shared" si="212"/>
        <v>228102.73249999995</v>
      </c>
      <c r="BR94" s="60">
        <f t="shared" si="212"/>
        <v>212925.91499999998</v>
      </c>
      <c r="BS94" s="60">
        <f t="shared" si="212"/>
        <v>203658.22000000003</v>
      </c>
      <c r="BT94" s="60">
        <f t="shared" si="213"/>
        <v>190761.79249999998</v>
      </c>
      <c r="BU94" s="60">
        <f t="shared" si="213"/>
        <v>184229.00750000004</v>
      </c>
      <c r="BV94" s="60">
        <f t="shared" si="213"/>
        <v>187733.04750000004</v>
      </c>
      <c r="BW94" s="60">
        <f t="shared" si="213"/>
        <v>192586.9325</v>
      </c>
      <c r="BX94" s="60">
        <f t="shared" si="214"/>
        <v>185353.785</v>
      </c>
      <c r="BY94" s="60">
        <f t="shared" si="215"/>
        <v>202792.91250000003</v>
      </c>
      <c r="BZ94" s="60">
        <f t="shared" si="216"/>
        <v>206977.77250000002</v>
      </c>
      <c r="CA94" s="60">
        <f t="shared" si="217"/>
        <v>215502.41249999998</v>
      </c>
      <c r="CB94" s="60">
        <f t="shared" si="218"/>
        <v>235900.92749999999</v>
      </c>
      <c r="CC94" s="60">
        <f t="shared" si="219"/>
        <v>228102.73249999995</v>
      </c>
      <c r="CD94" s="60">
        <f t="shared" si="220"/>
        <v>212925.91499999998</v>
      </c>
      <c r="CE94" s="60">
        <f t="shared" si="221"/>
        <v>203658.22000000003</v>
      </c>
      <c r="CF94" s="60">
        <f t="shared" si="222"/>
        <v>190761.79249999998</v>
      </c>
      <c r="CG94" s="60">
        <f t="shared" si="223"/>
        <v>184229.00750000004</v>
      </c>
      <c r="CH94" s="60">
        <f t="shared" si="224"/>
        <v>187733.04750000004</v>
      </c>
      <c r="CI94" s="60">
        <f t="shared" si="225"/>
        <v>192586.9325</v>
      </c>
    </row>
    <row r="95" spans="1:87" x14ac:dyDescent="0.2">
      <c r="A95" s="1">
        <v>86</v>
      </c>
      <c r="B95" s="32" t="s">
        <v>79</v>
      </c>
      <c r="C95" s="32"/>
      <c r="D95" s="31">
        <f t="shared" ref="D95:AI95" si="226">D93</f>
        <v>1120717</v>
      </c>
      <c r="E95" s="31">
        <f t="shared" si="226"/>
        <v>1161721</v>
      </c>
      <c r="F95" s="31">
        <f t="shared" si="226"/>
        <v>1213200</v>
      </c>
      <c r="G95" s="31">
        <f t="shared" si="226"/>
        <v>1264580</v>
      </c>
      <c r="H95" s="31">
        <f t="shared" si="226"/>
        <v>1356515</v>
      </c>
      <c r="I95" s="31">
        <f t="shared" si="226"/>
        <v>1329401</v>
      </c>
      <c r="J95" s="31">
        <f t="shared" si="226"/>
        <v>1281922</v>
      </c>
      <c r="K95" s="31">
        <f t="shared" si="226"/>
        <v>1164880</v>
      </c>
      <c r="L95" s="31">
        <f t="shared" si="226"/>
        <v>1118519</v>
      </c>
      <c r="M95" s="31">
        <f t="shared" si="226"/>
        <v>1109174</v>
      </c>
      <c r="N95" s="31">
        <f t="shared" si="226"/>
        <v>1125907</v>
      </c>
      <c r="O95" s="31">
        <f t="shared" si="226"/>
        <v>1134520</v>
      </c>
      <c r="P95" s="31">
        <f t="shared" si="226"/>
        <v>1120717</v>
      </c>
      <c r="Q95" s="31">
        <f t="shared" si="226"/>
        <v>1161721</v>
      </c>
      <c r="R95" s="31">
        <f t="shared" si="226"/>
        <v>1213200</v>
      </c>
      <c r="S95" s="31">
        <f t="shared" si="226"/>
        <v>1264580</v>
      </c>
      <c r="T95" s="31">
        <f t="shared" si="226"/>
        <v>1356515</v>
      </c>
      <c r="U95" s="31">
        <f t="shared" si="226"/>
        <v>1329401</v>
      </c>
      <c r="V95" s="31">
        <f t="shared" si="226"/>
        <v>1281922</v>
      </c>
      <c r="W95" s="31">
        <f t="shared" si="226"/>
        <v>1164880</v>
      </c>
      <c r="X95" s="31">
        <f t="shared" si="226"/>
        <v>1118519</v>
      </c>
      <c r="Y95" s="31">
        <f t="shared" si="226"/>
        <v>1109174</v>
      </c>
      <c r="Z95" s="31">
        <f t="shared" si="226"/>
        <v>1125907</v>
      </c>
      <c r="AA95" s="31">
        <f t="shared" si="226"/>
        <v>1134520</v>
      </c>
      <c r="AB95" s="31">
        <f t="shared" si="226"/>
        <v>1120717</v>
      </c>
      <c r="AC95" s="31">
        <f t="shared" si="226"/>
        <v>1161721</v>
      </c>
      <c r="AD95" s="31">
        <f t="shared" si="226"/>
        <v>1213200</v>
      </c>
      <c r="AE95" s="31">
        <f t="shared" si="226"/>
        <v>1264580</v>
      </c>
      <c r="AF95" s="31">
        <f t="shared" si="226"/>
        <v>1356515</v>
      </c>
      <c r="AG95" s="31">
        <f t="shared" si="226"/>
        <v>1329401</v>
      </c>
      <c r="AH95" s="31">
        <f t="shared" si="226"/>
        <v>1281922</v>
      </c>
      <c r="AI95" s="31">
        <f t="shared" si="226"/>
        <v>1164880</v>
      </c>
      <c r="AJ95" s="31">
        <f t="shared" ref="AJ95:BW95" si="227">AJ93</f>
        <v>1118519</v>
      </c>
      <c r="AK95" s="31">
        <f t="shared" si="227"/>
        <v>1109174</v>
      </c>
      <c r="AL95" s="31">
        <f t="shared" si="227"/>
        <v>1125907</v>
      </c>
      <c r="AM95" s="31">
        <f t="shared" si="227"/>
        <v>1134520</v>
      </c>
      <c r="AN95" s="31">
        <f t="shared" si="227"/>
        <v>1120717</v>
      </c>
      <c r="AO95" s="31">
        <f t="shared" si="227"/>
        <v>1161721</v>
      </c>
      <c r="AP95" s="31">
        <f t="shared" si="227"/>
        <v>1213200</v>
      </c>
      <c r="AQ95" s="31">
        <f t="shared" si="227"/>
        <v>1264580</v>
      </c>
      <c r="AR95" s="31">
        <f t="shared" si="227"/>
        <v>1356515</v>
      </c>
      <c r="AS95" s="31">
        <f t="shared" si="227"/>
        <v>1329401</v>
      </c>
      <c r="AT95" s="31">
        <f t="shared" si="227"/>
        <v>1281922</v>
      </c>
      <c r="AU95" s="31">
        <f t="shared" si="227"/>
        <v>1164880</v>
      </c>
      <c r="AV95" s="31">
        <f t="shared" si="227"/>
        <v>1118519</v>
      </c>
      <c r="AW95" s="31">
        <f t="shared" si="227"/>
        <v>1109174</v>
      </c>
      <c r="AX95" s="31">
        <f t="shared" si="227"/>
        <v>1125907</v>
      </c>
      <c r="AY95" s="31">
        <f t="shared" si="227"/>
        <v>1134520</v>
      </c>
      <c r="AZ95" s="31">
        <f t="shared" si="227"/>
        <v>1120717</v>
      </c>
      <c r="BA95" s="31">
        <f t="shared" si="227"/>
        <v>1161721</v>
      </c>
      <c r="BB95" s="31">
        <f t="shared" si="227"/>
        <v>1213200</v>
      </c>
      <c r="BC95" s="31">
        <f t="shared" si="227"/>
        <v>1264580</v>
      </c>
      <c r="BD95" s="31">
        <f t="shared" si="227"/>
        <v>1356515</v>
      </c>
      <c r="BE95" s="31">
        <f t="shared" si="227"/>
        <v>1329401</v>
      </c>
      <c r="BF95" s="31">
        <f t="shared" si="227"/>
        <v>1281922</v>
      </c>
      <c r="BG95" s="31">
        <f t="shared" si="227"/>
        <v>1164880</v>
      </c>
      <c r="BH95" s="31">
        <f t="shared" si="227"/>
        <v>1118519</v>
      </c>
      <c r="BI95" s="31">
        <f t="shared" si="227"/>
        <v>1109174</v>
      </c>
      <c r="BJ95" s="31">
        <f t="shared" si="227"/>
        <v>1125907</v>
      </c>
      <c r="BK95" s="31">
        <f t="shared" si="227"/>
        <v>1134520</v>
      </c>
      <c r="BL95" s="31">
        <f t="shared" si="227"/>
        <v>1120717</v>
      </c>
      <c r="BM95" s="31">
        <f t="shared" si="227"/>
        <v>1161721</v>
      </c>
      <c r="BN95" s="31">
        <f t="shared" si="227"/>
        <v>1213200</v>
      </c>
      <c r="BO95" s="31">
        <f t="shared" si="227"/>
        <v>1264580</v>
      </c>
      <c r="BP95" s="31">
        <f t="shared" si="227"/>
        <v>1356515</v>
      </c>
      <c r="BQ95" s="31">
        <f t="shared" si="227"/>
        <v>1329401</v>
      </c>
      <c r="BR95" s="31">
        <f t="shared" si="227"/>
        <v>1281922</v>
      </c>
      <c r="BS95" s="31">
        <f t="shared" si="227"/>
        <v>1164880</v>
      </c>
      <c r="BT95" s="31">
        <f t="shared" si="227"/>
        <v>1118519</v>
      </c>
      <c r="BU95" s="31">
        <f t="shared" si="227"/>
        <v>1109174</v>
      </c>
      <c r="BV95" s="31">
        <f t="shared" si="227"/>
        <v>1125907</v>
      </c>
      <c r="BW95" s="31">
        <f t="shared" si="227"/>
        <v>1134520</v>
      </c>
      <c r="BX95" s="31">
        <f t="shared" ref="BX95:CI95" si="228">BX93</f>
        <v>1120717</v>
      </c>
      <c r="BY95" s="31">
        <f t="shared" si="228"/>
        <v>1161721</v>
      </c>
      <c r="BZ95" s="31">
        <f t="shared" si="228"/>
        <v>1213200</v>
      </c>
      <c r="CA95" s="31">
        <f t="shared" si="228"/>
        <v>1264580</v>
      </c>
      <c r="CB95" s="31">
        <f t="shared" si="228"/>
        <v>1356515</v>
      </c>
      <c r="CC95" s="31">
        <f t="shared" si="228"/>
        <v>1329401</v>
      </c>
      <c r="CD95" s="31">
        <f t="shared" si="228"/>
        <v>1281922</v>
      </c>
      <c r="CE95" s="31">
        <f t="shared" si="228"/>
        <v>1164880</v>
      </c>
      <c r="CF95" s="31">
        <f t="shared" si="228"/>
        <v>1118519</v>
      </c>
      <c r="CG95" s="31">
        <f t="shared" si="228"/>
        <v>1109174</v>
      </c>
      <c r="CH95" s="31">
        <f t="shared" si="228"/>
        <v>1125907</v>
      </c>
      <c r="CI95" s="31">
        <f t="shared" si="228"/>
        <v>1134520</v>
      </c>
    </row>
    <row r="96" spans="1:87" x14ac:dyDescent="0.2">
      <c r="A96" s="1">
        <v>87</v>
      </c>
      <c r="C96" s="1"/>
      <c r="D96" s="48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x14ac:dyDescent="0.2">
      <c r="A97" s="1">
        <v>88</v>
      </c>
      <c r="B97" s="171" t="s">
        <v>321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x14ac:dyDescent="0.2">
      <c r="A98" s="1">
        <v>89</v>
      </c>
      <c r="B98" s="1" t="s">
        <v>322</v>
      </c>
      <c r="C98" s="1"/>
      <c r="D98" s="60">
        <f>'Other Revenue'!D54</f>
        <v>61445</v>
      </c>
      <c r="E98" s="60">
        <f>'Other Revenue'!E54</f>
        <v>120749</v>
      </c>
      <c r="F98" s="60">
        <f>'Other Revenue'!F54</f>
        <v>125695</v>
      </c>
      <c r="G98" s="60">
        <f>'Other Revenue'!G54</f>
        <v>56798</v>
      </c>
      <c r="H98" s="60">
        <f>'Other Revenue'!H54</f>
        <v>53861</v>
      </c>
      <c r="I98" s="60">
        <f>'Other Revenue'!I54</f>
        <v>48764</v>
      </c>
      <c r="J98" s="60">
        <f>'Other Revenue'!J54</f>
        <v>61274</v>
      </c>
      <c r="K98" s="60">
        <f>'Other Revenue'!K54</f>
        <v>55115</v>
      </c>
      <c r="L98" s="60">
        <f>'Other Revenue'!L54</f>
        <v>56750</v>
      </c>
      <c r="M98" s="60">
        <f>'Other Revenue'!M54</f>
        <v>53147</v>
      </c>
      <c r="N98" s="60">
        <f>'Other Revenue'!N54</f>
        <v>52352</v>
      </c>
      <c r="O98" s="60">
        <f>'Other Revenue'!O54</f>
        <v>49875</v>
      </c>
      <c r="P98" s="60">
        <f>'Other Revenue'!P54</f>
        <v>61445</v>
      </c>
      <c r="Q98" s="60">
        <f>'Other Revenue'!Q54</f>
        <v>120749</v>
      </c>
      <c r="R98" s="60">
        <f>'Other Revenue'!R54</f>
        <v>125695</v>
      </c>
      <c r="S98" s="60">
        <f>'Other Revenue'!S54</f>
        <v>56798</v>
      </c>
      <c r="T98" s="60">
        <f>'Other Revenue'!T54</f>
        <v>53861</v>
      </c>
      <c r="U98" s="60">
        <f>'Other Revenue'!U54</f>
        <v>48764</v>
      </c>
      <c r="V98" s="60">
        <f>'Other Revenue'!V54</f>
        <v>61274</v>
      </c>
      <c r="W98" s="60">
        <f>'Other Revenue'!W54</f>
        <v>55115</v>
      </c>
      <c r="X98" s="60">
        <f>'Other Revenue'!X54</f>
        <v>56750</v>
      </c>
      <c r="Y98" s="60">
        <f>'Other Revenue'!Y54</f>
        <v>53147</v>
      </c>
      <c r="Z98" s="60">
        <f>'Other Revenue'!Z54</f>
        <v>52352</v>
      </c>
      <c r="AA98" s="60">
        <f>'Other Revenue'!AA54</f>
        <v>49875</v>
      </c>
      <c r="AB98" s="60">
        <f>'Other Revenue'!AB54</f>
        <v>61445</v>
      </c>
      <c r="AC98" s="60">
        <f>'Other Revenue'!AC54</f>
        <v>120749</v>
      </c>
      <c r="AD98" s="60">
        <f>'Other Revenue'!AD54</f>
        <v>125695</v>
      </c>
      <c r="AE98" s="60">
        <f>'Other Revenue'!AE54</f>
        <v>56798</v>
      </c>
      <c r="AF98" s="60">
        <f>'Other Revenue'!AF54</f>
        <v>53861</v>
      </c>
      <c r="AG98" s="60">
        <f>'Other Revenue'!AG54</f>
        <v>48764</v>
      </c>
      <c r="AH98" s="60">
        <f>'Other Revenue'!AH54</f>
        <v>61274</v>
      </c>
      <c r="AI98" s="60">
        <f>'Other Revenue'!AI54</f>
        <v>55115</v>
      </c>
      <c r="AJ98" s="60">
        <f>'Other Revenue'!AJ54</f>
        <v>56750</v>
      </c>
      <c r="AK98" s="60">
        <f>'Other Revenue'!AK54</f>
        <v>53147</v>
      </c>
      <c r="AL98" s="60">
        <f>'Other Revenue'!AL54</f>
        <v>52352</v>
      </c>
      <c r="AM98" s="60">
        <f>'Other Revenue'!AM54</f>
        <v>49875</v>
      </c>
      <c r="AN98" s="60">
        <f>'Other Revenue'!AN54</f>
        <v>61445</v>
      </c>
      <c r="AO98" s="60">
        <f>'Other Revenue'!AO54</f>
        <v>120749</v>
      </c>
      <c r="AP98" s="60">
        <f>'Other Revenue'!AP54</f>
        <v>125695</v>
      </c>
      <c r="AQ98" s="60">
        <f>'Other Revenue'!AQ54</f>
        <v>56798</v>
      </c>
      <c r="AR98" s="60">
        <f>'Other Revenue'!AR54</f>
        <v>53861</v>
      </c>
      <c r="AS98" s="60">
        <f>'Other Revenue'!AS54</f>
        <v>48764</v>
      </c>
      <c r="AT98" s="60">
        <f>'Other Revenue'!AT54</f>
        <v>61274</v>
      </c>
      <c r="AU98" s="60">
        <f>'Other Revenue'!AU54</f>
        <v>55115</v>
      </c>
      <c r="AV98" s="60">
        <f>'Other Revenue'!AV54</f>
        <v>56750</v>
      </c>
      <c r="AW98" s="60">
        <f>'Other Revenue'!AW54</f>
        <v>53147</v>
      </c>
      <c r="AX98" s="60">
        <f>'Other Revenue'!AX54</f>
        <v>52352</v>
      </c>
      <c r="AY98" s="60">
        <f>'Other Revenue'!AY54</f>
        <v>49875</v>
      </c>
      <c r="AZ98" s="60">
        <f>'Other Revenue'!AZ54</f>
        <v>61445</v>
      </c>
      <c r="BA98" s="60">
        <f>'Other Revenue'!BA54</f>
        <v>120749</v>
      </c>
      <c r="BB98" s="60">
        <f>'Other Revenue'!BB54</f>
        <v>125695</v>
      </c>
      <c r="BC98" s="60">
        <f>'Other Revenue'!BC54</f>
        <v>56798</v>
      </c>
      <c r="BD98" s="60">
        <f>'Other Revenue'!BD54</f>
        <v>53861</v>
      </c>
      <c r="BE98" s="60">
        <f>'Other Revenue'!BE54</f>
        <v>48764</v>
      </c>
      <c r="BF98" s="60">
        <f>'Other Revenue'!BF54</f>
        <v>61274</v>
      </c>
      <c r="BG98" s="60">
        <f>'Other Revenue'!BG54</f>
        <v>55115</v>
      </c>
      <c r="BH98" s="60">
        <f>'Other Revenue'!BH54</f>
        <v>56750</v>
      </c>
      <c r="BI98" s="60">
        <f>'Other Revenue'!BI54</f>
        <v>53147</v>
      </c>
      <c r="BJ98" s="60">
        <f>'Other Revenue'!BJ54</f>
        <v>52352</v>
      </c>
      <c r="BK98" s="60">
        <f>'Other Revenue'!BK54</f>
        <v>49875</v>
      </c>
      <c r="BL98" s="60">
        <f>'Other Revenue'!BL54</f>
        <v>61445</v>
      </c>
      <c r="BM98" s="60">
        <f>'Other Revenue'!BM54</f>
        <v>120749</v>
      </c>
      <c r="BN98" s="60">
        <f>'Other Revenue'!BN54</f>
        <v>125695</v>
      </c>
      <c r="BO98" s="60">
        <f>'Other Revenue'!BO54</f>
        <v>56798</v>
      </c>
      <c r="BP98" s="60">
        <f>'Other Revenue'!BP54</f>
        <v>53861</v>
      </c>
      <c r="BQ98" s="60">
        <f>'Other Revenue'!BQ54</f>
        <v>48764</v>
      </c>
      <c r="BR98" s="60">
        <f>'Other Revenue'!BR54</f>
        <v>61274</v>
      </c>
      <c r="BS98" s="60">
        <f>'Other Revenue'!BS54</f>
        <v>55115</v>
      </c>
      <c r="BT98" s="60">
        <f>'Other Revenue'!BT54</f>
        <v>56750</v>
      </c>
      <c r="BU98" s="60">
        <f>'Other Revenue'!BU54</f>
        <v>53147</v>
      </c>
      <c r="BV98" s="60">
        <f>'Other Revenue'!BV54</f>
        <v>52352</v>
      </c>
      <c r="BW98" s="60">
        <f>'Other Revenue'!BW54</f>
        <v>49875</v>
      </c>
      <c r="BX98" s="60">
        <f>'Other Revenue'!BX54</f>
        <v>61445</v>
      </c>
      <c r="BY98" s="60">
        <f>'Other Revenue'!BY54</f>
        <v>120749</v>
      </c>
      <c r="BZ98" s="60">
        <f>'Other Revenue'!BZ54</f>
        <v>125695</v>
      </c>
      <c r="CA98" s="60">
        <f>'Other Revenue'!CA54</f>
        <v>56798</v>
      </c>
      <c r="CB98" s="60">
        <f>'Other Revenue'!CB54</f>
        <v>53861</v>
      </c>
      <c r="CC98" s="60">
        <f>'Other Revenue'!CC54</f>
        <v>48764</v>
      </c>
      <c r="CD98" s="60">
        <f>'Other Revenue'!CD54</f>
        <v>61274</v>
      </c>
      <c r="CE98" s="60">
        <f>'Other Revenue'!CE54</f>
        <v>55115</v>
      </c>
      <c r="CF98" s="60">
        <f>'Other Revenue'!CF54</f>
        <v>56750</v>
      </c>
      <c r="CG98" s="60">
        <f>'Other Revenue'!CG54</f>
        <v>53147</v>
      </c>
      <c r="CH98" s="60">
        <f>'Other Revenue'!CH54</f>
        <v>52352</v>
      </c>
      <c r="CI98" s="60">
        <f>'Other Revenue'!CI54</f>
        <v>49875</v>
      </c>
    </row>
    <row r="99" spans="1:87" x14ac:dyDescent="0.2">
      <c r="A99" s="1">
        <v>90</v>
      </c>
      <c r="B99" s="1" t="s">
        <v>99</v>
      </c>
      <c r="C99" s="1"/>
      <c r="D99" s="60">
        <f>'Other Revenue'!D57</f>
        <v>46777.11</v>
      </c>
      <c r="E99" s="60">
        <f>'Other Revenue'!E57</f>
        <v>51862.394904118693</v>
      </c>
      <c r="F99" s="60">
        <f>'Other Revenue'!F57</f>
        <v>67870.188902252616</v>
      </c>
      <c r="G99" s="60">
        <f>'Other Revenue'!G57</f>
        <v>113000.43331465998</v>
      </c>
      <c r="H99" s="60">
        <f>'Other Revenue'!H57</f>
        <v>171564.42566711994</v>
      </c>
      <c r="I99" s="60">
        <f>'Other Revenue'!I57</f>
        <v>198108.14034898984</v>
      </c>
      <c r="J99" s="60">
        <f>'Other Revenue'!J57</f>
        <v>192332.78914020109</v>
      </c>
      <c r="K99" s="60">
        <f>'Other Revenue'!K57</f>
        <v>178270.20812811854</v>
      </c>
      <c r="L99" s="60">
        <f>'Other Revenue'!L57</f>
        <v>111702.08729558266</v>
      </c>
      <c r="M99" s="60">
        <f>'Other Revenue'!M57</f>
        <v>67499.878390754646</v>
      </c>
      <c r="N99" s="60">
        <f>'Other Revenue'!N57</f>
        <v>52256.437178325301</v>
      </c>
      <c r="O99" s="60">
        <f>'Other Revenue'!O57</f>
        <v>48197.681236385106</v>
      </c>
      <c r="P99" s="60">
        <f>'Other Revenue'!P57</f>
        <v>44791.383644271991</v>
      </c>
      <c r="Q99" s="60">
        <f>'Other Revenue'!Q57</f>
        <v>45091.96811961769</v>
      </c>
      <c r="R99" s="60">
        <f>'Other Revenue'!R57</f>
        <v>56262.756654776204</v>
      </c>
      <c r="S99" s="60">
        <f>'Other Revenue'!S57</f>
        <v>96549.413802119583</v>
      </c>
      <c r="T99" s="60">
        <f>'Other Revenue'!T57</f>
        <v>143697.08057829188</v>
      </c>
      <c r="U99" s="60">
        <f>'Other Revenue'!U57</f>
        <v>162832.31072609653</v>
      </c>
      <c r="V99" s="60">
        <f>'Other Revenue'!V57</f>
        <v>160631.42246284056</v>
      </c>
      <c r="W99" s="60">
        <f>'Other Revenue'!W57</f>
        <v>150470.99221481421</v>
      </c>
      <c r="X99" s="60">
        <f>'Other Revenue'!X57</f>
        <v>97972.340902852709</v>
      </c>
      <c r="Y99" s="60">
        <f>'Other Revenue'!Y57</f>
        <v>64359.484880450655</v>
      </c>
      <c r="Z99" s="60">
        <f>'Other Revenue'!Z57</f>
        <v>50430.816667139916</v>
      </c>
      <c r="AA99" s="60">
        <f>'Other Revenue'!AA57</f>
        <v>46693.460565744826</v>
      </c>
      <c r="AB99" s="60">
        <f>'Other Revenue'!AB57</f>
        <v>45925.383208012761</v>
      </c>
      <c r="AC99" s="60">
        <f>'Other Revenue'!AC57</f>
        <v>46253.95138550202</v>
      </c>
      <c r="AD99" s="60">
        <f>'Other Revenue'!AD57</f>
        <v>58211.918307893335</v>
      </c>
      <c r="AE99" s="60">
        <f>'Other Revenue'!AE57</f>
        <v>99267.594643623204</v>
      </c>
      <c r="AF99" s="60">
        <f>'Other Revenue'!AF57</f>
        <v>148251.73521202765</v>
      </c>
      <c r="AG99" s="60">
        <f>'Other Revenue'!AG57</f>
        <v>168154.64563045249</v>
      </c>
      <c r="AH99" s="60">
        <f>'Other Revenue'!AH57</f>
        <v>162432.45197172367</v>
      </c>
      <c r="AI99" s="60">
        <f>'Other Revenue'!AI57</f>
        <v>152013.47087655027</v>
      </c>
      <c r="AJ99" s="60">
        <f>'Other Revenue'!AJ57</f>
        <v>98892.265646552856</v>
      </c>
      <c r="AK99" s="60">
        <f>'Other Revenue'!AK57</f>
        <v>65944.755245916691</v>
      </c>
      <c r="AL99" s="60">
        <f>'Other Revenue'!AL57</f>
        <v>51384.191093183879</v>
      </c>
      <c r="AM99" s="60">
        <f>'Other Revenue'!AM57</f>
        <v>47492.74497762636</v>
      </c>
      <c r="AN99" s="60">
        <f>'Other Revenue'!AN57</f>
        <v>46671.612766407889</v>
      </c>
      <c r="AO99" s="60">
        <f>'Other Revenue'!AO57</f>
        <v>47018.141120793422</v>
      </c>
      <c r="AP99" s="60">
        <f>'Other Revenue'!AP57</f>
        <v>59481.592982246002</v>
      </c>
      <c r="AQ99" s="60">
        <f>'Other Revenue'!AQ57</f>
        <v>101458.23913931544</v>
      </c>
      <c r="AR99" s="60">
        <f>'Other Revenue'!AR57</f>
        <v>151912.86051894474</v>
      </c>
      <c r="AS99" s="60">
        <f>'Other Revenue'!AS57</f>
        <v>172430.4864596141</v>
      </c>
      <c r="AT99" s="60">
        <f>'Other Revenue'!AT57</f>
        <v>166051.12905300868</v>
      </c>
      <c r="AU99" s="60">
        <f>'Other Revenue'!AU57</f>
        <v>155145.2621856175</v>
      </c>
      <c r="AV99" s="60">
        <f>'Other Revenue'!AV57</f>
        <v>100725.78768452292</v>
      </c>
      <c r="AW99" s="60">
        <f>'Other Revenue'!AW57</f>
        <v>66542.763196751461</v>
      </c>
      <c r="AX99" s="60">
        <f>'Other Revenue'!AX57</f>
        <v>51756.473724700663</v>
      </c>
      <c r="AY99" s="60">
        <f>'Other Revenue'!AY57</f>
        <v>47810.335610732611</v>
      </c>
      <c r="AZ99" s="60">
        <f>'Other Revenue'!AZ57</f>
        <v>46945.360608982293</v>
      </c>
      <c r="BA99" s="60">
        <f>'Other Revenue'!BA57</f>
        <v>47297.637223689264</v>
      </c>
      <c r="BB99" s="60">
        <f>'Other Revenue'!BB57</f>
        <v>59922.776844032822</v>
      </c>
      <c r="BC99" s="60">
        <f>'Other Revenue'!BC57</f>
        <v>102681.60728930055</v>
      </c>
      <c r="BD99" s="60">
        <f>'Other Revenue'!BD57</f>
        <v>153939.28119993038</v>
      </c>
      <c r="BE99" s="60">
        <f>'Other Revenue'!BE57</f>
        <v>174793.01126951774</v>
      </c>
      <c r="BF99" s="60">
        <f>'Other Revenue'!BF57</f>
        <v>168521.77591819584</v>
      </c>
      <c r="BG99" s="60">
        <f>'Other Revenue'!BG57</f>
        <v>157270.36455599157</v>
      </c>
      <c r="BH99" s="60">
        <f>'Other Revenue'!BH57</f>
        <v>101981.30466597342</v>
      </c>
      <c r="BI99" s="60">
        <f>'Other Revenue'!BI57</f>
        <v>67163.420160687019</v>
      </c>
      <c r="BJ99" s="60">
        <f>'Other Revenue'!BJ57</f>
        <v>52142.430492476145</v>
      </c>
      <c r="BK99" s="60">
        <f>'Other Revenue'!BK57</f>
        <v>48139.226239551303</v>
      </c>
      <c r="BL99" s="60">
        <f>'Other Revenue'!BL57</f>
        <v>47278.711591175568</v>
      </c>
      <c r="BM99" s="60">
        <f>'Other Revenue'!BM57</f>
        <v>47638.284513313949</v>
      </c>
      <c r="BN99" s="60">
        <f>'Other Revenue'!BN57</f>
        <v>60469.471237593578</v>
      </c>
      <c r="BO99" s="60">
        <f>'Other Revenue'!BO57</f>
        <v>104121.76916539717</v>
      </c>
      <c r="BP99" s="60">
        <f>'Other Revenue'!BP57</f>
        <v>156331.00261819275</v>
      </c>
      <c r="BQ99" s="60">
        <f>'Other Revenue'!BQ57</f>
        <v>177583.13393465348</v>
      </c>
      <c r="BR99" s="60">
        <f>'Other Revenue'!BR57</f>
        <v>171383.97210770595</v>
      </c>
      <c r="BS99" s="60">
        <f>'Other Revenue'!BS57</f>
        <v>159736.1824091865</v>
      </c>
      <c r="BT99" s="60">
        <f>'Other Revenue'!BT57</f>
        <v>103432.797065217</v>
      </c>
      <c r="BU99" s="60">
        <f>'Other Revenue'!BU57</f>
        <v>67978.599938038693</v>
      </c>
      <c r="BV99" s="60">
        <f>'Other Revenue'!BV57</f>
        <v>52643.41405381143</v>
      </c>
      <c r="BW99" s="60">
        <f>'Other Revenue'!BW57</f>
        <v>48562.725650669512</v>
      </c>
      <c r="BX99" s="60">
        <f>'Other Revenue'!BX57</f>
        <v>47721.843426371481</v>
      </c>
      <c r="BY99" s="60">
        <f>'Other Revenue'!BY57</f>
        <v>48091.562753421</v>
      </c>
      <c r="BZ99" s="60">
        <f>'Other Revenue'!BZ57</f>
        <v>61208.26155665797</v>
      </c>
      <c r="CA99" s="60">
        <f>'Other Revenue'!CA57</f>
        <v>105910.66771415604</v>
      </c>
      <c r="CB99" s="60">
        <f>'Other Revenue'!CB57</f>
        <v>159313.72365478837</v>
      </c>
      <c r="CC99" s="60">
        <f>'Other Revenue'!CC57</f>
        <v>181065.03745336714</v>
      </c>
      <c r="CD99" s="60">
        <f>'Other Revenue'!CD57</f>
        <v>174859.35030333872</v>
      </c>
      <c r="CE99" s="60">
        <f>'Other Revenue'!CE57</f>
        <v>162737.20850486998</v>
      </c>
      <c r="CF99" s="60">
        <f>'Other Revenue'!CF57</f>
        <v>105192.8112658664</v>
      </c>
      <c r="CG99" s="60">
        <f>'Other Revenue'!CG57</f>
        <v>68943.582229678359</v>
      </c>
      <c r="CH99" s="60">
        <f>'Other Revenue'!CH57</f>
        <v>53231.482667547061</v>
      </c>
      <c r="CI99" s="60">
        <f>'Other Revenue'!CI57</f>
        <v>49058.99773174397</v>
      </c>
    </row>
    <row r="100" spans="1:87" x14ac:dyDescent="0.2">
      <c r="A100" s="1">
        <v>91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x14ac:dyDescent="0.2">
      <c r="A101" s="1">
        <v>92</v>
      </c>
      <c r="B101" s="172" t="s">
        <v>323</v>
      </c>
      <c r="C101" s="1"/>
      <c r="D101" s="60">
        <f>D107+D98+D99</f>
        <v>5548430.0326130651</v>
      </c>
      <c r="E101" s="60">
        <f t="shared" ref="E101:O101" si="229">E107+E98+E99</f>
        <v>6129808.3300439781</v>
      </c>
      <c r="F101" s="60">
        <f t="shared" si="229"/>
        <v>7462097.4920328446</v>
      </c>
      <c r="G101" s="60">
        <f t="shared" si="229"/>
        <v>8973522.3611537367</v>
      </c>
      <c r="H101" s="60">
        <f t="shared" si="229"/>
        <v>9768099.7189632021</v>
      </c>
      <c r="I101" s="60">
        <f t="shared" si="229"/>
        <v>9231665.5127008595</v>
      </c>
      <c r="J101" s="60">
        <f t="shared" si="229"/>
        <v>9539620.6901864633</v>
      </c>
      <c r="K101" s="60">
        <f t="shared" si="229"/>
        <v>7429983.4826788427</v>
      </c>
      <c r="L101" s="60">
        <f t="shared" si="229"/>
        <v>6298118.3250240143</v>
      </c>
      <c r="M101" s="60">
        <f t="shared" si="229"/>
        <v>5804873.3289118037</v>
      </c>
      <c r="N101" s="60">
        <f t="shared" si="229"/>
        <v>5591165.6384347575</v>
      </c>
      <c r="O101" s="60">
        <f t="shared" si="229"/>
        <v>5583105.0835992582</v>
      </c>
      <c r="P101" s="60">
        <f t="shared" ref="P101:BW101" si="230">P107+P98+P99</f>
        <v>5554498.4944999591</v>
      </c>
      <c r="Q101" s="60">
        <f t="shared" si="230"/>
        <v>6131662.6566648278</v>
      </c>
      <c r="R101" s="60">
        <f t="shared" si="230"/>
        <v>7461187.5283085769</v>
      </c>
      <c r="S101" s="60">
        <f t="shared" si="230"/>
        <v>8969936.1760380287</v>
      </c>
      <c r="T101" s="60">
        <f t="shared" si="230"/>
        <v>9754041.9095571712</v>
      </c>
      <c r="U101" s="60">
        <f t="shared" si="230"/>
        <v>9210800.1175826117</v>
      </c>
      <c r="V101" s="60">
        <f t="shared" si="230"/>
        <v>9520277.1739131659</v>
      </c>
      <c r="W101" s="60">
        <f t="shared" si="230"/>
        <v>7412650.165017819</v>
      </c>
      <c r="X101" s="60">
        <f t="shared" si="230"/>
        <v>6293244.2335938485</v>
      </c>
      <c r="Y101" s="60">
        <f t="shared" si="230"/>
        <v>5809922.4540863642</v>
      </c>
      <c r="Z101" s="60">
        <f t="shared" si="230"/>
        <v>5597374.309774762</v>
      </c>
      <c r="AA101" s="60">
        <f t="shared" si="230"/>
        <v>5589634.0856856974</v>
      </c>
      <c r="AB101" s="60">
        <f t="shared" si="230"/>
        <v>5563686.6540078353</v>
      </c>
      <c r="AC101" s="60">
        <f t="shared" si="230"/>
        <v>6141449.546594847</v>
      </c>
      <c r="AD101" s="60">
        <f t="shared" si="230"/>
        <v>7473813.6699058283</v>
      </c>
      <c r="AE101" s="60">
        <f t="shared" si="230"/>
        <v>8985519.7861996684</v>
      </c>
      <c r="AF101" s="60">
        <f t="shared" si="230"/>
        <v>9772427.3792178426</v>
      </c>
      <c r="AG101" s="60">
        <f t="shared" si="230"/>
        <v>9230514.5556069016</v>
      </c>
      <c r="AH101" s="60">
        <f t="shared" si="230"/>
        <v>9534436.3410003837</v>
      </c>
      <c r="AI101" s="60">
        <f t="shared" si="230"/>
        <v>7424679.915843891</v>
      </c>
      <c r="AJ101" s="60">
        <f t="shared" si="230"/>
        <v>6303020.0840416839</v>
      </c>
      <c r="AK101" s="60">
        <f t="shared" si="230"/>
        <v>5819697.7438359652</v>
      </c>
      <c r="AL101" s="60">
        <f t="shared" si="230"/>
        <v>5606361.4415049413</v>
      </c>
      <c r="AM101" s="60">
        <f t="shared" si="230"/>
        <v>5598467.1274017133</v>
      </c>
      <c r="AN101" s="60">
        <f t="shared" si="230"/>
        <v>5572487.0435103653</v>
      </c>
      <c r="AO101" s="60">
        <f t="shared" si="230"/>
        <v>6150838.6429942735</v>
      </c>
      <c r="AP101" s="60">
        <f t="shared" si="230"/>
        <v>7485780.5682135159</v>
      </c>
      <c r="AQ101" s="60">
        <f t="shared" si="230"/>
        <v>9000575.9654554948</v>
      </c>
      <c r="AR101" s="60">
        <f t="shared" si="230"/>
        <v>9789898.564610295</v>
      </c>
      <c r="AS101" s="60">
        <f t="shared" si="230"/>
        <v>9249182.6049959995</v>
      </c>
      <c r="AT101" s="60">
        <f t="shared" si="230"/>
        <v>9550413.2611000035</v>
      </c>
      <c r="AU101" s="60">
        <f t="shared" si="230"/>
        <v>7438278.0706970925</v>
      </c>
      <c r="AV101" s="60">
        <f t="shared" si="230"/>
        <v>6313730.3441899884</v>
      </c>
      <c r="AW101" s="60">
        <f t="shared" si="230"/>
        <v>5828485.7711709356</v>
      </c>
      <c r="AX101" s="60">
        <f t="shared" si="230"/>
        <v>5614767.4814405935</v>
      </c>
      <c r="AY101" s="60">
        <f t="shared" si="230"/>
        <v>5606818.4753389554</v>
      </c>
      <c r="AZ101" s="60">
        <f t="shared" si="230"/>
        <v>5580814.9512970746</v>
      </c>
      <c r="BA101" s="60">
        <f t="shared" si="230"/>
        <v>6159743.045761304</v>
      </c>
      <c r="BB101" s="60">
        <f t="shared" si="230"/>
        <v>7496898.7847394384</v>
      </c>
      <c r="BC101" s="60">
        <f t="shared" si="230"/>
        <v>9014664.9738056175</v>
      </c>
      <c r="BD101" s="60">
        <f t="shared" si="230"/>
        <v>9805735.150816815</v>
      </c>
      <c r="BE101" s="60">
        <f t="shared" si="230"/>
        <v>9265956.2623416372</v>
      </c>
      <c r="BF101" s="60">
        <f t="shared" si="230"/>
        <v>9565242.2564235255</v>
      </c>
      <c r="BG101" s="60">
        <f t="shared" si="230"/>
        <v>7450890.603391801</v>
      </c>
      <c r="BH101" s="60">
        <f t="shared" si="230"/>
        <v>6323841.8395955749</v>
      </c>
      <c r="BI101" s="60">
        <f t="shared" si="230"/>
        <v>5837296.4475190053</v>
      </c>
      <c r="BJ101" s="60">
        <f t="shared" si="230"/>
        <v>5623187.1955125034</v>
      </c>
      <c r="BK101" s="60">
        <f t="shared" si="230"/>
        <v>5615181.1232719077</v>
      </c>
      <c r="BL101" s="60">
        <f t="shared" si="230"/>
        <v>5589202.4622234032</v>
      </c>
      <c r="BM101" s="60">
        <f t="shared" si="230"/>
        <v>6168728.9653192647</v>
      </c>
      <c r="BN101" s="60">
        <f t="shared" si="230"/>
        <v>7508142.8609263338</v>
      </c>
      <c r="BO101" s="60">
        <f t="shared" si="230"/>
        <v>9028970.8813218474</v>
      </c>
      <c r="BP101" s="60">
        <f t="shared" si="230"/>
        <v>9821937.1432006117</v>
      </c>
      <c r="BQ101" s="60">
        <f t="shared" si="230"/>
        <v>9283138.8571667094</v>
      </c>
      <c r="BR101" s="60">
        <f t="shared" si="230"/>
        <v>9580439.5292771719</v>
      </c>
      <c r="BS101" s="60">
        <f t="shared" si="230"/>
        <v>7463822.837509132</v>
      </c>
      <c r="BT101" s="60">
        <f t="shared" si="230"/>
        <v>6334149.3104189541</v>
      </c>
      <c r="BU101" s="60">
        <f t="shared" si="230"/>
        <v>5846322.5096978927</v>
      </c>
      <c r="BV101" s="60">
        <f t="shared" si="230"/>
        <v>5631721.9363779742</v>
      </c>
      <c r="BW101" s="60">
        <f t="shared" si="230"/>
        <v>5623638.3799871616</v>
      </c>
      <c r="BX101" s="60">
        <f t="shared" ref="BX101:CI101" si="231">BX107+BX98+BX99</f>
        <v>5597699.754002735</v>
      </c>
      <c r="BY101" s="60">
        <f t="shared" si="231"/>
        <v>6177807.2029435067</v>
      </c>
      <c r="BZ101" s="60">
        <f t="shared" si="231"/>
        <v>7519558.7366295327</v>
      </c>
      <c r="CA101" s="60">
        <f t="shared" si="231"/>
        <v>9043625.6309507415</v>
      </c>
      <c r="CB101" s="60">
        <f t="shared" si="231"/>
        <v>9838730.2406427413</v>
      </c>
      <c r="CC101" s="60">
        <f t="shared" si="231"/>
        <v>9301013.3382853568</v>
      </c>
      <c r="CD101" s="60">
        <f t="shared" si="231"/>
        <v>9596273.41409114</v>
      </c>
      <c r="CE101" s="60">
        <f t="shared" si="231"/>
        <v>7477311.4520891504</v>
      </c>
      <c r="CF101" s="60">
        <f t="shared" si="231"/>
        <v>6344765.3030437371</v>
      </c>
      <c r="CG101" s="60">
        <f t="shared" si="231"/>
        <v>5855477.5640936671</v>
      </c>
      <c r="CH101" s="60">
        <f t="shared" si="231"/>
        <v>5640343.762295844</v>
      </c>
      <c r="CI101" s="60">
        <f t="shared" si="231"/>
        <v>5632168.4093723716</v>
      </c>
    </row>
    <row r="102" spans="1:87" x14ac:dyDescent="0.2">
      <c r="A102" s="1">
        <v>93</v>
      </c>
      <c r="B102" s="1" t="s">
        <v>229</v>
      </c>
      <c r="C102" s="1"/>
      <c r="D102" s="60">
        <f>D108</f>
        <v>2526043.2431860501</v>
      </c>
      <c r="E102" s="60">
        <f t="shared" ref="E102:O102" si="232">E108</f>
        <v>4264607.6722177695</v>
      </c>
      <c r="F102" s="60">
        <f t="shared" si="232"/>
        <v>8776557.6356602795</v>
      </c>
      <c r="G102" s="60">
        <f t="shared" si="232"/>
        <v>14927330.62004406</v>
      </c>
      <c r="H102" s="60">
        <f t="shared" si="232"/>
        <v>17902201.304841042</v>
      </c>
      <c r="I102" s="60">
        <f t="shared" si="232"/>
        <v>17474468.544709548</v>
      </c>
      <c r="J102" s="60">
        <f t="shared" si="232"/>
        <v>15783267.92597995</v>
      </c>
      <c r="K102" s="60">
        <f t="shared" si="232"/>
        <v>8570867.7853727974</v>
      </c>
      <c r="L102" s="60">
        <f t="shared" si="232"/>
        <v>3932363.6007823199</v>
      </c>
      <c r="M102" s="60">
        <f t="shared" si="232"/>
        <v>2377525.5632154401</v>
      </c>
      <c r="N102" s="60">
        <f t="shared" si="232"/>
        <v>1919706.5809851601</v>
      </c>
      <c r="O102" s="60">
        <f t="shared" si="232"/>
        <v>1588014.5345143001</v>
      </c>
      <c r="P102" s="60">
        <f t="shared" ref="P102:BW102" si="233">P108</f>
        <v>1595700.9631312222</v>
      </c>
      <c r="Q102" s="60">
        <f t="shared" si="233"/>
        <v>2689692.0688624466</v>
      </c>
      <c r="R102" s="60">
        <f t="shared" si="233"/>
        <v>6629573.4059818853</v>
      </c>
      <c r="S102" s="60">
        <f t="shared" si="233"/>
        <v>11273364.721970566</v>
      </c>
      <c r="T102" s="60">
        <f t="shared" si="233"/>
        <v>13256828.323053513</v>
      </c>
      <c r="U102" s="60">
        <f t="shared" si="233"/>
        <v>13341917.366385501</v>
      </c>
      <c r="V102" s="60">
        <f t="shared" si="233"/>
        <v>12036211.300030228</v>
      </c>
      <c r="W102" s="60">
        <f t="shared" si="233"/>
        <v>6760554.6936817747</v>
      </c>
      <c r="X102" s="60">
        <f t="shared" si="233"/>
        <v>3498592.4027392911</v>
      </c>
      <c r="Y102" s="60">
        <f t="shared" si="233"/>
        <v>2113849.5648995508</v>
      </c>
      <c r="Z102" s="60">
        <f t="shared" si="233"/>
        <v>1707940.8674351822</v>
      </c>
      <c r="AA102" s="60">
        <f t="shared" si="233"/>
        <v>1738084.7627984323</v>
      </c>
      <c r="AB102" s="60">
        <f t="shared" si="233"/>
        <v>1745311.9617956677</v>
      </c>
      <c r="AC102" s="60">
        <f t="shared" si="233"/>
        <v>2944013.037562144</v>
      </c>
      <c r="AD102" s="60">
        <f t="shared" si="233"/>
        <v>6971277.0486483565</v>
      </c>
      <c r="AE102" s="60">
        <f t="shared" si="233"/>
        <v>11854748.194883922</v>
      </c>
      <c r="AF102" s="60">
        <f t="shared" si="233"/>
        <v>13940763.023727167</v>
      </c>
      <c r="AG102" s="60">
        <f t="shared" si="233"/>
        <v>13559963.841834718</v>
      </c>
      <c r="AH102" s="60">
        <f t="shared" si="233"/>
        <v>12228924.995742612</v>
      </c>
      <c r="AI102" s="60">
        <f t="shared" si="233"/>
        <v>6869654.7837143922</v>
      </c>
      <c r="AJ102" s="60">
        <f t="shared" si="233"/>
        <v>3703644.6074125073</v>
      </c>
      <c r="AK102" s="60">
        <f t="shared" si="233"/>
        <v>2238130.4586231001</v>
      </c>
      <c r="AL102" s="60">
        <f t="shared" si="233"/>
        <v>1807360.5167326117</v>
      </c>
      <c r="AM102" s="60">
        <f t="shared" si="233"/>
        <v>1833153.0792422642</v>
      </c>
      <c r="AN102" s="60">
        <f t="shared" si="233"/>
        <v>1840317.7037008591</v>
      </c>
      <c r="AO102" s="60">
        <f t="shared" si="233"/>
        <v>3105526.5808780193</v>
      </c>
      <c r="AP102" s="60">
        <f t="shared" si="233"/>
        <v>7243901.1827387074</v>
      </c>
      <c r="AQ102" s="60">
        <f t="shared" si="233"/>
        <v>12318236.861488292</v>
      </c>
      <c r="AR102" s="60">
        <f t="shared" si="233"/>
        <v>14485878.857530676</v>
      </c>
      <c r="AS102" s="60">
        <f t="shared" si="233"/>
        <v>14013986.139451714</v>
      </c>
      <c r="AT102" s="60">
        <f t="shared" si="233"/>
        <v>12634968.955270566</v>
      </c>
      <c r="AU102" s="60">
        <f t="shared" si="233"/>
        <v>7098458.6678522872</v>
      </c>
      <c r="AV102" s="60">
        <f t="shared" si="233"/>
        <v>3774757.1989521091</v>
      </c>
      <c r="AW102" s="60">
        <f t="shared" si="233"/>
        <v>2280900.4076146805</v>
      </c>
      <c r="AX102" s="60">
        <f t="shared" si="233"/>
        <v>1841528.9407901186</v>
      </c>
      <c r="AY102" s="60">
        <f t="shared" si="233"/>
        <v>1862205.9191231744</v>
      </c>
      <c r="AZ102" s="60">
        <f t="shared" si="233"/>
        <v>1869395.7377552437</v>
      </c>
      <c r="BA102" s="60">
        <f t="shared" si="233"/>
        <v>3155397.5619308818</v>
      </c>
      <c r="BB102" s="60">
        <f t="shared" si="233"/>
        <v>7391075.8301496822</v>
      </c>
      <c r="BC102" s="60">
        <f t="shared" si="233"/>
        <v>12568397.304005392</v>
      </c>
      <c r="BD102" s="60">
        <f t="shared" si="233"/>
        <v>14780084.346086748</v>
      </c>
      <c r="BE102" s="60">
        <f t="shared" si="233"/>
        <v>14318877.776954796</v>
      </c>
      <c r="BF102" s="60">
        <f t="shared" si="233"/>
        <v>12905798.15382731</v>
      </c>
      <c r="BG102" s="60">
        <f t="shared" si="233"/>
        <v>7251484.4757484794</v>
      </c>
      <c r="BH102" s="60">
        <f t="shared" si="233"/>
        <v>3848953.9351815684</v>
      </c>
      <c r="BI102" s="60">
        <f t="shared" si="233"/>
        <v>2325575.7141286284</v>
      </c>
      <c r="BJ102" s="60">
        <f t="shared" si="233"/>
        <v>1877221.246548071</v>
      </c>
      <c r="BK102" s="60">
        <f t="shared" si="233"/>
        <v>1899574.9965461879</v>
      </c>
      <c r="BL102" s="60">
        <f t="shared" si="233"/>
        <v>1906782.5851350734</v>
      </c>
      <c r="BM102" s="60">
        <f t="shared" si="233"/>
        <v>3219442.9518568749</v>
      </c>
      <c r="BN102" s="60">
        <f t="shared" si="233"/>
        <v>7566323.6975860726</v>
      </c>
      <c r="BO102" s="60">
        <f t="shared" si="233"/>
        <v>12866180.531827314</v>
      </c>
      <c r="BP102" s="60">
        <f t="shared" si="233"/>
        <v>15130300.660813158</v>
      </c>
      <c r="BQ102" s="60">
        <f t="shared" si="233"/>
        <v>14674584.913578112</v>
      </c>
      <c r="BR102" s="60">
        <f t="shared" si="233"/>
        <v>13222339.081567205</v>
      </c>
      <c r="BS102" s="60">
        <f t="shared" si="233"/>
        <v>7430186.8127389075</v>
      </c>
      <c r="BT102" s="60">
        <f t="shared" si="233"/>
        <v>3949503.9904928533</v>
      </c>
      <c r="BU102" s="60">
        <f t="shared" si="233"/>
        <v>2386329.1622254755</v>
      </c>
      <c r="BV102" s="60">
        <f t="shared" si="233"/>
        <v>1925716.784929892</v>
      </c>
      <c r="BW102" s="60">
        <f t="shared" si="233"/>
        <v>1952263.3702447615</v>
      </c>
      <c r="BX102" s="60">
        <f t="shared" ref="BX102:CI102" si="234">BX108</f>
        <v>1959474.4405657852</v>
      </c>
      <c r="BY102" s="60">
        <f t="shared" si="234"/>
        <v>3309375.7546946206</v>
      </c>
      <c r="BZ102" s="60">
        <f t="shared" si="234"/>
        <v>7786794.1611981317</v>
      </c>
      <c r="CA102" s="60">
        <f t="shared" si="234"/>
        <v>13241012.791841399</v>
      </c>
      <c r="CB102" s="60">
        <f t="shared" si="234"/>
        <v>15571136.985504724</v>
      </c>
      <c r="CC102" s="60">
        <f t="shared" si="234"/>
        <v>15109841.887295412</v>
      </c>
      <c r="CD102" s="60">
        <f t="shared" si="234"/>
        <v>13610607.864395078</v>
      </c>
      <c r="CE102" s="60">
        <f t="shared" si="234"/>
        <v>7649245.4979450628</v>
      </c>
      <c r="CF102" s="60">
        <f t="shared" si="234"/>
        <v>4070328.7489523189</v>
      </c>
      <c r="CG102" s="60">
        <f t="shared" si="234"/>
        <v>2459297.0422022687</v>
      </c>
      <c r="CH102" s="60">
        <f t="shared" si="234"/>
        <v>1984052.4690777718</v>
      </c>
      <c r="CI102" s="60">
        <f t="shared" si="234"/>
        <v>2016470.2975958101</v>
      </c>
    </row>
    <row r="103" spans="1:87" x14ac:dyDescent="0.2">
      <c r="A103" s="1">
        <v>94</v>
      </c>
      <c r="B103" s="172" t="s">
        <v>324</v>
      </c>
      <c r="C103" s="1"/>
      <c r="D103" s="60">
        <f>D101+D102</f>
        <v>8074473.2757991152</v>
      </c>
      <c r="E103" s="60">
        <f t="shared" ref="E103:O103" si="235">E101+E102</f>
        <v>10394416.002261747</v>
      </c>
      <c r="F103" s="60">
        <f t="shared" si="235"/>
        <v>16238655.127693124</v>
      </c>
      <c r="G103" s="60">
        <f t="shared" si="235"/>
        <v>23900852.981197797</v>
      </c>
      <c r="H103" s="60">
        <f t="shared" si="235"/>
        <v>27670301.023804244</v>
      </c>
      <c r="I103" s="60">
        <f t="shared" si="235"/>
        <v>26706134.057410408</v>
      </c>
      <c r="J103" s="60">
        <f t="shared" si="235"/>
        <v>25322888.616166413</v>
      </c>
      <c r="K103" s="60">
        <f t="shared" si="235"/>
        <v>16000851.268051639</v>
      </c>
      <c r="L103" s="60">
        <f t="shared" si="235"/>
        <v>10230481.925806334</v>
      </c>
      <c r="M103" s="60">
        <f t="shared" si="235"/>
        <v>8182398.8921272438</v>
      </c>
      <c r="N103" s="60">
        <f t="shared" si="235"/>
        <v>7510872.2194199171</v>
      </c>
      <c r="O103" s="60">
        <f t="shared" si="235"/>
        <v>7171119.6181135587</v>
      </c>
      <c r="P103" s="60">
        <f t="shared" ref="P103:AU103" si="236">P101+P102</f>
        <v>7150199.457631181</v>
      </c>
      <c r="Q103" s="60">
        <f t="shared" si="236"/>
        <v>8821354.7255272754</v>
      </c>
      <c r="R103" s="60">
        <f t="shared" si="236"/>
        <v>14090760.934290461</v>
      </c>
      <c r="S103" s="60">
        <f t="shared" si="236"/>
        <v>20243300.898008592</v>
      </c>
      <c r="T103" s="60">
        <f t="shared" si="236"/>
        <v>23010870.232610684</v>
      </c>
      <c r="U103" s="60">
        <f t="shared" si="236"/>
        <v>22552717.483968113</v>
      </c>
      <c r="V103" s="60">
        <f t="shared" si="236"/>
        <v>21556488.473943394</v>
      </c>
      <c r="W103" s="60">
        <f t="shared" si="236"/>
        <v>14173204.858699594</v>
      </c>
      <c r="X103" s="60">
        <f t="shared" si="236"/>
        <v>9791836.6363331396</v>
      </c>
      <c r="Y103" s="60">
        <f t="shared" si="236"/>
        <v>7923772.018985915</v>
      </c>
      <c r="Z103" s="60">
        <f t="shared" si="236"/>
        <v>7305315.1772099445</v>
      </c>
      <c r="AA103" s="60">
        <f t="shared" si="236"/>
        <v>7327718.8484841296</v>
      </c>
      <c r="AB103" s="60">
        <f t="shared" si="236"/>
        <v>7308998.6158035025</v>
      </c>
      <c r="AC103" s="60">
        <f t="shared" si="236"/>
        <v>9085462.5841569901</v>
      </c>
      <c r="AD103" s="60">
        <f t="shared" si="236"/>
        <v>14445090.718554184</v>
      </c>
      <c r="AE103" s="60">
        <f t="shared" si="236"/>
        <v>20840267.981083591</v>
      </c>
      <c r="AF103" s="60">
        <f t="shared" si="236"/>
        <v>23713190.402945012</v>
      </c>
      <c r="AG103" s="60">
        <f t="shared" si="236"/>
        <v>22790478.397441618</v>
      </c>
      <c r="AH103" s="60">
        <f t="shared" si="236"/>
        <v>21763361.336742997</v>
      </c>
      <c r="AI103" s="60">
        <f t="shared" si="236"/>
        <v>14294334.699558284</v>
      </c>
      <c r="AJ103" s="60">
        <f t="shared" si="236"/>
        <v>10006664.691454191</v>
      </c>
      <c r="AK103" s="60">
        <f t="shared" si="236"/>
        <v>8057828.2024590652</v>
      </c>
      <c r="AL103" s="60">
        <f t="shared" si="236"/>
        <v>7413721.958237553</v>
      </c>
      <c r="AM103" s="60">
        <f t="shared" si="236"/>
        <v>7431620.2066439772</v>
      </c>
      <c r="AN103" s="60">
        <f t="shared" si="236"/>
        <v>7412804.7472112244</v>
      </c>
      <c r="AO103" s="60">
        <f t="shared" si="236"/>
        <v>9256365.2238722928</v>
      </c>
      <c r="AP103" s="60">
        <f t="shared" si="236"/>
        <v>14729681.750952223</v>
      </c>
      <c r="AQ103" s="60">
        <f t="shared" si="236"/>
        <v>21318812.826943785</v>
      </c>
      <c r="AR103" s="60">
        <f t="shared" si="236"/>
        <v>24275777.422140971</v>
      </c>
      <c r="AS103" s="60">
        <f t="shared" si="236"/>
        <v>23263168.744447716</v>
      </c>
      <c r="AT103" s="60">
        <f t="shared" si="236"/>
        <v>22185382.216370568</v>
      </c>
      <c r="AU103" s="60">
        <f t="shared" si="236"/>
        <v>14536736.73854938</v>
      </c>
      <c r="AV103" s="60">
        <f t="shared" ref="AV103:BW103" si="237">AV101+AV102</f>
        <v>10088487.543142097</v>
      </c>
      <c r="AW103" s="60">
        <f t="shared" si="237"/>
        <v>8109386.1787856165</v>
      </c>
      <c r="AX103" s="60">
        <f t="shared" si="237"/>
        <v>7456296.4222307121</v>
      </c>
      <c r="AY103" s="60">
        <f t="shared" si="237"/>
        <v>7469024.39446213</v>
      </c>
      <c r="AZ103" s="60">
        <f t="shared" si="237"/>
        <v>7450210.6890523182</v>
      </c>
      <c r="BA103" s="60">
        <f t="shared" si="237"/>
        <v>9315140.6076921858</v>
      </c>
      <c r="BB103" s="60">
        <f t="shared" si="237"/>
        <v>14887974.614889121</v>
      </c>
      <c r="BC103" s="60">
        <f t="shared" si="237"/>
        <v>21583062.277811009</v>
      </c>
      <c r="BD103" s="60">
        <f t="shared" si="237"/>
        <v>24585819.496903561</v>
      </c>
      <c r="BE103" s="60">
        <f t="shared" si="237"/>
        <v>23584834.039296433</v>
      </c>
      <c r="BF103" s="60">
        <f t="shared" si="237"/>
        <v>22471040.410250835</v>
      </c>
      <c r="BG103" s="60">
        <f t="shared" si="237"/>
        <v>14702375.079140279</v>
      </c>
      <c r="BH103" s="60">
        <f t="shared" si="237"/>
        <v>10172795.774777144</v>
      </c>
      <c r="BI103" s="60">
        <f t="shared" si="237"/>
        <v>8162872.1616476336</v>
      </c>
      <c r="BJ103" s="60">
        <f t="shared" si="237"/>
        <v>7500408.4420605749</v>
      </c>
      <c r="BK103" s="60">
        <f t="shared" si="237"/>
        <v>7514756.1198180951</v>
      </c>
      <c r="BL103" s="60">
        <f t="shared" si="237"/>
        <v>7495985.0473584766</v>
      </c>
      <c r="BM103" s="60">
        <f t="shared" si="237"/>
        <v>9388171.9171761386</v>
      </c>
      <c r="BN103" s="60">
        <f t="shared" si="237"/>
        <v>15074466.558512406</v>
      </c>
      <c r="BO103" s="60">
        <f t="shared" si="237"/>
        <v>21895151.413149163</v>
      </c>
      <c r="BP103" s="60">
        <f t="shared" si="237"/>
        <v>24952237.80401377</v>
      </c>
      <c r="BQ103" s="60">
        <f t="shared" si="237"/>
        <v>23957723.770744823</v>
      </c>
      <c r="BR103" s="60">
        <f t="shared" si="237"/>
        <v>22802778.610844377</v>
      </c>
      <c r="BS103" s="60">
        <f t="shared" si="237"/>
        <v>14894009.65024804</v>
      </c>
      <c r="BT103" s="60">
        <f t="shared" si="237"/>
        <v>10283653.300911807</v>
      </c>
      <c r="BU103" s="60">
        <f t="shared" si="237"/>
        <v>8232651.6719233682</v>
      </c>
      <c r="BV103" s="60">
        <f t="shared" si="237"/>
        <v>7557438.7213078663</v>
      </c>
      <c r="BW103" s="60">
        <f t="shared" si="237"/>
        <v>7575901.7502319235</v>
      </c>
      <c r="BX103" s="60">
        <f t="shared" ref="BX103:CI103" si="238">BX101+BX102</f>
        <v>7557174.1945685204</v>
      </c>
      <c r="BY103" s="60">
        <f t="shared" si="238"/>
        <v>9487182.9576381277</v>
      </c>
      <c r="BZ103" s="60">
        <f t="shared" si="238"/>
        <v>15306352.897827664</v>
      </c>
      <c r="CA103" s="60">
        <f t="shared" si="238"/>
        <v>22284638.42279214</v>
      </c>
      <c r="CB103" s="60">
        <f t="shared" si="238"/>
        <v>25409867.226147465</v>
      </c>
      <c r="CC103" s="60">
        <f t="shared" si="238"/>
        <v>24410855.225580767</v>
      </c>
      <c r="CD103" s="60">
        <f t="shared" si="238"/>
        <v>23206881.278486218</v>
      </c>
      <c r="CE103" s="60">
        <f t="shared" si="238"/>
        <v>15126556.950034212</v>
      </c>
      <c r="CF103" s="60">
        <f t="shared" si="238"/>
        <v>10415094.051996056</v>
      </c>
      <c r="CG103" s="60">
        <f t="shared" si="238"/>
        <v>8314774.6062959358</v>
      </c>
      <c r="CH103" s="60">
        <f t="shared" si="238"/>
        <v>7624396.2313736156</v>
      </c>
      <c r="CI103" s="60">
        <f t="shared" si="238"/>
        <v>7648638.7069681818</v>
      </c>
    </row>
    <row r="104" spans="1:87" x14ac:dyDescent="0.2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x14ac:dyDescent="0.2">
      <c r="A105" s="1">
        <v>96</v>
      </c>
      <c r="C105" s="1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1"/>
      <c r="Q105" s="1"/>
      <c r="R105" s="1"/>
      <c r="S105" s="1"/>
      <c r="T105" s="1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x14ac:dyDescent="0.2">
      <c r="A106" s="1">
        <v>97</v>
      </c>
      <c r="C106" s="1" t="s">
        <v>21</v>
      </c>
      <c r="D106" s="70">
        <f>D16+D25+D34+D43+D51+D59+D71+D86+D95+D77</f>
        <v>2618711.7206999999</v>
      </c>
      <c r="E106" s="70">
        <f t="shared" ref="E106:O106" si="239">E16+E25+E34+E43+E51+E59+E71+E86+E95+E77</f>
        <v>3092324.8054</v>
      </c>
      <c r="F106" s="70">
        <f t="shared" si="239"/>
        <v>4172741.6112000002</v>
      </c>
      <c r="G106" s="70">
        <f t="shared" si="239"/>
        <v>5306671.7610999998</v>
      </c>
      <c r="H106" s="70">
        <f t="shared" si="239"/>
        <v>6044879.5651999991</v>
      </c>
      <c r="I106" s="70">
        <f t="shared" si="239"/>
        <v>5853859.2782000005</v>
      </c>
      <c r="J106" s="70">
        <f t="shared" si="239"/>
        <v>5432645.6701999996</v>
      </c>
      <c r="K106" s="70">
        <f t="shared" si="239"/>
        <v>3891683.7391999997</v>
      </c>
      <c r="L106" s="70">
        <f t="shared" si="239"/>
        <v>3057817.6543000001</v>
      </c>
      <c r="M106" s="70">
        <f t="shared" si="239"/>
        <v>2695379.8076999998</v>
      </c>
      <c r="N106" s="70">
        <f t="shared" si="239"/>
        <v>2573875.4452</v>
      </c>
      <c r="O106" s="70">
        <f t="shared" si="239"/>
        <v>2657969.9205999998</v>
      </c>
      <c r="P106" s="1"/>
      <c r="Q106" s="1"/>
      <c r="R106" s="1"/>
      <c r="S106" s="1"/>
      <c r="T106" s="1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</row>
    <row r="107" spans="1:87" x14ac:dyDescent="0.2">
      <c r="A107" s="1">
        <v>98</v>
      </c>
      <c r="C107" s="70" t="s">
        <v>407</v>
      </c>
      <c r="D107" s="60">
        <f>D88+D79+D63+D55+D47+D38+D29+D20+D11+D73</f>
        <v>5440207.9226130648</v>
      </c>
      <c r="E107" s="60">
        <f t="shared" ref="E107:BP107" si="240">E88+E79+E63+E55+E47+E38+E29+E20+E11+E73</f>
        <v>5957196.9351398591</v>
      </c>
      <c r="F107" s="60">
        <f t="shared" si="240"/>
        <v>7268532.3031305922</v>
      </c>
      <c r="G107" s="60">
        <f t="shared" si="240"/>
        <v>8803723.9278390761</v>
      </c>
      <c r="H107" s="60">
        <f t="shared" si="240"/>
        <v>9542674.2932960819</v>
      </c>
      <c r="I107" s="60">
        <f t="shared" si="240"/>
        <v>8984793.3723518699</v>
      </c>
      <c r="J107" s="60">
        <f t="shared" si="240"/>
        <v>9286013.9010462631</v>
      </c>
      <c r="K107" s="60">
        <f t="shared" si="240"/>
        <v>7196598.2745507238</v>
      </c>
      <c r="L107" s="60">
        <f t="shared" si="240"/>
        <v>6129666.2377284318</v>
      </c>
      <c r="M107" s="60">
        <f t="shared" si="240"/>
        <v>5684226.4505210491</v>
      </c>
      <c r="N107" s="60">
        <f t="shared" si="240"/>
        <v>5486557.2012564326</v>
      </c>
      <c r="O107" s="60">
        <f t="shared" si="240"/>
        <v>5485032.4023628728</v>
      </c>
      <c r="P107" s="60">
        <f t="shared" si="240"/>
        <v>5448262.1108556874</v>
      </c>
      <c r="Q107" s="60">
        <f t="shared" si="240"/>
        <v>5965821.6885452103</v>
      </c>
      <c r="R107" s="60">
        <f t="shared" si="240"/>
        <v>7279229.7716538003</v>
      </c>
      <c r="S107" s="60">
        <f t="shared" si="240"/>
        <v>8816588.7622359097</v>
      </c>
      <c r="T107" s="60">
        <f t="shared" si="240"/>
        <v>9556483.8289788794</v>
      </c>
      <c r="U107" s="60">
        <f t="shared" si="240"/>
        <v>8999203.8068565149</v>
      </c>
      <c r="V107" s="60">
        <f t="shared" si="240"/>
        <v>9298371.7514503263</v>
      </c>
      <c r="W107" s="60">
        <f t="shared" si="240"/>
        <v>7207064.1728030052</v>
      </c>
      <c r="X107" s="60">
        <f t="shared" si="240"/>
        <v>6138521.8926909957</v>
      </c>
      <c r="Y107" s="60">
        <f t="shared" si="240"/>
        <v>5692415.9692059131</v>
      </c>
      <c r="Z107" s="60">
        <f t="shared" si="240"/>
        <v>5494591.4931076225</v>
      </c>
      <c r="AA107" s="60">
        <f t="shared" si="240"/>
        <v>5493065.6251199525</v>
      </c>
      <c r="AB107" s="60">
        <f t="shared" si="240"/>
        <v>5456316.2707998222</v>
      </c>
      <c r="AC107" s="60">
        <f t="shared" si="240"/>
        <v>5974446.5952093452</v>
      </c>
      <c r="AD107" s="60">
        <f t="shared" si="240"/>
        <v>7289906.7515979353</v>
      </c>
      <c r="AE107" s="60">
        <f t="shared" si="240"/>
        <v>8829454.1915560458</v>
      </c>
      <c r="AF107" s="60">
        <f t="shared" si="240"/>
        <v>9570314.6440058146</v>
      </c>
      <c r="AG107" s="60">
        <f t="shared" si="240"/>
        <v>9013595.9099764489</v>
      </c>
      <c r="AH107" s="60">
        <f t="shared" si="240"/>
        <v>9310729.889028661</v>
      </c>
      <c r="AI107" s="60">
        <f t="shared" si="240"/>
        <v>7217551.4449673407</v>
      </c>
      <c r="AJ107" s="60">
        <f t="shared" si="240"/>
        <v>6147377.8183951313</v>
      </c>
      <c r="AK107" s="60">
        <f t="shared" si="240"/>
        <v>5700605.9885900486</v>
      </c>
      <c r="AL107" s="60">
        <f t="shared" si="240"/>
        <v>5502625.2504117573</v>
      </c>
      <c r="AM107" s="60">
        <f t="shared" si="240"/>
        <v>5501099.3824240873</v>
      </c>
      <c r="AN107" s="60">
        <f t="shared" si="240"/>
        <v>5464370.4307439579</v>
      </c>
      <c r="AO107" s="60">
        <f t="shared" si="240"/>
        <v>5983071.5018734802</v>
      </c>
      <c r="AP107" s="60">
        <f t="shared" si="240"/>
        <v>7300603.9752312703</v>
      </c>
      <c r="AQ107" s="60">
        <f t="shared" si="240"/>
        <v>8842319.7263161801</v>
      </c>
      <c r="AR107" s="60">
        <f t="shared" si="240"/>
        <v>9584124.7040913496</v>
      </c>
      <c r="AS107" s="60">
        <f t="shared" si="240"/>
        <v>9027988.1185363848</v>
      </c>
      <c r="AT107" s="60">
        <f t="shared" si="240"/>
        <v>9323088.1320469957</v>
      </c>
      <c r="AU107" s="60">
        <f t="shared" si="240"/>
        <v>7228017.8085114751</v>
      </c>
      <c r="AV107" s="60">
        <f t="shared" si="240"/>
        <v>6156254.5565054659</v>
      </c>
      <c r="AW107" s="60">
        <f t="shared" si="240"/>
        <v>5708796.0079741841</v>
      </c>
      <c r="AX107" s="60">
        <f t="shared" si="240"/>
        <v>5510659.007715893</v>
      </c>
      <c r="AY107" s="60">
        <f t="shared" si="240"/>
        <v>5509133.139728223</v>
      </c>
      <c r="AZ107" s="60">
        <f t="shared" si="240"/>
        <v>5472424.5906880926</v>
      </c>
      <c r="BA107" s="60">
        <f t="shared" si="240"/>
        <v>5991696.4085376151</v>
      </c>
      <c r="BB107" s="60">
        <f t="shared" si="240"/>
        <v>7311281.0078954054</v>
      </c>
      <c r="BC107" s="60">
        <f t="shared" si="240"/>
        <v>8855185.3665163163</v>
      </c>
      <c r="BD107" s="60">
        <f t="shared" si="240"/>
        <v>9597934.8696168847</v>
      </c>
      <c r="BE107" s="60">
        <f t="shared" si="240"/>
        <v>9042399.2510721199</v>
      </c>
      <c r="BF107" s="60">
        <f t="shared" si="240"/>
        <v>9335446.4805053305</v>
      </c>
      <c r="BG107" s="60">
        <f t="shared" si="240"/>
        <v>7238505.2388358098</v>
      </c>
      <c r="BH107" s="60">
        <f t="shared" si="240"/>
        <v>6165110.5349296015</v>
      </c>
      <c r="BI107" s="60">
        <f t="shared" si="240"/>
        <v>5716986.0273583187</v>
      </c>
      <c r="BJ107" s="60">
        <f t="shared" si="240"/>
        <v>5518692.7650200268</v>
      </c>
      <c r="BK107" s="60">
        <f t="shared" si="240"/>
        <v>5517166.8970323568</v>
      </c>
      <c r="BL107" s="60">
        <f t="shared" si="240"/>
        <v>5480478.7506322274</v>
      </c>
      <c r="BM107" s="60">
        <f t="shared" si="240"/>
        <v>6000341.6808059504</v>
      </c>
      <c r="BN107" s="60">
        <f t="shared" si="240"/>
        <v>7321978.3896887405</v>
      </c>
      <c r="BO107" s="60">
        <f t="shared" si="240"/>
        <v>8868051.1121564507</v>
      </c>
      <c r="BP107" s="60">
        <f t="shared" si="240"/>
        <v>9611745.1405824181</v>
      </c>
      <c r="BQ107" s="60">
        <f t="shared" ref="BQ107:CI107" si="241">BQ88+BQ79+BQ63+BQ55+BQ47+BQ38+BQ29+BQ20+BQ11+BQ73</f>
        <v>9056791.7232320551</v>
      </c>
      <c r="BR107" s="60">
        <f t="shared" si="241"/>
        <v>9347781.5571694653</v>
      </c>
      <c r="BS107" s="60">
        <f t="shared" si="241"/>
        <v>7248971.6550999451</v>
      </c>
      <c r="BT107" s="60">
        <f t="shared" si="241"/>
        <v>6173966.5133537371</v>
      </c>
      <c r="BU107" s="60">
        <f t="shared" si="241"/>
        <v>5725196.909759854</v>
      </c>
      <c r="BV107" s="60">
        <f t="shared" si="241"/>
        <v>5526726.5223241625</v>
      </c>
      <c r="BW107" s="60">
        <f t="shared" si="241"/>
        <v>5525200.6543364925</v>
      </c>
      <c r="BX107" s="60">
        <f t="shared" si="241"/>
        <v>5488532.9105763631</v>
      </c>
      <c r="BY107" s="60">
        <f t="shared" si="241"/>
        <v>6008966.6401900854</v>
      </c>
      <c r="BZ107" s="60">
        <f t="shared" si="241"/>
        <v>7332655.4750728747</v>
      </c>
      <c r="CA107" s="60">
        <f t="shared" si="241"/>
        <v>8880916.9632365853</v>
      </c>
      <c r="CB107" s="60">
        <f t="shared" si="241"/>
        <v>9625555.5169879533</v>
      </c>
      <c r="CC107" s="60">
        <f t="shared" si="241"/>
        <v>9071184.3008319903</v>
      </c>
      <c r="CD107" s="60">
        <f t="shared" si="241"/>
        <v>9360140.0637878012</v>
      </c>
      <c r="CE107" s="60">
        <f t="shared" si="241"/>
        <v>7259459.2435842808</v>
      </c>
      <c r="CF107" s="60">
        <f t="shared" si="241"/>
        <v>6182822.4917778708</v>
      </c>
      <c r="CG107" s="60">
        <f t="shared" si="241"/>
        <v>5733386.9818639886</v>
      </c>
      <c r="CH107" s="60">
        <f t="shared" si="241"/>
        <v>5534760.2796282973</v>
      </c>
      <c r="CI107" s="60">
        <f t="shared" si="241"/>
        <v>5533234.4116406273</v>
      </c>
    </row>
    <row r="108" spans="1:87" x14ac:dyDescent="0.2">
      <c r="A108" s="1">
        <v>99</v>
      </c>
      <c r="C108" s="70" t="s">
        <v>406</v>
      </c>
      <c r="D108" s="60">
        <f t="shared" ref="D108:AI108" si="242">D61+D53+D45+D36+D27+D18</f>
        <v>2526043.2431860501</v>
      </c>
      <c r="E108" s="60">
        <f t="shared" si="242"/>
        <v>4264607.6722177695</v>
      </c>
      <c r="F108" s="60">
        <f t="shared" si="242"/>
        <v>8776557.6356602795</v>
      </c>
      <c r="G108" s="60">
        <f t="shared" si="242"/>
        <v>14927330.62004406</v>
      </c>
      <c r="H108" s="60">
        <f t="shared" si="242"/>
        <v>17902201.304841042</v>
      </c>
      <c r="I108" s="60">
        <f t="shared" si="242"/>
        <v>17474468.544709548</v>
      </c>
      <c r="J108" s="60">
        <f t="shared" si="242"/>
        <v>15783267.92597995</v>
      </c>
      <c r="K108" s="60">
        <f t="shared" si="242"/>
        <v>8570867.7853727974</v>
      </c>
      <c r="L108" s="60">
        <f t="shared" si="242"/>
        <v>3932363.6007823199</v>
      </c>
      <c r="M108" s="60">
        <f t="shared" si="242"/>
        <v>2377525.5632154401</v>
      </c>
      <c r="N108" s="60">
        <f t="shared" si="242"/>
        <v>1919706.5809851601</v>
      </c>
      <c r="O108" s="60">
        <f t="shared" si="242"/>
        <v>1588014.5345143001</v>
      </c>
      <c r="P108" s="60">
        <f t="shared" si="242"/>
        <v>1595700.9631312222</v>
      </c>
      <c r="Q108" s="60">
        <f t="shared" si="242"/>
        <v>2689692.0688624466</v>
      </c>
      <c r="R108" s="60">
        <f t="shared" si="242"/>
        <v>6629573.4059818853</v>
      </c>
      <c r="S108" s="60">
        <f t="shared" si="242"/>
        <v>11273364.721970566</v>
      </c>
      <c r="T108" s="60">
        <f t="shared" si="242"/>
        <v>13256828.323053513</v>
      </c>
      <c r="U108" s="60">
        <f t="shared" si="242"/>
        <v>13341917.366385501</v>
      </c>
      <c r="V108" s="60">
        <f t="shared" si="242"/>
        <v>12036211.300030228</v>
      </c>
      <c r="W108" s="60">
        <f t="shared" si="242"/>
        <v>6760554.6936817747</v>
      </c>
      <c r="X108" s="60">
        <f t="shared" si="242"/>
        <v>3498592.4027392911</v>
      </c>
      <c r="Y108" s="60">
        <f t="shared" si="242"/>
        <v>2113849.5648995508</v>
      </c>
      <c r="Z108" s="60">
        <f t="shared" si="242"/>
        <v>1707940.8674351822</v>
      </c>
      <c r="AA108" s="60">
        <f t="shared" si="242"/>
        <v>1738084.7627984323</v>
      </c>
      <c r="AB108" s="60">
        <f t="shared" si="242"/>
        <v>1745311.9617956677</v>
      </c>
      <c r="AC108" s="60">
        <f t="shared" si="242"/>
        <v>2944013.037562144</v>
      </c>
      <c r="AD108" s="60">
        <f t="shared" si="242"/>
        <v>6971277.0486483565</v>
      </c>
      <c r="AE108" s="60">
        <f t="shared" si="242"/>
        <v>11854748.194883922</v>
      </c>
      <c r="AF108" s="60">
        <f t="shared" si="242"/>
        <v>13940763.023727167</v>
      </c>
      <c r="AG108" s="60">
        <f t="shared" si="242"/>
        <v>13559963.841834718</v>
      </c>
      <c r="AH108" s="60">
        <f t="shared" si="242"/>
        <v>12228924.995742612</v>
      </c>
      <c r="AI108" s="60">
        <f t="shared" si="242"/>
        <v>6869654.7837143922</v>
      </c>
      <c r="AJ108" s="60">
        <f t="shared" ref="AJ108:BO108" si="243">AJ61+AJ53+AJ45+AJ36+AJ27+AJ18</f>
        <v>3703644.6074125073</v>
      </c>
      <c r="AK108" s="60">
        <f t="shared" si="243"/>
        <v>2238130.4586231001</v>
      </c>
      <c r="AL108" s="60">
        <f t="shared" si="243"/>
        <v>1807360.5167326117</v>
      </c>
      <c r="AM108" s="60">
        <f t="shared" si="243"/>
        <v>1833153.0792422642</v>
      </c>
      <c r="AN108" s="60">
        <f t="shared" si="243"/>
        <v>1840317.7037008591</v>
      </c>
      <c r="AO108" s="60">
        <f t="shared" si="243"/>
        <v>3105526.5808780193</v>
      </c>
      <c r="AP108" s="60">
        <f t="shared" si="243"/>
        <v>7243901.1827387074</v>
      </c>
      <c r="AQ108" s="60">
        <f t="shared" si="243"/>
        <v>12318236.861488292</v>
      </c>
      <c r="AR108" s="60">
        <f t="shared" si="243"/>
        <v>14485878.857530676</v>
      </c>
      <c r="AS108" s="60">
        <f t="shared" si="243"/>
        <v>14013986.139451714</v>
      </c>
      <c r="AT108" s="60">
        <f t="shared" si="243"/>
        <v>12634968.955270566</v>
      </c>
      <c r="AU108" s="60">
        <f t="shared" si="243"/>
        <v>7098458.6678522872</v>
      </c>
      <c r="AV108" s="60">
        <f t="shared" si="243"/>
        <v>3774757.1989521091</v>
      </c>
      <c r="AW108" s="60">
        <f t="shared" si="243"/>
        <v>2280900.4076146805</v>
      </c>
      <c r="AX108" s="60">
        <f t="shared" si="243"/>
        <v>1841528.9407901186</v>
      </c>
      <c r="AY108" s="60">
        <f t="shared" si="243"/>
        <v>1862205.9191231744</v>
      </c>
      <c r="AZ108" s="60">
        <f t="shared" si="243"/>
        <v>1869395.7377552437</v>
      </c>
      <c r="BA108" s="60">
        <f t="shared" si="243"/>
        <v>3155397.5619308818</v>
      </c>
      <c r="BB108" s="60">
        <f t="shared" si="243"/>
        <v>7391075.8301496822</v>
      </c>
      <c r="BC108" s="60">
        <f t="shared" si="243"/>
        <v>12568397.304005392</v>
      </c>
      <c r="BD108" s="60">
        <f t="shared" si="243"/>
        <v>14780084.346086748</v>
      </c>
      <c r="BE108" s="60">
        <f t="shared" si="243"/>
        <v>14318877.776954796</v>
      </c>
      <c r="BF108" s="60">
        <f t="shared" si="243"/>
        <v>12905798.15382731</v>
      </c>
      <c r="BG108" s="60">
        <f t="shared" si="243"/>
        <v>7251484.4757484794</v>
      </c>
      <c r="BH108" s="60">
        <f t="shared" si="243"/>
        <v>3848953.9351815684</v>
      </c>
      <c r="BI108" s="60">
        <f t="shared" si="243"/>
        <v>2325575.7141286284</v>
      </c>
      <c r="BJ108" s="60">
        <f t="shared" si="243"/>
        <v>1877221.246548071</v>
      </c>
      <c r="BK108" s="60">
        <f t="shared" si="243"/>
        <v>1899574.9965461879</v>
      </c>
      <c r="BL108" s="60">
        <f t="shared" si="243"/>
        <v>1906782.5851350734</v>
      </c>
      <c r="BM108" s="60">
        <f t="shared" si="243"/>
        <v>3219442.9518568749</v>
      </c>
      <c r="BN108" s="60">
        <f t="shared" si="243"/>
        <v>7566323.6975860726</v>
      </c>
      <c r="BO108" s="60">
        <f t="shared" si="243"/>
        <v>12866180.531827314</v>
      </c>
      <c r="BP108" s="60">
        <f t="shared" ref="BP108:CI108" si="244">BP61+BP53+BP45+BP36+BP27+BP18</f>
        <v>15130300.660813158</v>
      </c>
      <c r="BQ108" s="60">
        <f t="shared" si="244"/>
        <v>14674584.913578112</v>
      </c>
      <c r="BR108" s="60">
        <f t="shared" si="244"/>
        <v>13222339.081567205</v>
      </c>
      <c r="BS108" s="60">
        <f t="shared" si="244"/>
        <v>7430186.8127389075</v>
      </c>
      <c r="BT108" s="60">
        <f t="shared" si="244"/>
        <v>3949503.9904928533</v>
      </c>
      <c r="BU108" s="60">
        <f t="shared" si="244"/>
        <v>2386329.1622254755</v>
      </c>
      <c r="BV108" s="60">
        <f t="shared" si="244"/>
        <v>1925716.784929892</v>
      </c>
      <c r="BW108" s="60">
        <f t="shared" si="244"/>
        <v>1952263.3702447615</v>
      </c>
      <c r="BX108" s="60">
        <f t="shared" si="244"/>
        <v>1959474.4405657852</v>
      </c>
      <c r="BY108" s="60">
        <f t="shared" si="244"/>
        <v>3309375.7546946206</v>
      </c>
      <c r="BZ108" s="60">
        <f t="shared" si="244"/>
        <v>7786794.1611981317</v>
      </c>
      <c r="CA108" s="60">
        <f t="shared" si="244"/>
        <v>13241012.791841399</v>
      </c>
      <c r="CB108" s="60">
        <f t="shared" si="244"/>
        <v>15571136.985504724</v>
      </c>
      <c r="CC108" s="60">
        <f t="shared" si="244"/>
        <v>15109841.887295412</v>
      </c>
      <c r="CD108" s="60">
        <f t="shared" si="244"/>
        <v>13610607.864395078</v>
      </c>
      <c r="CE108" s="60">
        <f t="shared" si="244"/>
        <v>7649245.4979450628</v>
      </c>
      <c r="CF108" s="60">
        <f t="shared" si="244"/>
        <v>4070328.7489523189</v>
      </c>
      <c r="CG108" s="60">
        <f t="shared" si="244"/>
        <v>2459297.0422022687</v>
      </c>
      <c r="CH108" s="60">
        <f t="shared" si="244"/>
        <v>1984052.4690777718</v>
      </c>
      <c r="CI108" s="60">
        <f t="shared" si="244"/>
        <v>2016470.2975958101</v>
      </c>
    </row>
    <row r="109" spans="1:87" x14ac:dyDescent="0.2">
      <c r="A109" s="1">
        <v>100</v>
      </c>
      <c r="B109" s="1" t="s">
        <v>238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x14ac:dyDescent="0.2">
      <c r="A110" s="1">
        <v>101</v>
      </c>
      <c r="B110" s="1" t="s">
        <v>240</v>
      </c>
      <c r="C110" s="1"/>
      <c r="D110" s="70">
        <f>SUM(D111:D114)</f>
        <v>428177.03656783473</v>
      </c>
      <c r="E110" s="70">
        <f t="shared" ref="E110:BL110" si="245">SUM(E111:E114)</f>
        <v>1049669.9687369703</v>
      </c>
      <c r="F110" s="70">
        <f t="shared" si="245"/>
        <v>1941664.8340855688</v>
      </c>
      <c r="G110" s="70">
        <f t="shared" si="245"/>
        <v>2861584.0396502544</v>
      </c>
      <c r="H110" s="70">
        <f t="shared" si="245"/>
        <v>3263288.8905572481</v>
      </c>
      <c r="I110" s="70">
        <f t="shared" si="245"/>
        <v>2594816.1182359695</v>
      </c>
      <c r="J110" s="70">
        <f t="shared" si="245"/>
        <v>2214531.5363703938</v>
      </c>
      <c r="K110" s="70">
        <f t="shared" si="245"/>
        <v>1057307.0466315101</v>
      </c>
      <c r="L110" s="70">
        <f t="shared" si="245"/>
        <v>561207.4237975335</v>
      </c>
      <c r="M110" s="70">
        <f t="shared" si="245"/>
        <v>370550.54406635324</v>
      </c>
      <c r="N110" s="70">
        <f t="shared" si="245"/>
        <v>361539.37020851014</v>
      </c>
      <c r="O110" s="37">
        <f t="shared" si="245"/>
        <v>363883.1718262338</v>
      </c>
      <c r="P110" s="37">
        <f t="shared" si="245"/>
        <v>428731.66460264154</v>
      </c>
      <c r="Q110" s="70">
        <f t="shared" si="245"/>
        <v>1051322.1604847971</v>
      </c>
      <c r="R110" s="70">
        <f t="shared" si="245"/>
        <v>1944865.0064397592</v>
      </c>
      <c r="S110" s="70">
        <f t="shared" si="245"/>
        <v>2866166.8105204795</v>
      </c>
      <c r="T110" s="70">
        <f t="shared" si="245"/>
        <v>3268503.3246593992</v>
      </c>
      <c r="U110" s="70">
        <f t="shared" si="245"/>
        <v>2599398.0210402757</v>
      </c>
      <c r="V110" s="70">
        <f t="shared" si="245"/>
        <v>2217582.2820591023</v>
      </c>
      <c r="W110" s="70">
        <f t="shared" si="245"/>
        <v>1058860.9315781847</v>
      </c>
      <c r="X110" s="70">
        <f t="shared" si="245"/>
        <v>561969.13469660771</v>
      </c>
      <c r="Y110" s="70">
        <f t="shared" si="245"/>
        <v>370991.25176667387</v>
      </c>
      <c r="Z110" s="70">
        <f t="shared" si="245"/>
        <v>361974.90968832892</v>
      </c>
      <c r="AA110" s="573">
        <f t="shared" si="245"/>
        <v>364318.72267584217</v>
      </c>
      <c r="AB110" s="70">
        <f t="shared" si="245"/>
        <v>429286.15523730242</v>
      </c>
      <c r="AC110" s="70">
        <f t="shared" si="245"/>
        <v>1052974.4453632608</v>
      </c>
      <c r="AD110" s="70">
        <f t="shared" si="245"/>
        <v>1948065.5992701116</v>
      </c>
      <c r="AE110" s="70">
        <f t="shared" si="245"/>
        <v>2870750.3182224883</v>
      </c>
      <c r="AF110" s="70">
        <f t="shared" si="245"/>
        <v>3273718.6331070974</v>
      </c>
      <c r="AG110" s="70">
        <f t="shared" si="245"/>
        <v>2603980.5871853214</v>
      </c>
      <c r="AH110" s="70">
        <f t="shared" si="245"/>
        <v>2220633.4709501942</v>
      </c>
      <c r="AI110" s="70">
        <f t="shared" si="245"/>
        <v>1060414.8918187167</v>
      </c>
      <c r="AJ110" s="70">
        <f t="shared" si="245"/>
        <v>562730.74828169099</v>
      </c>
      <c r="AK110" s="70">
        <f t="shared" si="245"/>
        <v>371431.79282290797</v>
      </c>
      <c r="AL110" s="70">
        <f t="shared" si="245"/>
        <v>362410.28345343226</v>
      </c>
      <c r="AM110" s="573">
        <f t="shared" si="245"/>
        <v>364754.11047727772</v>
      </c>
      <c r="AN110" s="70">
        <f t="shared" si="245"/>
        <v>429840.60407768539</v>
      </c>
      <c r="AO110" s="70">
        <f t="shared" si="245"/>
        <v>1054626.7042951249</v>
      </c>
      <c r="AP110" s="70">
        <f t="shared" si="245"/>
        <v>1951266.1891025987</v>
      </c>
      <c r="AQ110" s="70">
        <f t="shared" si="245"/>
        <v>2875333.8424964529</v>
      </c>
      <c r="AR110" s="70">
        <f t="shared" si="245"/>
        <v>3278933.9675458106</v>
      </c>
      <c r="AS110" s="70">
        <f t="shared" si="245"/>
        <v>2608563.172949275</v>
      </c>
      <c r="AT110" s="70">
        <f t="shared" si="245"/>
        <v>2223684.6498168805</v>
      </c>
      <c r="AU110" s="70">
        <f t="shared" si="245"/>
        <v>1061968.8232414522</v>
      </c>
      <c r="AV110" s="70">
        <f t="shared" si="245"/>
        <v>563492.32159145316</v>
      </c>
      <c r="AW110" s="70">
        <f t="shared" si="245"/>
        <v>371872.28896183736</v>
      </c>
      <c r="AX110" s="70">
        <f t="shared" si="245"/>
        <v>362845.61278949218</v>
      </c>
      <c r="AY110" s="573">
        <f t="shared" si="245"/>
        <v>365189.45439944445</v>
      </c>
      <c r="AZ110" s="70">
        <f t="shared" si="245"/>
        <v>430395.04617298453</v>
      </c>
      <c r="BA110" s="70">
        <f t="shared" si="245"/>
        <v>1056278.9346715261</v>
      </c>
      <c r="BB110" s="70">
        <f t="shared" si="245"/>
        <v>1954466.7197374573</v>
      </c>
      <c r="BC110" s="70">
        <f t="shared" si="245"/>
        <v>2879917.2754655397</v>
      </c>
      <c r="BD110" s="70">
        <f t="shared" si="245"/>
        <v>3284149.197490159</v>
      </c>
      <c r="BE110" s="70">
        <f t="shared" si="245"/>
        <v>2613145.6816959651</v>
      </c>
      <c r="BF110" s="70">
        <f t="shared" si="245"/>
        <v>2226735.7601155816</v>
      </c>
      <c r="BG110" s="70">
        <f t="shared" si="245"/>
        <v>1063522.7267527913</v>
      </c>
      <c r="BH110" s="70">
        <f t="shared" si="245"/>
        <v>564253.88374055177</v>
      </c>
      <c r="BI110" s="70">
        <f t="shared" si="245"/>
        <v>372312.78058579919</v>
      </c>
      <c r="BJ110" s="70">
        <f t="shared" si="245"/>
        <v>363280.93771304074</v>
      </c>
      <c r="BK110" s="70">
        <f t="shared" si="245"/>
        <v>365624.79390382097</v>
      </c>
      <c r="BL110" s="70">
        <f t="shared" si="245"/>
        <v>430949.47757707833</v>
      </c>
      <c r="BM110" s="70">
        <f t="shared" ref="BM110:BX110" si="246">SUM(BM111:BM114)</f>
        <v>1057931.1139777687</v>
      </c>
      <c r="BN110" s="70">
        <f t="shared" si="246"/>
        <v>1957667.1425645377</v>
      </c>
      <c r="BO110" s="70">
        <f t="shared" si="246"/>
        <v>2884500.5426631356</v>
      </c>
      <c r="BP110" s="70">
        <f t="shared" si="246"/>
        <v>3289364.2374675744</v>
      </c>
      <c r="BQ110" s="70">
        <f t="shared" si="246"/>
        <v>2617728.0466460707</v>
      </c>
      <c r="BR110" s="70">
        <f t="shared" si="246"/>
        <v>2229786.7490081717</v>
      </c>
      <c r="BS110" s="70">
        <f t="shared" si="246"/>
        <v>1065076.580736923</v>
      </c>
      <c r="BT110" s="70">
        <f t="shared" si="246"/>
        <v>565015.42704730784</v>
      </c>
      <c r="BU110" s="70">
        <f t="shared" si="246"/>
        <v>372753.26558260462</v>
      </c>
      <c r="BV110" s="70">
        <f t="shared" si="246"/>
        <v>363716.25622698688</v>
      </c>
      <c r="BW110" s="70">
        <f t="shared" si="246"/>
        <v>366060.12702476484</v>
      </c>
      <c r="BX110" s="70">
        <f t="shared" si="246"/>
        <v>431503.66682638298</v>
      </c>
      <c r="BY110" s="70">
        <f t="shared" ref="BY110:CI110" si="247">SUM(BY111:BY114)</f>
        <v>1059582.5316902124</v>
      </c>
      <c r="BZ110" s="70">
        <f t="shared" si="247"/>
        <v>1960866.0757257787</v>
      </c>
      <c r="CA110" s="70">
        <f t="shared" si="247"/>
        <v>2889081.5915395138</v>
      </c>
      <c r="CB110" s="70">
        <f t="shared" si="247"/>
        <v>3294576.7516779746</v>
      </c>
      <c r="CC110" s="70">
        <f t="shared" si="247"/>
        <v>2622308.4293919546</v>
      </c>
      <c r="CD110" s="70">
        <f t="shared" si="247"/>
        <v>2232836.1045258404</v>
      </c>
      <c r="CE110" s="70">
        <f t="shared" si="247"/>
        <v>1066629.6927605474</v>
      </c>
      <c r="CF110" s="70">
        <f t="shared" si="247"/>
        <v>565776.61906403885</v>
      </c>
      <c r="CG110" s="70">
        <f t="shared" si="247"/>
        <v>373193.55520501168</v>
      </c>
      <c r="CH110" s="70">
        <f t="shared" si="247"/>
        <v>364151.38423740125</v>
      </c>
      <c r="CI110" s="70">
        <f t="shared" si="247"/>
        <v>366495.27255597705</v>
      </c>
    </row>
    <row r="111" spans="1:87" x14ac:dyDescent="0.2">
      <c r="A111" s="1">
        <v>102</v>
      </c>
      <c r="B111" s="1" t="s">
        <v>241</v>
      </c>
      <c r="C111" s="1"/>
      <c r="D111" s="70">
        <f>WNA!C34</f>
        <v>209560.80259830231</v>
      </c>
      <c r="E111" s="70">
        <f>WNA!D34</f>
        <v>629280.1198305604</v>
      </c>
      <c r="F111" s="70">
        <f>WNA!E34</f>
        <v>1217294.7734855432</v>
      </c>
      <c r="G111" s="70">
        <f>WNA!F34</f>
        <v>1806036.1784991901</v>
      </c>
      <c r="H111" s="70">
        <f>WNA!G34</f>
        <v>2054268.3956554343</v>
      </c>
      <c r="I111" s="70">
        <f>WNA!H34</f>
        <v>1614602.2905059156</v>
      </c>
      <c r="J111" s="70">
        <f>WNA!I34</f>
        <v>1335127.590307825</v>
      </c>
      <c r="K111" s="70">
        <f>WNA!J34</f>
        <v>614047.69728575519</v>
      </c>
      <c r="L111" s="70">
        <f>WNA!K34</f>
        <v>298429.05797282595</v>
      </c>
      <c r="M111" s="70">
        <f>WNA!L34</f>
        <v>172478.14416457049</v>
      </c>
      <c r="N111" s="70">
        <f>WNA!M34</f>
        <v>168278.17465809797</v>
      </c>
      <c r="O111" s="37">
        <f>WNA!N34</f>
        <v>165597.3806278464</v>
      </c>
      <c r="P111" s="37">
        <f>WNA!O34</f>
        <v>210115.43620876517</v>
      </c>
      <c r="Q111" s="70">
        <f>WNA!P34</f>
        <v>630932.30466557993</v>
      </c>
      <c r="R111" s="70">
        <f>WNA!Q34</f>
        <v>1220494.921928063</v>
      </c>
      <c r="S111" s="70">
        <f>WNA!R34</f>
        <v>1810618.9087142991</v>
      </c>
      <c r="T111" s="70">
        <f>WNA!S34</f>
        <v>2059482.7815154733</v>
      </c>
      <c r="U111" s="70">
        <f>WNA!T34</f>
        <v>1619184.1568638147</v>
      </c>
      <c r="V111" s="70">
        <f>WNA!U34</f>
        <v>1338178.3102491538</v>
      </c>
      <c r="W111" s="70">
        <f>WNA!V34</f>
        <v>615601.57671943458</v>
      </c>
      <c r="X111" s="70">
        <f>WNA!W34</f>
        <v>299190.77238326054</v>
      </c>
      <c r="Y111" s="70">
        <f>WNA!X34</f>
        <v>172918.85895664062</v>
      </c>
      <c r="Z111" s="70">
        <f>WNA!Y34</f>
        <v>168713.72121009597</v>
      </c>
      <c r="AA111" s="70">
        <f>WNA!Z34</f>
        <v>166032.9384549977</v>
      </c>
      <c r="AB111" s="70">
        <f>WNA!AA34</f>
        <v>210669.93057356912</v>
      </c>
      <c r="AC111" s="70">
        <f>WNA!AB34</f>
        <v>632584.59080368117</v>
      </c>
      <c r="AD111" s="70">
        <f>WNA!AC34</f>
        <v>1223695.5125150501</v>
      </c>
      <c r="AE111" s="70">
        <f>WNA!AD34</f>
        <v>1815202.4109451843</v>
      </c>
      <c r="AF111" s="70">
        <f>WNA!AE34</f>
        <v>2064698.0830079853</v>
      </c>
      <c r="AG111" s="70">
        <f>WNA!AF34</f>
        <v>1623766.7181729348</v>
      </c>
      <c r="AH111" s="70">
        <f>WNA!AG34</f>
        <v>1341229.4969200916</v>
      </c>
      <c r="AI111" s="70">
        <f>WNA!AH34</f>
        <v>617155.53843099799</v>
      </c>
      <c r="AJ111" s="70">
        <f>WNA!AI34</f>
        <v>299952.389240788</v>
      </c>
      <c r="AK111" s="70">
        <f>WNA!AJ34</f>
        <v>173359.40405080485</v>
      </c>
      <c r="AL111" s="70">
        <f>WNA!AK34</f>
        <v>169149.09902503341</v>
      </c>
      <c r="AM111" s="70">
        <f>WNA!AL34</f>
        <v>166468.33016116766</v>
      </c>
      <c r="AN111" s="70">
        <f>WNA!AM34</f>
        <v>211224.37941395215</v>
      </c>
      <c r="AO111" s="70">
        <f>WNA!AN34</f>
        <v>634236.84973554511</v>
      </c>
      <c r="AP111" s="70">
        <f>WNA!AO34</f>
        <v>1226896.1023475369</v>
      </c>
      <c r="AQ111" s="70">
        <f>WNA!AP34</f>
        <v>1819785.9352191489</v>
      </c>
      <c r="AR111" s="70">
        <f>WNA!AQ34</f>
        <v>2069913.4174466983</v>
      </c>
      <c r="AS111" s="70">
        <f>WNA!AR34</f>
        <v>1628349.3039368882</v>
      </c>
      <c r="AT111" s="70">
        <f>WNA!AS34</f>
        <v>1344280.6757867779</v>
      </c>
      <c r="AU111" s="70">
        <f>WNA!AT34</f>
        <v>618709.46985373343</v>
      </c>
      <c r="AV111" s="70">
        <f>WNA!AU34</f>
        <v>300713.96255055018</v>
      </c>
      <c r="AW111" s="70">
        <f>WNA!AV34</f>
        <v>173799.90018973427</v>
      </c>
      <c r="AX111" s="70">
        <f>WNA!AW34</f>
        <v>169584.42836109331</v>
      </c>
      <c r="AY111" s="70">
        <f>WNA!AX34</f>
        <v>166903.67408333442</v>
      </c>
      <c r="AZ111" s="70">
        <f>WNA!AY34</f>
        <v>211778.82150925125</v>
      </c>
      <c r="BA111" s="70">
        <f>WNA!AZ34</f>
        <v>635889.08011194644</v>
      </c>
      <c r="BB111" s="70">
        <f>WNA!BA34</f>
        <v>1230096.6329823956</v>
      </c>
      <c r="BC111" s="70">
        <f>WNA!BB34</f>
        <v>1824369.3681882357</v>
      </c>
      <c r="BD111" s="70">
        <f>WNA!BC34</f>
        <v>2075128.6473910466</v>
      </c>
      <c r="BE111" s="70">
        <f>WNA!BD34</f>
        <v>1632931.8126835786</v>
      </c>
      <c r="BF111" s="70">
        <f>WNA!BE34</f>
        <v>1347331.7860854792</v>
      </c>
      <c r="BG111" s="70">
        <f>WNA!BF34</f>
        <v>620263.37336507253</v>
      </c>
      <c r="BH111" s="70">
        <f>WNA!BG34</f>
        <v>301475.52469964884</v>
      </c>
      <c r="BI111" s="70">
        <f>WNA!BH34</f>
        <v>174240.39181369607</v>
      </c>
      <c r="BJ111" s="70">
        <f>WNA!BI34</f>
        <v>170019.75328464183</v>
      </c>
      <c r="BK111" s="70">
        <f>WNA!BJ34</f>
        <v>167339.01358771094</v>
      </c>
      <c r="BL111" s="70">
        <f>WNA!BK34</f>
        <v>212333.25291334506</v>
      </c>
      <c r="BM111" s="70">
        <f>WNA!BL34</f>
        <v>637541.25941818894</v>
      </c>
      <c r="BN111" s="70">
        <f>WNA!BM34</f>
        <v>1233297.0558094762</v>
      </c>
      <c r="BO111" s="70">
        <f>WNA!BN34</f>
        <v>1828952.6353858318</v>
      </c>
      <c r="BP111" s="70">
        <f>WNA!BO34</f>
        <v>2080343.6873684619</v>
      </c>
      <c r="BQ111" s="70">
        <f>WNA!BP34</f>
        <v>1637514.1776336841</v>
      </c>
      <c r="BR111" s="70">
        <f>WNA!BQ34</f>
        <v>1350382.7749780694</v>
      </c>
      <c r="BS111" s="70">
        <f>WNA!BR34</f>
        <v>621817.22734920424</v>
      </c>
      <c r="BT111" s="70">
        <f>WNA!BS34</f>
        <v>302237.06800640491</v>
      </c>
      <c r="BU111" s="70">
        <f>WNA!BT34</f>
        <v>174680.8768105015</v>
      </c>
      <c r="BV111" s="70">
        <f>WNA!BU34</f>
        <v>170455.071798588</v>
      </c>
      <c r="BW111" s="70">
        <f>WNA!BV34</f>
        <v>167774.3467086548</v>
      </c>
      <c r="BX111" s="70">
        <f>WNA!BW34</f>
        <v>212887.44216264971</v>
      </c>
      <c r="BY111" s="70">
        <f>WNA!BX34</f>
        <v>639192.6771306328</v>
      </c>
      <c r="BZ111" s="70">
        <f>WNA!BY34</f>
        <v>1236495.9889707172</v>
      </c>
      <c r="CA111" s="70">
        <f>WNA!BZ34</f>
        <v>1833533.6842622098</v>
      </c>
      <c r="CB111" s="70">
        <f>WNA!CA34</f>
        <v>2085556.201578862</v>
      </c>
      <c r="CC111" s="70">
        <f>WNA!CB34</f>
        <v>1642094.560379568</v>
      </c>
      <c r="CD111" s="70">
        <f>WNA!CC34</f>
        <v>1353432.1304957378</v>
      </c>
      <c r="CE111" s="70">
        <f>WNA!CD34</f>
        <v>623370.3393728286</v>
      </c>
      <c r="CF111" s="70">
        <f>WNA!CE34</f>
        <v>302998.26002313587</v>
      </c>
      <c r="CG111" s="70">
        <f>WNA!CF34</f>
        <v>175121.16643290859</v>
      </c>
      <c r="CH111" s="70">
        <f>WNA!CG34</f>
        <v>170890.19980900237</v>
      </c>
      <c r="CI111" s="70">
        <f>WNA!CH34</f>
        <v>168209.49223986702</v>
      </c>
    </row>
    <row r="112" spans="1:87" x14ac:dyDescent="0.2">
      <c r="A112" s="1">
        <v>103</v>
      </c>
      <c r="B112" s="1" t="s">
        <v>242</v>
      </c>
      <c r="C112" s="1"/>
      <c r="D112" s="70">
        <f>WNA!C61</f>
        <v>167082.06160327059</v>
      </c>
      <c r="E112" s="70">
        <f>WNA!D61</f>
        <v>330091.97026787756</v>
      </c>
      <c r="F112" s="70">
        <f>WNA!E61</f>
        <v>558731.99329460133</v>
      </c>
      <c r="G112" s="70">
        <f>WNA!F61</f>
        <v>797616.37964060134</v>
      </c>
      <c r="H112" s="70">
        <f>WNA!G61</f>
        <v>900644.07598925161</v>
      </c>
      <c r="I112" s="70">
        <f>WNA!H61</f>
        <v>735963.13027070963</v>
      </c>
      <c r="J112" s="70">
        <f>WNA!I61</f>
        <v>609313.37568264478</v>
      </c>
      <c r="K112" s="70">
        <f>WNA!J61</f>
        <v>331385.22200133558</v>
      </c>
      <c r="L112" s="70">
        <f>WNA!K61</f>
        <v>204502.90064687366</v>
      </c>
      <c r="M112" s="70">
        <f>WNA!L61</f>
        <v>154715.60399396921</v>
      </c>
      <c r="N112" s="70">
        <f>WNA!M61</f>
        <v>152687.68813616611</v>
      </c>
      <c r="O112" s="37">
        <f>WNA!N61</f>
        <v>149731.98167537479</v>
      </c>
      <c r="P112" s="37">
        <f>WNA!O61</f>
        <v>167082.05278407631</v>
      </c>
      <c r="Q112" s="70">
        <f>WNA!P61</f>
        <v>330091.96722844918</v>
      </c>
      <c r="R112" s="70">
        <f>WNA!Q61</f>
        <v>558731.99851465027</v>
      </c>
      <c r="S112" s="70">
        <f>WNA!R61</f>
        <v>797616.39281868772</v>
      </c>
      <c r="T112" s="70">
        <f>WNA!S61</f>
        <v>900644.09279869101</v>
      </c>
      <c r="U112" s="70">
        <f>WNA!T61</f>
        <v>735963.14243017137</v>
      </c>
      <c r="V112" s="70">
        <f>WNA!U61</f>
        <v>609313.38070006936</v>
      </c>
      <c r="W112" s="70">
        <f>WNA!V61</f>
        <v>331385.21825925529</v>
      </c>
      <c r="X112" s="70">
        <f>WNA!W61</f>
        <v>204502.89264223626</v>
      </c>
      <c r="Y112" s="70">
        <f>WNA!X61</f>
        <v>154715.5943048982</v>
      </c>
      <c r="Z112" s="70">
        <f>WNA!Y61</f>
        <v>152687.67849785314</v>
      </c>
      <c r="AA112" s="70">
        <f>WNA!Z61</f>
        <v>149731.97222363891</v>
      </c>
      <c r="AB112" s="70">
        <f>WNA!AA61</f>
        <v>167082.05278407631</v>
      </c>
      <c r="AC112" s="70">
        <f>WNA!AB61</f>
        <v>330091.96722844918</v>
      </c>
      <c r="AD112" s="70">
        <f>WNA!AC61</f>
        <v>558731.99851465027</v>
      </c>
      <c r="AE112" s="70">
        <f>WNA!AD61</f>
        <v>797616.39281868772</v>
      </c>
      <c r="AF112" s="70">
        <f>WNA!AE61</f>
        <v>900644.09279869101</v>
      </c>
      <c r="AG112" s="70">
        <f>WNA!AF61</f>
        <v>735963.14243017137</v>
      </c>
      <c r="AH112" s="70">
        <f>WNA!AG61</f>
        <v>609313.38070006936</v>
      </c>
      <c r="AI112" s="70">
        <f>WNA!AH61</f>
        <v>331385.21825925529</v>
      </c>
      <c r="AJ112" s="70">
        <f>WNA!AI61</f>
        <v>204502.89264223626</v>
      </c>
      <c r="AK112" s="70">
        <f>WNA!AJ61</f>
        <v>154715.5943048982</v>
      </c>
      <c r="AL112" s="70">
        <f>WNA!AK61</f>
        <v>152687.67849785314</v>
      </c>
      <c r="AM112" s="70">
        <f>WNA!AL61</f>
        <v>149731.97222363891</v>
      </c>
      <c r="AN112" s="70">
        <f>WNA!AM61</f>
        <v>167082.05278407631</v>
      </c>
      <c r="AO112" s="70">
        <f>WNA!AN61</f>
        <v>330091.96722844918</v>
      </c>
      <c r="AP112" s="70">
        <f>WNA!AO61</f>
        <v>558731.99851465027</v>
      </c>
      <c r="AQ112" s="70">
        <f>WNA!AP61</f>
        <v>797616.39281868772</v>
      </c>
      <c r="AR112" s="70">
        <f>WNA!AQ61</f>
        <v>900644.09279869101</v>
      </c>
      <c r="AS112" s="70">
        <f>WNA!AR61</f>
        <v>735963.14243017137</v>
      </c>
      <c r="AT112" s="70">
        <f>WNA!AS61</f>
        <v>609313.38070006936</v>
      </c>
      <c r="AU112" s="70">
        <f>WNA!AT61</f>
        <v>331385.21825925529</v>
      </c>
      <c r="AV112" s="70">
        <f>WNA!AU61</f>
        <v>204502.89264223626</v>
      </c>
      <c r="AW112" s="70">
        <f>WNA!AV61</f>
        <v>154715.5943048982</v>
      </c>
      <c r="AX112" s="70">
        <f>WNA!AW61</f>
        <v>152687.67849785314</v>
      </c>
      <c r="AY112" s="70">
        <f>WNA!AX61</f>
        <v>149731.97222363891</v>
      </c>
      <c r="AZ112" s="70">
        <f>WNA!AY61</f>
        <v>167082.05278407631</v>
      </c>
      <c r="BA112" s="70">
        <f>WNA!AZ61</f>
        <v>330091.96722844918</v>
      </c>
      <c r="BB112" s="70">
        <f>WNA!BA61</f>
        <v>558731.99851465027</v>
      </c>
      <c r="BC112" s="70">
        <f>WNA!BB61</f>
        <v>797616.39281868772</v>
      </c>
      <c r="BD112" s="70">
        <f>WNA!BC61</f>
        <v>900644.09279869101</v>
      </c>
      <c r="BE112" s="70">
        <f>WNA!BD61</f>
        <v>735963.14243017137</v>
      </c>
      <c r="BF112" s="70">
        <f>WNA!BE61</f>
        <v>609313.38070006936</v>
      </c>
      <c r="BG112" s="70">
        <f>WNA!BF61</f>
        <v>331385.21825925529</v>
      </c>
      <c r="BH112" s="70">
        <f>WNA!BG61</f>
        <v>204502.89264223626</v>
      </c>
      <c r="BI112" s="70">
        <f>WNA!BH61</f>
        <v>154715.5943048982</v>
      </c>
      <c r="BJ112" s="70">
        <f>WNA!BI61</f>
        <v>152687.67849785314</v>
      </c>
      <c r="BK112" s="70">
        <f>WNA!BJ61</f>
        <v>149731.97222363891</v>
      </c>
      <c r="BL112" s="70">
        <f>WNA!BK61</f>
        <v>167082.05278407631</v>
      </c>
      <c r="BM112" s="70">
        <f>WNA!BL61</f>
        <v>330091.96722844918</v>
      </c>
      <c r="BN112" s="70">
        <f>WNA!BM61</f>
        <v>558731.99851465027</v>
      </c>
      <c r="BO112" s="70">
        <f>WNA!BN61</f>
        <v>797616.39281868772</v>
      </c>
      <c r="BP112" s="70">
        <f>WNA!BO61</f>
        <v>900644.09279869101</v>
      </c>
      <c r="BQ112" s="70">
        <f>WNA!BP61</f>
        <v>735963.14243017137</v>
      </c>
      <c r="BR112" s="70">
        <f>WNA!BQ61</f>
        <v>609313.38070006936</v>
      </c>
      <c r="BS112" s="70">
        <f>WNA!BR61</f>
        <v>331385.21825925529</v>
      </c>
      <c r="BT112" s="70">
        <f>WNA!BS61</f>
        <v>204502.89264223626</v>
      </c>
      <c r="BU112" s="70">
        <f>WNA!BT61</f>
        <v>154715.5943048982</v>
      </c>
      <c r="BV112" s="70">
        <f>WNA!BU61</f>
        <v>152687.67849785314</v>
      </c>
      <c r="BW112" s="70">
        <f>WNA!BV61</f>
        <v>149731.97222363891</v>
      </c>
      <c r="BX112" s="70">
        <f>WNA!BW61</f>
        <v>167082.05278407631</v>
      </c>
      <c r="BY112" s="70">
        <f>WNA!BX61</f>
        <v>330091.96722844918</v>
      </c>
      <c r="BZ112" s="70">
        <f>WNA!BY61</f>
        <v>558731.99851465027</v>
      </c>
      <c r="CA112" s="70">
        <f>WNA!BZ61</f>
        <v>797616.39281868772</v>
      </c>
      <c r="CB112" s="70">
        <f>WNA!CA61</f>
        <v>900644.09279869101</v>
      </c>
      <c r="CC112" s="70">
        <f>WNA!CB61</f>
        <v>735963.14243017137</v>
      </c>
      <c r="CD112" s="70">
        <f>WNA!CC61</f>
        <v>609313.38070006936</v>
      </c>
      <c r="CE112" s="70">
        <f>WNA!CD61</f>
        <v>331385.21825925529</v>
      </c>
      <c r="CF112" s="70">
        <f>WNA!CE61</f>
        <v>204502.89264223626</v>
      </c>
      <c r="CG112" s="70">
        <f>WNA!CF61</f>
        <v>154715.5943048982</v>
      </c>
      <c r="CH112" s="70">
        <f>WNA!CG61</f>
        <v>152687.67849785314</v>
      </c>
      <c r="CI112" s="70">
        <f>WNA!CH61</f>
        <v>149731.97222363891</v>
      </c>
    </row>
    <row r="113" spans="1:87" x14ac:dyDescent="0.2">
      <c r="A113" s="1">
        <v>104</v>
      </c>
      <c r="B113" s="1" t="s">
        <v>243</v>
      </c>
      <c r="C113" s="1"/>
      <c r="D113" s="70">
        <f t="shared" ref="D113:AI113" si="248">D34</f>
        <v>19716.883099999999</v>
      </c>
      <c r="E113" s="70">
        <f t="shared" si="248"/>
        <v>18439.272100000002</v>
      </c>
      <c r="F113" s="70">
        <f t="shared" si="248"/>
        <v>42338.036599999992</v>
      </c>
      <c r="G113" s="70">
        <f t="shared" si="248"/>
        <v>82176.154399999999</v>
      </c>
      <c r="H113" s="70">
        <f t="shared" si="248"/>
        <v>109080.83990000002</v>
      </c>
      <c r="I113" s="70">
        <f t="shared" si="248"/>
        <v>88900.575099999987</v>
      </c>
      <c r="J113" s="70">
        <f t="shared" si="248"/>
        <v>132666.98860000001</v>
      </c>
      <c r="K113" s="70">
        <f t="shared" si="248"/>
        <v>44291.265400000004</v>
      </c>
      <c r="L113" s="70">
        <f t="shared" si="248"/>
        <v>18992.643</v>
      </c>
      <c r="M113" s="70">
        <f t="shared" si="248"/>
        <v>15219.8799</v>
      </c>
      <c r="N113" s="70">
        <f t="shared" si="248"/>
        <v>12621.678099999997</v>
      </c>
      <c r="O113" s="37">
        <f t="shared" si="248"/>
        <v>21603.453300000001</v>
      </c>
      <c r="P113" s="37">
        <f t="shared" si="248"/>
        <v>19716.883099999999</v>
      </c>
      <c r="Q113" s="70">
        <f t="shared" si="248"/>
        <v>18439.272100000002</v>
      </c>
      <c r="R113" s="70">
        <f t="shared" si="248"/>
        <v>42338.036599999992</v>
      </c>
      <c r="S113" s="70">
        <f t="shared" si="248"/>
        <v>82176.154399999999</v>
      </c>
      <c r="T113" s="70">
        <f t="shared" si="248"/>
        <v>109080.83990000002</v>
      </c>
      <c r="U113" s="70">
        <f t="shared" si="248"/>
        <v>88900.575099999987</v>
      </c>
      <c r="V113" s="70">
        <f t="shared" si="248"/>
        <v>132666.98860000001</v>
      </c>
      <c r="W113" s="70">
        <f t="shared" si="248"/>
        <v>44291.265400000004</v>
      </c>
      <c r="X113" s="70">
        <f t="shared" si="248"/>
        <v>18992.643</v>
      </c>
      <c r="Y113" s="70">
        <f t="shared" si="248"/>
        <v>15219.8799</v>
      </c>
      <c r="Z113" s="70">
        <f t="shared" si="248"/>
        <v>12621.678099999997</v>
      </c>
      <c r="AA113" s="70">
        <f t="shared" si="248"/>
        <v>21603.453300000001</v>
      </c>
      <c r="AB113" s="70">
        <f t="shared" si="248"/>
        <v>19716.883099999999</v>
      </c>
      <c r="AC113" s="70">
        <f t="shared" si="248"/>
        <v>18439.272100000002</v>
      </c>
      <c r="AD113" s="70">
        <f t="shared" si="248"/>
        <v>42338.036599999992</v>
      </c>
      <c r="AE113" s="70">
        <f t="shared" si="248"/>
        <v>82176.154399999999</v>
      </c>
      <c r="AF113" s="70">
        <f t="shared" si="248"/>
        <v>109080.83990000002</v>
      </c>
      <c r="AG113" s="70">
        <f t="shared" si="248"/>
        <v>88900.575099999987</v>
      </c>
      <c r="AH113" s="70">
        <f t="shared" si="248"/>
        <v>132666.98860000001</v>
      </c>
      <c r="AI113" s="70">
        <f t="shared" si="248"/>
        <v>44291.265400000004</v>
      </c>
      <c r="AJ113" s="70">
        <f t="shared" ref="AJ113:BO113" si="249">AJ34</f>
        <v>18992.643</v>
      </c>
      <c r="AK113" s="70">
        <f t="shared" si="249"/>
        <v>15219.8799</v>
      </c>
      <c r="AL113" s="70">
        <f t="shared" si="249"/>
        <v>12621.678099999997</v>
      </c>
      <c r="AM113" s="70">
        <f t="shared" si="249"/>
        <v>21603.453300000001</v>
      </c>
      <c r="AN113" s="70">
        <f t="shared" si="249"/>
        <v>19716.883099999999</v>
      </c>
      <c r="AO113" s="70">
        <f t="shared" si="249"/>
        <v>18439.272100000002</v>
      </c>
      <c r="AP113" s="70">
        <f t="shared" si="249"/>
        <v>42338.036599999992</v>
      </c>
      <c r="AQ113" s="70">
        <f t="shared" si="249"/>
        <v>82176.154399999999</v>
      </c>
      <c r="AR113" s="70">
        <f t="shared" si="249"/>
        <v>109080.83990000002</v>
      </c>
      <c r="AS113" s="70">
        <f t="shared" si="249"/>
        <v>88900.575099999987</v>
      </c>
      <c r="AT113" s="70">
        <f t="shared" si="249"/>
        <v>132666.98860000001</v>
      </c>
      <c r="AU113" s="70">
        <f t="shared" si="249"/>
        <v>44291.265400000004</v>
      </c>
      <c r="AV113" s="70">
        <f t="shared" si="249"/>
        <v>18992.643</v>
      </c>
      <c r="AW113" s="70">
        <f t="shared" si="249"/>
        <v>15219.8799</v>
      </c>
      <c r="AX113" s="70">
        <f t="shared" si="249"/>
        <v>12621.678099999997</v>
      </c>
      <c r="AY113" s="70">
        <f t="shared" si="249"/>
        <v>21603.453300000001</v>
      </c>
      <c r="AZ113" s="70">
        <f t="shared" si="249"/>
        <v>19716.883099999999</v>
      </c>
      <c r="BA113" s="70">
        <f t="shared" si="249"/>
        <v>18439.272100000002</v>
      </c>
      <c r="BB113" s="70">
        <f t="shared" si="249"/>
        <v>42338.036599999992</v>
      </c>
      <c r="BC113" s="70">
        <f t="shared" si="249"/>
        <v>82176.154399999999</v>
      </c>
      <c r="BD113" s="70">
        <f t="shared" si="249"/>
        <v>109080.83990000002</v>
      </c>
      <c r="BE113" s="70">
        <f t="shared" si="249"/>
        <v>88900.575099999987</v>
      </c>
      <c r="BF113" s="70">
        <f t="shared" si="249"/>
        <v>132666.98860000001</v>
      </c>
      <c r="BG113" s="70">
        <f t="shared" si="249"/>
        <v>44291.265400000004</v>
      </c>
      <c r="BH113" s="70">
        <f t="shared" si="249"/>
        <v>18992.643</v>
      </c>
      <c r="BI113" s="70">
        <f t="shared" si="249"/>
        <v>15219.8799</v>
      </c>
      <c r="BJ113" s="70">
        <f t="shared" si="249"/>
        <v>12621.678099999997</v>
      </c>
      <c r="BK113" s="70">
        <f t="shared" si="249"/>
        <v>21603.453300000001</v>
      </c>
      <c r="BL113" s="70">
        <f t="shared" si="249"/>
        <v>19716.883099999999</v>
      </c>
      <c r="BM113" s="70">
        <f t="shared" si="249"/>
        <v>18439.272100000002</v>
      </c>
      <c r="BN113" s="70">
        <f t="shared" si="249"/>
        <v>42338.036599999992</v>
      </c>
      <c r="BO113" s="70">
        <f t="shared" si="249"/>
        <v>82176.154399999999</v>
      </c>
      <c r="BP113" s="70">
        <f t="shared" ref="BP113:CI113" si="250">BP34</f>
        <v>109080.83990000002</v>
      </c>
      <c r="BQ113" s="70">
        <f t="shared" si="250"/>
        <v>88900.575099999987</v>
      </c>
      <c r="BR113" s="70">
        <f t="shared" si="250"/>
        <v>132666.98860000001</v>
      </c>
      <c r="BS113" s="70">
        <f t="shared" si="250"/>
        <v>44291.265400000004</v>
      </c>
      <c r="BT113" s="70">
        <f t="shared" si="250"/>
        <v>18992.643</v>
      </c>
      <c r="BU113" s="70">
        <f t="shared" si="250"/>
        <v>15219.8799</v>
      </c>
      <c r="BV113" s="70">
        <f t="shared" si="250"/>
        <v>12621.678099999997</v>
      </c>
      <c r="BW113" s="70">
        <f t="shared" si="250"/>
        <v>21603.453300000001</v>
      </c>
      <c r="BX113" s="70">
        <f t="shared" si="250"/>
        <v>19716.883099999999</v>
      </c>
      <c r="BY113" s="70">
        <f t="shared" si="250"/>
        <v>18439.272100000002</v>
      </c>
      <c r="BZ113" s="70">
        <f t="shared" si="250"/>
        <v>42338.036599999992</v>
      </c>
      <c r="CA113" s="70">
        <f t="shared" si="250"/>
        <v>82176.154399999999</v>
      </c>
      <c r="CB113" s="70">
        <f t="shared" si="250"/>
        <v>109080.83990000002</v>
      </c>
      <c r="CC113" s="70">
        <f t="shared" si="250"/>
        <v>88900.575099999987</v>
      </c>
      <c r="CD113" s="70">
        <f t="shared" si="250"/>
        <v>132666.98860000001</v>
      </c>
      <c r="CE113" s="70">
        <f t="shared" si="250"/>
        <v>44291.265400000004</v>
      </c>
      <c r="CF113" s="70">
        <f t="shared" si="250"/>
        <v>18992.643</v>
      </c>
      <c r="CG113" s="70">
        <f t="shared" si="250"/>
        <v>15219.8799</v>
      </c>
      <c r="CH113" s="70">
        <f t="shared" si="250"/>
        <v>12621.678099999997</v>
      </c>
      <c r="CI113" s="70">
        <f t="shared" si="250"/>
        <v>21603.453300000001</v>
      </c>
    </row>
    <row r="114" spans="1:87" x14ac:dyDescent="0.2">
      <c r="A114" s="1">
        <v>105</v>
      </c>
      <c r="B114" s="1" t="s">
        <v>244</v>
      </c>
      <c r="C114" s="1"/>
      <c r="D114" s="70">
        <f>WNA!C88</f>
        <v>31817.28926626188</v>
      </c>
      <c r="E114" s="70">
        <f>WNA!D88</f>
        <v>71858.606538532331</v>
      </c>
      <c r="F114" s="70">
        <f>WNA!E88</f>
        <v>123300.03070542436</v>
      </c>
      <c r="G114" s="70">
        <f>WNA!F88</f>
        <v>175755.32711046279</v>
      </c>
      <c r="H114" s="70">
        <f>WNA!G88</f>
        <v>199295.57901256223</v>
      </c>
      <c r="I114" s="70">
        <f>WNA!H88</f>
        <v>155350.1223593443</v>
      </c>
      <c r="J114" s="70">
        <f>WNA!I88</f>
        <v>137423.58177992387</v>
      </c>
      <c r="K114" s="70">
        <f>WNA!J88</f>
        <v>67582.861944419434</v>
      </c>
      <c r="L114" s="70">
        <f>WNA!K88</f>
        <v>39282.822177833907</v>
      </c>
      <c r="M114" s="70">
        <f>WNA!L88</f>
        <v>28136.916007813557</v>
      </c>
      <c r="N114" s="70">
        <f>WNA!M88</f>
        <v>27951.829314245992</v>
      </c>
      <c r="O114" s="37">
        <f>WNA!N88</f>
        <v>26950.356223012608</v>
      </c>
      <c r="P114" s="37">
        <f>WNA!O88</f>
        <v>31817.292509800114</v>
      </c>
      <c r="Q114" s="70">
        <f>WNA!P88</f>
        <v>71858.616490768123</v>
      </c>
      <c r="R114" s="70">
        <f>WNA!Q88</f>
        <v>123300.0493970458</v>
      </c>
      <c r="S114" s="70">
        <f>WNA!R88</f>
        <v>175755.35458749317</v>
      </c>
      <c r="T114" s="70">
        <f>WNA!S88</f>
        <v>199295.61044523498</v>
      </c>
      <c r="U114" s="70">
        <f>WNA!T88</f>
        <v>155350.14664628968</v>
      </c>
      <c r="V114" s="70">
        <f>WNA!U88</f>
        <v>137423.60250987916</v>
      </c>
      <c r="W114" s="70">
        <f>WNA!V88</f>
        <v>67582.871199494824</v>
      </c>
      <c r="X114" s="70">
        <f>WNA!W88</f>
        <v>39282.82667111099</v>
      </c>
      <c r="Y114" s="70">
        <f>WNA!X88</f>
        <v>28136.918605135081</v>
      </c>
      <c r="Z114" s="70">
        <f>WNA!Y88</f>
        <v>27951.831880379748</v>
      </c>
      <c r="AA114" s="70">
        <f>WNA!Z88</f>
        <v>26950.358697205556</v>
      </c>
      <c r="AB114" s="70">
        <f>WNA!AA88</f>
        <v>31817.288779656967</v>
      </c>
      <c r="AC114" s="70">
        <f>WNA!AB88</f>
        <v>71858.615231130432</v>
      </c>
      <c r="AD114" s="70">
        <f>WNA!AC88</f>
        <v>123300.05164041146</v>
      </c>
      <c r="AE114" s="70">
        <f>WNA!AD88</f>
        <v>175755.36005861658</v>
      </c>
      <c r="AF114" s="70">
        <f>WNA!AE88</f>
        <v>199295.61740042144</v>
      </c>
      <c r="AG114" s="70">
        <f>WNA!AF88</f>
        <v>155350.1514822153</v>
      </c>
      <c r="AH114" s="70">
        <f>WNA!AG88</f>
        <v>137423.60473003326</v>
      </c>
      <c r="AI114" s="70">
        <f>WNA!AH88</f>
        <v>67582.869728463382</v>
      </c>
      <c r="AJ114" s="70">
        <f>WNA!AI88</f>
        <v>39282.823398666689</v>
      </c>
      <c r="AK114" s="70">
        <f>WNA!AJ88</f>
        <v>28136.914567204905</v>
      </c>
      <c r="AL114" s="70">
        <f>WNA!AK88</f>
        <v>27951.82783054571</v>
      </c>
      <c r="AM114" s="70">
        <f>WNA!AL88</f>
        <v>26950.354792471138</v>
      </c>
      <c r="AN114" s="70">
        <f>WNA!AM88</f>
        <v>31817.288779656967</v>
      </c>
      <c r="AO114" s="70">
        <f>WNA!AN88</f>
        <v>71858.615231130432</v>
      </c>
      <c r="AP114" s="70">
        <f>WNA!AO88</f>
        <v>123300.05164041146</v>
      </c>
      <c r="AQ114" s="70">
        <f>WNA!AP88</f>
        <v>175755.36005861658</v>
      </c>
      <c r="AR114" s="70">
        <f>WNA!AQ88</f>
        <v>199295.61740042144</v>
      </c>
      <c r="AS114" s="70">
        <f>WNA!AR88</f>
        <v>155350.1514822153</v>
      </c>
      <c r="AT114" s="70">
        <f>WNA!AS88</f>
        <v>137423.60473003326</v>
      </c>
      <c r="AU114" s="70">
        <f>WNA!AT88</f>
        <v>67582.869728463382</v>
      </c>
      <c r="AV114" s="70">
        <f>WNA!AU88</f>
        <v>39282.823398666689</v>
      </c>
      <c r="AW114" s="70">
        <f>WNA!AV88</f>
        <v>28136.914567204905</v>
      </c>
      <c r="AX114" s="70">
        <f>WNA!AW88</f>
        <v>27951.82783054571</v>
      </c>
      <c r="AY114" s="70">
        <f>WNA!AX88</f>
        <v>26950.354792471138</v>
      </c>
      <c r="AZ114" s="70">
        <f>WNA!AY88</f>
        <v>31817.288779656967</v>
      </c>
      <c r="BA114" s="70">
        <f>WNA!AZ88</f>
        <v>71858.615231130432</v>
      </c>
      <c r="BB114" s="70">
        <f>WNA!BA88</f>
        <v>123300.05164041146</v>
      </c>
      <c r="BC114" s="70">
        <f>WNA!BB88</f>
        <v>175755.36005861658</v>
      </c>
      <c r="BD114" s="70">
        <f>WNA!BC88</f>
        <v>199295.61740042144</v>
      </c>
      <c r="BE114" s="70">
        <f>WNA!BD88</f>
        <v>155350.1514822153</v>
      </c>
      <c r="BF114" s="70">
        <f>WNA!BE88</f>
        <v>137423.60473003326</v>
      </c>
      <c r="BG114" s="70">
        <f>WNA!BF88</f>
        <v>67582.869728463382</v>
      </c>
      <c r="BH114" s="70">
        <f>WNA!BG88</f>
        <v>39282.823398666689</v>
      </c>
      <c r="BI114" s="70">
        <f>WNA!BH88</f>
        <v>28136.914567204905</v>
      </c>
      <c r="BJ114" s="70">
        <f>WNA!BI88</f>
        <v>27951.82783054571</v>
      </c>
      <c r="BK114" s="70">
        <f>WNA!BJ88</f>
        <v>26950.354792471138</v>
      </c>
      <c r="BL114" s="70">
        <f>WNA!BK88</f>
        <v>31817.288779656967</v>
      </c>
      <c r="BM114" s="70">
        <f>WNA!BL88</f>
        <v>71858.615231130432</v>
      </c>
      <c r="BN114" s="70">
        <f>WNA!BM88</f>
        <v>123300.05164041146</v>
      </c>
      <c r="BO114" s="70">
        <f>WNA!BN88</f>
        <v>175755.36005861658</v>
      </c>
      <c r="BP114" s="70">
        <f>WNA!BO88</f>
        <v>199295.61740042144</v>
      </c>
      <c r="BQ114" s="70">
        <f>WNA!BP88</f>
        <v>155350.1514822153</v>
      </c>
      <c r="BR114" s="70">
        <f>WNA!BQ88</f>
        <v>137423.60473003326</v>
      </c>
      <c r="BS114" s="70">
        <f>WNA!BR88</f>
        <v>67582.869728463382</v>
      </c>
      <c r="BT114" s="70">
        <f>WNA!BS88</f>
        <v>39282.823398666689</v>
      </c>
      <c r="BU114" s="70">
        <f>WNA!BT88</f>
        <v>28136.914567204905</v>
      </c>
      <c r="BV114" s="70">
        <f>WNA!BU88</f>
        <v>27951.82783054571</v>
      </c>
      <c r="BW114" s="70">
        <f>WNA!BV88</f>
        <v>26950.354792471138</v>
      </c>
      <c r="BX114" s="70">
        <f>WNA!BW88</f>
        <v>31817.288779656967</v>
      </c>
      <c r="BY114" s="70">
        <f>WNA!BX88</f>
        <v>71858.615231130432</v>
      </c>
      <c r="BZ114" s="70">
        <f>WNA!BY88</f>
        <v>123300.05164041146</v>
      </c>
      <c r="CA114" s="70">
        <f>WNA!BZ88</f>
        <v>175755.36005861658</v>
      </c>
      <c r="CB114" s="70">
        <f>WNA!CA88</f>
        <v>199295.61740042144</v>
      </c>
      <c r="CC114" s="70">
        <f>WNA!CB88</f>
        <v>155350.1514822153</v>
      </c>
      <c r="CD114" s="70">
        <f>WNA!CC88</f>
        <v>137423.60473003326</v>
      </c>
      <c r="CE114" s="70">
        <f>WNA!CD88</f>
        <v>67582.869728463382</v>
      </c>
      <c r="CF114" s="70">
        <f>WNA!CE88</f>
        <v>39282.823398666689</v>
      </c>
      <c r="CG114" s="70">
        <f>WNA!CF88</f>
        <v>28136.914567204905</v>
      </c>
      <c r="CH114" s="70">
        <f>WNA!CG88</f>
        <v>27951.82783054571</v>
      </c>
      <c r="CI114" s="70">
        <f>WNA!CH88</f>
        <v>26950.354792471138</v>
      </c>
    </row>
    <row r="115" spans="1:87" x14ac:dyDescent="0.2">
      <c r="A115" s="1">
        <v>106</v>
      </c>
      <c r="B115" s="1" t="s">
        <v>239</v>
      </c>
      <c r="C115" s="1"/>
      <c r="D115" s="70">
        <f t="shared" ref="D115:AI115" si="251">D51+D59</f>
        <v>11182.257599999999</v>
      </c>
      <c r="E115" s="70">
        <f t="shared" si="251"/>
        <v>28312.226299999998</v>
      </c>
      <c r="F115" s="70">
        <f t="shared" si="251"/>
        <v>13287.966599999998</v>
      </c>
      <c r="G115" s="70">
        <f t="shared" si="251"/>
        <v>27487.1695</v>
      </c>
      <c r="H115" s="70">
        <f t="shared" si="251"/>
        <v>34197.4882</v>
      </c>
      <c r="I115" s="70">
        <f t="shared" si="251"/>
        <v>22426.699500000002</v>
      </c>
      <c r="J115" s="70">
        <f t="shared" si="251"/>
        <v>53510.237100000013</v>
      </c>
      <c r="K115" s="70">
        <f t="shared" si="251"/>
        <v>25314.518400000001</v>
      </c>
      <c r="L115" s="70">
        <f t="shared" si="251"/>
        <v>41796.549199999994</v>
      </c>
      <c r="M115" s="70">
        <f t="shared" si="251"/>
        <v>36104.598000000005</v>
      </c>
      <c r="N115" s="70">
        <f t="shared" si="251"/>
        <v>16523.8724</v>
      </c>
      <c r="O115" s="37">
        <f t="shared" si="251"/>
        <v>18634.435200000004</v>
      </c>
      <c r="P115" s="37">
        <f t="shared" si="251"/>
        <v>11182.257599999999</v>
      </c>
      <c r="Q115" s="70">
        <f t="shared" si="251"/>
        <v>28312.226299999998</v>
      </c>
      <c r="R115" s="70">
        <f t="shared" si="251"/>
        <v>13287.966599999998</v>
      </c>
      <c r="S115" s="70">
        <f t="shared" si="251"/>
        <v>27487.1695</v>
      </c>
      <c r="T115" s="70">
        <f t="shared" si="251"/>
        <v>34197.4882</v>
      </c>
      <c r="U115" s="70">
        <f t="shared" si="251"/>
        <v>22426.699500000002</v>
      </c>
      <c r="V115" s="70">
        <f t="shared" si="251"/>
        <v>53510.237100000013</v>
      </c>
      <c r="W115" s="70">
        <f t="shared" si="251"/>
        <v>25314.518400000001</v>
      </c>
      <c r="X115" s="70">
        <f t="shared" si="251"/>
        <v>41796.549199999994</v>
      </c>
      <c r="Y115" s="70">
        <f t="shared" si="251"/>
        <v>36104.598000000005</v>
      </c>
      <c r="Z115" s="70">
        <f t="shared" si="251"/>
        <v>16523.8724</v>
      </c>
      <c r="AA115" s="573">
        <f t="shared" si="251"/>
        <v>18634.435200000004</v>
      </c>
      <c r="AB115" s="70">
        <f t="shared" si="251"/>
        <v>11182.257599999999</v>
      </c>
      <c r="AC115" s="70">
        <f t="shared" si="251"/>
        <v>28312.226299999998</v>
      </c>
      <c r="AD115" s="70">
        <f t="shared" si="251"/>
        <v>13287.966599999998</v>
      </c>
      <c r="AE115" s="70">
        <f t="shared" si="251"/>
        <v>27487.1695</v>
      </c>
      <c r="AF115" s="70">
        <f t="shared" si="251"/>
        <v>34197.4882</v>
      </c>
      <c r="AG115" s="70">
        <f t="shared" si="251"/>
        <v>22426.699500000002</v>
      </c>
      <c r="AH115" s="70">
        <f t="shared" si="251"/>
        <v>53510.237100000013</v>
      </c>
      <c r="AI115" s="70">
        <f t="shared" si="251"/>
        <v>25314.518400000001</v>
      </c>
      <c r="AJ115" s="70">
        <f t="shared" ref="AJ115:BO115" si="252">AJ51+AJ59</f>
        <v>41796.549199999994</v>
      </c>
      <c r="AK115" s="70">
        <f t="shared" si="252"/>
        <v>36104.598000000005</v>
      </c>
      <c r="AL115" s="70">
        <f t="shared" si="252"/>
        <v>16523.8724</v>
      </c>
      <c r="AM115" s="573">
        <f t="shared" si="252"/>
        <v>18634.435200000004</v>
      </c>
      <c r="AN115" s="70">
        <f t="shared" si="252"/>
        <v>11182.257599999999</v>
      </c>
      <c r="AO115" s="70">
        <f t="shared" si="252"/>
        <v>28312.226299999998</v>
      </c>
      <c r="AP115" s="70">
        <f t="shared" si="252"/>
        <v>13287.966599999998</v>
      </c>
      <c r="AQ115" s="70">
        <f t="shared" si="252"/>
        <v>27487.1695</v>
      </c>
      <c r="AR115" s="70">
        <f t="shared" si="252"/>
        <v>34197.4882</v>
      </c>
      <c r="AS115" s="70">
        <f t="shared" si="252"/>
        <v>22426.699500000002</v>
      </c>
      <c r="AT115" s="70">
        <f t="shared" si="252"/>
        <v>53510.237100000013</v>
      </c>
      <c r="AU115" s="70">
        <f t="shared" si="252"/>
        <v>25314.518400000001</v>
      </c>
      <c r="AV115" s="70">
        <f t="shared" si="252"/>
        <v>41796.549199999994</v>
      </c>
      <c r="AW115" s="70">
        <f t="shared" si="252"/>
        <v>36104.598000000005</v>
      </c>
      <c r="AX115" s="70">
        <f t="shared" si="252"/>
        <v>16523.8724</v>
      </c>
      <c r="AY115" s="573">
        <f t="shared" si="252"/>
        <v>18634.435200000004</v>
      </c>
      <c r="AZ115" s="70">
        <f t="shared" si="252"/>
        <v>11182.257599999999</v>
      </c>
      <c r="BA115" s="70">
        <f t="shared" si="252"/>
        <v>28312.226299999998</v>
      </c>
      <c r="BB115" s="70">
        <f t="shared" si="252"/>
        <v>13287.966599999998</v>
      </c>
      <c r="BC115" s="70">
        <f t="shared" si="252"/>
        <v>27487.1695</v>
      </c>
      <c r="BD115" s="70">
        <f t="shared" si="252"/>
        <v>34197.4882</v>
      </c>
      <c r="BE115" s="70">
        <f t="shared" si="252"/>
        <v>22426.699500000002</v>
      </c>
      <c r="BF115" s="70">
        <f t="shared" si="252"/>
        <v>53510.237100000013</v>
      </c>
      <c r="BG115" s="70">
        <f t="shared" si="252"/>
        <v>25314.518400000001</v>
      </c>
      <c r="BH115" s="70">
        <f t="shared" si="252"/>
        <v>41796.549199999994</v>
      </c>
      <c r="BI115" s="70">
        <f t="shared" si="252"/>
        <v>36104.598000000005</v>
      </c>
      <c r="BJ115" s="70">
        <f t="shared" si="252"/>
        <v>16523.8724</v>
      </c>
      <c r="BK115" s="70">
        <f t="shared" si="252"/>
        <v>18634.435200000004</v>
      </c>
      <c r="BL115" s="70">
        <f t="shared" si="252"/>
        <v>11182.257599999999</v>
      </c>
      <c r="BM115" s="70">
        <f t="shared" si="252"/>
        <v>28312.226299999998</v>
      </c>
      <c r="BN115" s="70">
        <f t="shared" si="252"/>
        <v>13287.966599999998</v>
      </c>
      <c r="BO115" s="70">
        <f t="shared" si="252"/>
        <v>27487.1695</v>
      </c>
      <c r="BP115" s="70">
        <f t="shared" ref="BP115:CI115" si="253">BP51+BP59</f>
        <v>34197.4882</v>
      </c>
      <c r="BQ115" s="70">
        <f t="shared" si="253"/>
        <v>22426.699500000002</v>
      </c>
      <c r="BR115" s="70">
        <f t="shared" si="253"/>
        <v>53510.237100000013</v>
      </c>
      <c r="BS115" s="70">
        <f t="shared" si="253"/>
        <v>25314.518400000001</v>
      </c>
      <c r="BT115" s="70">
        <f t="shared" si="253"/>
        <v>41796.549199999994</v>
      </c>
      <c r="BU115" s="70">
        <f t="shared" si="253"/>
        <v>36104.598000000005</v>
      </c>
      <c r="BV115" s="70">
        <f t="shared" si="253"/>
        <v>16523.8724</v>
      </c>
      <c r="BW115" s="70">
        <f t="shared" si="253"/>
        <v>18634.435200000004</v>
      </c>
      <c r="BX115" s="70">
        <f t="shared" si="253"/>
        <v>11182.257599999999</v>
      </c>
      <c r="BY115" s="70">
        <f t="shared" si="253"/>
        <v>28312.226299999998</v>
      </c>
      <c r="BZ115" s="70">
        <f t="shared" si="253"/>
        <v>13287.966599999998</v>
      </c>
      <c r="CA115" s="70">
        <f t="shared" si="253"/>
        <v>27487.1695</v>
      </c>
      <c r="CB115" s="70">
        <f t="shared" si="253"/>
        <v>34197.4882</v>
      </c>
      <c r="CC115" s="70">
        <f t="shared" si="253"/>
        <v>22426.699500000002</v>
      </c>
      <c r="CD115" s="70">
        <f t="shared" si="253"/>
        <v>53510.237100000013</v>
      </c>
      <c r="CE115" s="70">
        <f t="shared" si="253"/>
        <v>25314.518400000001</v>
      </c>
      <c r="CF115" s="70">
        <f t="shared" si="253"/>
        <v>41796.549199999994</v>
      </c>
      <c r="CG115" s="70">
        <f t="shared" si="253"/>
        <v>36104.598000000005</v>
      </c>
      <c r="CH115" s="70">
        <f t="shared" si="253"/>
        <v>16523.8724</v>
      </c>
      <c r="CI115" s="70">
        <f t="shared" si="253"/>
        <v>18634.435200000004</v>
      </c>
    </row>
    <row r="116" spans="1:87" x14ac:dyDescent="0.2">
      <c r="A116" s="1">
        <v>107</v>
      </c>
      <c r="C116" s="1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37"/>
      <c r="P116" s="37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573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573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573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</row>
    <row r="117" spans="1:87" x14ac:dyDescent="0.2">
      <c r="C117" s="1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37"/>
      <c r="P117" s="37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573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573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573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</row>
    <row r="118" spans="1:87" x14ac:dyDescent="0.2">
      <c r="C118" s="1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37"/>
      <c r="P118" s="37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573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573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573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</row>
    <row r="119" spans="1:87" x14ac:dyDescent="0.2">
      <c r="A119" s="2"/>
      <c r="B119" s="16"/>
      <c r="C119" s="23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22"/>
      <c r="Q119" s="22"/>
      <c r="R119" s="23"/>
      <c r="S119" s="22"/>
      <c r="T119" s="16"/>
      <c r="U119" s="37"/>
      <c r="V119" s="22"/>
      <c r="W119" s="37"/>
      <c r="X119" s="16"/>
      <c r="Y119" s="22"/>
      <c r="Z119" s="23"/>
      <c r="AA119" s="22"/>
      <c r="AB119" s="16"/>
      <c r="AC119" s="16"/>
      <c r="AD119" s="16"/>
      <c r="AE119" s="16"/>
      <c r="AF119" s="16"/>
      <c r="AG119" s="16"/>
    </row>
    <row r="120" spans="1:87" x14ac:dyDescent="0.2">
      <c r="A120" s="2"/>
      <c r="B120" s="16"/>
      <c r="C120" s="23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22"/>
      <c r="Q120" s="22"/>
      <c r="R120" s="23"/>
      <c r="S120" s="22"/>
      <c r="T120" s="16"/>
      <c r="U120" s="37"/>
      <c r="V120" s="23"/>
      <c r="W120" s="51"/>
      <c r="X120" s="16"/>
      <c r="Y120" s="22"/>
      <c r="Z120" s="23"/>
      <c r="AA120" s="22"/>
      <c r="AB120" s="16"/>
      <c r="AC120" s="16"/>
      <c r="AD120" s="16"/>
      <c r="AE120" s="16"/>
      <c r="AF120" s="16"/>
      <c r="AG120" s="16"/>
    </row>
    <row r="121" spans="1:87" x14ac:dyDescent="0.2">
      <c r="A121" s="2"/>
      <c r="B121" s="16"/>
      <c r="C121" s="23"/>
      <c r="D121" s="16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</row>
    <row r="122" spans="1:87" x14ac:dyDescent="0.2">
      <c r="A122" s="2"/>
      <c r="B122" s="16"/>
      <c r="C122" s="23"/>
      <c r="D122" s="16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</row>
    <row r="123" spans="1:87" x14ac:dyDescent="0.2">
      <c r="B123" s="16"/>
      <c r="C123" s="23"/>
      <c r="D123" s="16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</row>
    <row r="124" spans="1:87" x14ac:dyDescent="0.2">
      <c r="B124" s="16"/>
      <c r="C124" s="23"/>
      <c r="D124" s="16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</row>
    <row r="125" spans="1:87" x14ac:dyDescent="0.2">
      <c r="B125" s="16"/>
      <c r="C125" s="23"/>
      <c r="D125" s="16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</row>
    <row r="126" spans="1:87" x14ac:dyDescent="0.2">
      <c r="B126" s="16"/>
      <c r="C126" s="23"/>
      <c r="D126" s="16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</row>
    <row r="127" spans="1:87" x14ac:dyDescent="0.2">
      <c r="B127" s="16"/>
      <c r="C127" s="23"/>
      <c r="D127" s="16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</row>
    <row r="128" spans="1:87" x14ac:dyDescent="0.2">
      <c r="B128" s="16"/>
      <c r="C128" s="78"/>
      <c r="D128" s="16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</row>
    <row r="129" spans="1:87" x14ac:dyDescent="0.2">
      <c r="A129" s="16"/>
      <c r="B129" s="16"/>
      <c r="C129" s="23"/>
      <c r="D129" s="16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</row>
    <row r="130" spans="1:87" x14ac:dyDescent="0.2">
      <c r="A130" s="16"/>
      <c r="B130" s="16"/>
      <c r="C130" s="78"/>
      <c r="D130" s="16"/>
      <c r="E130" s="37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44"/>
      <c r="R130" s="78"/>
      <c r="S130" s="22"/>
      <c r="T130" s="16"/>
      <c r="U130" s="37"/>
      <c r="V130" s="48"/>
      <c r="W130" s="16"/>
      <c r="X130" s="51"/>
      <c r="Y130" s="22"/>
      <c r="Z130" s="23"/>
      <c r="AA130" s="22"/>
      <c r="AB130" s="16"/>
      <c r="AC130" s="16"/>
      <c r="AD130" s="16"/>
      <c r="AE130" s="16"/>
      <c r="AF130" s="16"/>
      <c r="AG130" s="16"/>
    </row>
    <row r="131" spans="1:87" x14ac:dyDescent="0.2">
      <c r="A131" s="16"/>
      <c r="B131" s="16"/>
      <c r="C131" s="23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22"/>
      <c r="Q131" s="22"/>
      <c r="R131" s="23"/>
      <c r="S131" s="22"/>
      <c r="T131" s="16"/>
      <c r="U131" s="37"/>
      <c r="V131" s="23"/>
      <c r="W131" s="16"/>
      <c r="X131" s="16"/>
      <c r="Y131" s="22"/>
      <c r="Z131" s="23"/>
      <c r="AA131" s="22"/>
      <c r="AB131" s="16"/>
      <c r="AC131" s="16"/>
      <c r="AD131" s="16"/>
      <c r="AE131" s="16"/>
      <c r="AF131" s="16"/>
      <c r="AG131" s="16"/>
    </row>
    <row r="132" spans="1:87" x14ac:dyDescent="0.2">
      <c r="A132" s="16"/>
      <c r="B132" s="16"/>
      <c r="C132" s="78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22"/>
      <c r="Q132" s="22"/>
      <c r="R132" s="78"/>
      <c r="S132" s="22"/>
      <c r="T132" s="16"/>
      <c r="U132" s="37"/>
      <c r="V132" s="23"/>
      <c r="W132" s="16"/>
      <c r="X132" s="16"/>
      <c r="Y132" s="22"/>
      <c r="Z132" s="23"/>
      <c r="AA132" s="22"/>
      <c r="AB132" s="16"/>
      <c r="AC132" s="16"/>
      <c r="AD132" s="16"/>
      <c r="AE132" s="16"/>
      <c r="AF132" s="16"/>
      <c r="AG132" s="16"/>
    </row>
    <row r="133" spans="1:87" x14ac:dyDescent="0.2">
      <c r="A133" s="16"/>
    </row>
    <row r="134" spans="1:87" x14ac:dyDescent="0.2">
      <c r="A134" s="16"/>
    </row>
    <row r="135" spans="1:87" x14ac:dyDescent="0.2">
      <c r="A135" s="16"/>
    </row>
    <row r="136" spans="1:87" x14ac:dyDescent="0.2">
      <c r="A136" s="16"/>
    </row>
    <row r="137" spans="1:87" x14ac:dyDescent="0.2">
      <c r="A137" s="16"/>
    </row>
    <row r="138" spans="1:87" x14ac:dyDescent="0.2">
      <c r="A138" s="16"/>
    </row>
    <row r="139" spans="1:87" x14ac:dyDescent="0.2">
      <c r="A139" s="16"/>
    </row>
    <row r="140" spans="1:87" x14ac:dyDescent="0.2">
      <c r="A140" s="16"/>
    </row>
    <row r="141" spans="1:87" x14ac:dyDescent="0.2">
      <c r="A141" s="16"/>
    </row>
    <row r="142" spans="1:87" x14ac:dyDescent="0.2">
      <c r="A142" s="16"/>
    </row>
    <row r="143" spans="1:87" x14ac:dyDescent="0.2">
      <c r="A143" s="16"/>
    </row>
    <row r="144" spans="1:87" x14ac:dyDescent="0.2">
      <c r="A144" s="16"/>
    </row>
    <row r="145" spans="1:33" x14ac:dyDescent="0.2">
      <c r="A145" s="16"/>
    </row>
    <row r="146" spans="1:33" x14ac:dyDescent="0.2">
      <c r="A146" s="16"/>
    </row>
    <row r="147" spans="1:33" x14ac:dyDescent="0.2">
      <c r="A147" s="16"/>
    </row>
    <row r="148" spans="1:33" x14ac:dyDescent="0.2">
      <c r="A148" s="16"/>
    </row>
    <row r="149" spans="1:33" x14ac:dyDescent="0.2">
      <c r="A149" s="16"/>
    </row>
    <row r="150" spans="1:33" x14ac:dyDescent="0.2">
      <c r="A150" s="16"/>
    </row>
    <row r="151" spans="1:33" x14ac:dyDescent="0.2">
      <c r="A151" s="16"/>
    </row>
    <row r="152" spans="1:33" x14ac:dyDescent="0.2">
      <c r="A152" s="16"/>
    </row>
    <row r="153" spans="1:33" x14ac:dyDescent="0.2">
      <c r="A153" s="16"/>
    </row>
    <row r="154" spans="1:33" x14ac:dyDescent="0.2">
      <c r="A154" s="16"/>
    </row>
    <row r="155" spans="1:33" x14ac:dyDescent="0.2">
      <c r="A155" s="16"/>
    </row>
    <row r="156" spans="1:33" x14ac:dyDescent="0.2">
      <c r="A156" s="16"/>
      <c r="B156" s="16"/>
      <c r="C156" s="23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22"/>
      <c r="R156" s="23"/>
      <c r="S156" s="22"/>
      <c r="T156" s="16"/>
      <c r="U156" s="37"/>
      <c r="V156" s="23"/>
      <c r="W156" s="16"/>
      <c r="X156" s="16"/>
      <c r="Y156" s="22"/>
      <c r="Z156" s="23"/>
      <c r="AA156" s="22"/>
      <c r="AB156" s="16"/>
      <c r="AC156" s="16"/>
      <c r="AD156" s="16"/>
      <c r="AE156" s="16"/>
      <c r="AF156" s="16"/>
      <c r="AG156" s="16"/>
    </row>
    <row r="157" spans="1:33" x14ac:dyDescent="0.2">
      <c r="A157" s="16"/>
      <c r="B157" s="16"/>
      <c r="C157" s="78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22"/>
      <c r="R157" s="78"/>
      <c r="S157" s="22"/>
      <c r="T157" s="16"/>
      <c r="U157" s="37"/>
      <c r="V157" s="22"/>
      <c r="W157" s="16"/>
      <c r="X157" s="16"/>
      <c r="Y157" s="22"/>
      <c r="Z157" s="23"/>
      <c r="AA157" s="22"/>
      <c r="AB157" s="16"/>
      <c r="AC157" s="16"/>
      <c r="AD157" s="16"/>
      <c r="AE157" s="16"/>
      <c r="AF157" s="16"/>
      <c r="AG157" s="16"/>
    </row>
    <row r="158" spans="1:33" x14ac:dyDescent="0.2">
      <c r="A158" s="16"/>
      <c r="B158" s="16"/>
      <c r="C158" s="23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23"/>
      <c r="S158" s="22"/>
      <c r="T158" s="16"/>
      <c r="U158" s="37"/>
      <c r="V158" s="23"/>
      <c r="W158" s="16"/>
      <c r="X158" s="16"/>
      <c r="Y158" s="22"/>
      <c r="Z158" s="23"/>
      <c r="AA158" s="22"/>
      <c r="AB158" s="16"/>
      <c r="AC158" s="16"/>
      <c r="AD158" s="16"/>
      <c r="AE158" s="16"/>
      <c r="AF158" s="16"/>
      <c r="AG158" s="16"/>
    </row>
    <row r="159" spans="1:33" x14ac:dyDescent="0.2">
      <c r="A159" s="16"/>
      <c r="B159" s="16"/>
      <c r="C159" s="23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76"/>
      <c r="Q159" s="16"/>
      <c r="R159" s="23"/>
      <c r="S159" s="22"/>
      <c r="T159" s="63"/>
      <c r="U159" s="37"/>
      <c r="V159" s="23"/>
      <c r="W159" s="16"/>
      <c r="X159" s="16"/>
      <c r="Y159" s="22"/>
      <c r="Z159" s="23"/>
      <c r="AA159" s="22"/>
      <c r="AB159" s="16"/>
      <c r="AC159" s="16"/>
      <c r="AD159" s="16"/>
      <c r="AE159" s="16"/>
      <c r="AF159" s="16"/>
      <c r="AG159" s="16"/>
    </row>
    <row r="160" spans="1:33" x14ac:dyDescent="0.2">
      <c r="A160" s="16"/>
      <c r="B160" s="16"/>
      <c r="C160" s="23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76"/>
      <c r="R160" s="23"/>
      <c r="S160" s="22"/>
      <c r="T160" s="16"/>
      <c r="U160" s="52"/>
      <c r="V160" s="23"/>
      <c r="W160" s="16"/>
      <c r="X160" s="16"/>
      <c r="Y160" s="22"/>
      <c r="Z160" s="23"/>
      <c r="AA160" s="22"/>
      <c r="AB160" s="16"/>
      <c r="AC160" s="16"/>
      <c r="AD160" s="16"/>
      <c r="AE160" s="16"/>
      <c r="AF160" s="16"/>
      <c r="AG160" s="16"/>
    </row>
    <row r="161" spans="1:33" x14ac:dyDescent="0.2">
      <c r="A161" s="16"/>
      <c r="B161" s="16"/>
      <c r="C161" s="79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22"/>
      <c r="Q161" s="44"/>
      <c r="R161" s="79"/>
      <c r="S161" s="22"/>
      <c r="T161" s="16"/>
      <c r="U161" s="37"/>
      <c r="V161" s="23"/>
      <c r="W161" s="16"/>
      <c r="X161" s="16"/>
      <c r="Y161" s="22"/>
      <c r="Z161" s="23"/>
      <c r="AA161" s="22"/>
      <c r="AB161" s="16"/>
      <c r="AC161" s="16"/>
      <c r="AD161" s="16"/>
      <c r="AE161" s="16"/>
      <c r="AF161" s="16"/>
      <c r="AG161" s="16"/>
    </row>
    <row r="162" spans="1:33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37"/>
      <c r="Q162" s="37"/>
      <c r="R162" s="16"/>
      <c r="S162" s="38"/>
      <c r="T162" s="16"/>
      <c r="U162" s="37"/>
      <c r="V162" s="48"/>
      <c r="W162" s="16"/>
      <c r="X162" s="16"/>
      <c r="Y162" s="22"/>
      <c r="Z162" s="23"/>
      <c r="AA162" s="22"/>
      <c r="AB162" s="16"/>
      <c r="AC162" s="16"/>
      <c r="AD162" s="16"/>
      <c r="AE162" s="16"/>
      <c r="AF162" s="16"/>
      <c r="AG162" s="16"/>
    </row>
    <row r="163" spans="1:33" x14ac:dyDescent="0.2">
      <c r="A163" s="16"/>
      <c r="B163" s="16"/>
      <c r="C163" s="23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22"/>
      <c r="Q163" s="22"/>
      <c r="R163" s="23"/>
      <c r="S163" s="22"/>
      <c r="T163" s="16"/>
      <c r="U163" s="44"/>
      <c r="V163" s="23"/>
      <c r="W163" s="16"/>
      <c r="X163" s="16"/>
      <c r="Y163" s="22"/>
      <c r="Z163" s="23"/>
      <c r="AA163" s="22"/>
      <c r="AB163" s="16"/>
      <c r="AC163" s="16"/>
      <c r="AD163" s="16"/>
      <c r="AE163" s="16"/>
      <c r="AF163" s="16"/>
      <c r="AG163" s="16"/>
    </row>
    <row r="164" spans="1:33" x14ac:dyDescent="0.2">
      <c r="A164" s="16"/>
      <c r="B164" s="16"/>
      <c r="C164" s="23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22"/>
      <c r="Q164" s="22"/>
      <c r="R164" s="23"/>
      <c r="S164" s="22"/>
      <c r="T164" s="16"/>
      <c r="U164" s="22"/>
      <c r="V164" s="23"/>
      <c r="W164" s="16"/>
      <c r="X164" s="16"/>
      <c r="Y164" s="22"/>
      <c r="Z164" s="23"/>
      <c r="AA164" s="22"/>
      <c r="AB164" s="16"/>
      <c r="AC164" s="16"/>
      <c r="AD164" s="16"/>
      <c r="AE164" s="16"/>
      <c r="AF164" s="16"/>
      <c r="AG164" s="16"/>
    </row>
    <row r="165" spans="1:33" x14ac:dyDescent="0.2">
      <c r="A165" s="16"/>
      <c r="B165" s="35"/>
      <c r="C165" s="23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22"/>
      <c r="Q165" s="22"/>
      <c r="R165" s="23"/>
      <c r="S165" s="22"/>
      <c r="T165" s="16"/>
      <c r="U165" s="16"/>
      <c r="V165" s="23"/>
      <c r="W165" s="16"/>
      <c r="X165" s="16"/>
      <c r="Y165" s="22"/>
      <c r="Z165" s="23"/>
      <c r="AA165" s="22"/>
      <c r="AB165" s="16"/>
      <c r="AC165" s="16"/>
      <c r="AD165" s="16"/>
      <c r="AE165" s="16"/>
      <c r="AF165" s="16"/>
      <c r="AG165" s="16"/>
    </row>
    <row r="166" spans="1:33" x14ac:dyDescent="0.2">
      <c r="A166" s="16"/>
      <c r="B166" s="16"/>
      <c r="C166" s="5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22"/>
      <c r="Q166" s="22"/>
      <c r="R166" s="55"/>
      <c r="S166" s="22"/>
      <c r="T166" s="63"/>
      <c r="U166" s="16"/>
      <c r="V166" s="48"/>
      <c r="W166" s="16"/>
      <c r="X166" s="16"/>
      <c r="Y166" s="22"/>
      <c r="Z166" s="23"/>
      <c r="AA166" s="22"/>
      <c r="AB166" s="16"/>
      <c r="AC166" s="16"/>
      <c r="AD166" s="16"/>
      <c r="AE166" s="16"/>
      <c r="AF166" s="16"/>
      <c r="AG166" s="16"/>
    </row>
    <row r="167" spans="1:33" x14ac:dyDescent="0.2">
      <c r="A167" s="16"/>
      <c r="B167" s="16"/>
      <c r="C167" s="48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22"/>
      <c r="Q167" s="22"/>
      <c r="R167" s="48"/>
      <c r="S167" s="16"/>
      <c r="T167" s="63"/>
      <c r="U167" s="37"/>
      <c r="V167" s="48"/>
      <c r="W167" s="16"/>
      <c r="X167" s="16"/>
      <c r="Y167" s="22"/>
      <c r="Z167" s="23"/>
      <c r="AA167" s="22"/>
      <c r="AB167" s="16"/>
      <c r="AC167" s="16"/>
      <c r="AD167" s="16"/>
      <c r="AE167" s="16"/>
      <c r="AF167" s="16"/>
      <c r="AG167" s="16"/>
    </row>
    <row r="168" spans="1:33" x14ac:dyDescent="0.2">
      <c r="A168" s="16"/>
      <c r="B168" s="16"/>
      <c r="C168" s="79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22"/>
      <c r="Q168" s="22"/>
      <c r="R168" s="79"/>
      <c r="S168" s="37"/>
      <c r="T168" s="63"/>
      <c r="U168" s="37"/>
      <c r="V168" s="63"/>
      <c r="W168" s="16"/>
      <c r="X168" s="16"/>
      <c r="Y168" s="22"/>
      <c r="Z168" s="23"/>
      <c r="AA168" s="22"/>
      <c r="AB168" s="16"/>
      <c r="AC168" s="16"/>
      <c r="AD168" s="16"/>
      <c r="AE168" s="16"/>
      <c r="AF168" s="16"/>
      <c r="AG168" s="16"/>
    </row>
    <row r="169" spans="1:33" x14ac:dyDescent="0.2">
      <c r="A169" s="16"/>
      <c r="B169" s="16"/>
      <c r="C169" s="23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22"/>
      <c r="Q169" s="22"/>
      <c r="R169" s="23"/>
      <c r="S169" s="22"/>
      <c r="T169" s="63"/>
      <c r="U169" s="37"/>
      <c r="V169" s="23"/>
      <c r="W169" s="16"/>
      <c r="X169" s="16"/>
      <c r="Y169" s="22"/>
      <c r="Z169" s="23"/>
      <c r="AA169" s="22"/>
      <c r="AB169" s="16"/>
      <c r="AC169" s="16"/>
      <c r="AD169" s="16"/>
      <c r="AE169" s="16"/>
      <c r="AF169" s="16"/>
      <c r="AG169" s="16"/>
    </row>
    <row r="170" spans="1:33" x14ac:dyDescent="0.2">
      <c r="A170" s="16"/>
      <c r="B170" s="16"/>
      <c r="C170" s="23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22"/>
      <c r="Q170" s="22"/>
      <c r="R170" s="23"/>
      <c r="S170" s="22"/>
      <c r="T170" s="16"/>
      <c r="U170" s="37"/>
      <c r="V170" s="23"/>
      <c r="W170" s="16"/>
      <c r="X170" s="16"/>
      <c r="Y170" s="22"/>
      <c r="Z170" s="23"/>
      <c r="AA170" s="22"/>
      <c r="AB170" s="16"/>
      <c r="AC170" s="16"/>
      <c r="AD170" s="16"/>
      <c r="AE170" s="16"/>
      <c r="AF170" s="16"/>
      <c r="AG170" s="16"/>
    </row>
    <row r="171" spans="1:33" x14ac:dyDescent="0.2">
      <c r="A171" s="16"/>
      <c r="B171" s="16"/>
      <c r="C171" s="23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22"/>
      <c r="Q171" s="22"/>
      <c r="R171" s="23"/>
      <c r="S171" s="22"/>
      <c r="T171" s="16"/>
      <c r="U171" s="37"/>
      <c r="V171" s="23"/>
      <c r="W171" s="16"/>
      <c r="X171" s="16"/>
      <c r="Y171" s="22"/>
      <c r="Z171" s="23"/>
      <c r="AA171" s="22"/>
      <c r="AB171" s="16"/>
      <c r="AC171" s="16"/>
      <c r="AD171" s="16"/>
      <c r="AE171" s="16"/>
      <c r="AF171" s="16"/>
      <c r="AG171" s="16"/>
    </row>
    <row r="172" spans="1:33" x14ac:dyDescent="0.2">
      <c r="A172" s="16"/>
      <c r="B172" s="16"/>
      <c r="C172" s="23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22"/>
      <c r="Q172" s="22"/>
      <c r="R172" s="23"/>
      <c r="S172" s="22"/>
      <c r="T172" s="16"/>
      <c r="U172" s="37"/>
      <c r="V172" s="23"/>
      <c r="W172" s="16"/>
      <c r="X172" s="16"/>
      <c r="Y172" s="22"/>
      <c r="Z172" s="23"/>
      <c r="AA172" s="22"/>
      <c r="AB172" s="16"/>
      <c r="AC172" s="16"/>
      <c r="AD172" s="16"/>
      <c r="AE172" s="16"/>
      <c r="AF172" s="16"/>
      <c r="AG172" s="16"/>
    </row>
    <row r="173" spans="1:33" x14ac:dyDescent="0.2">
      <c r="A173" s="16"/>
      <c r="B173" s="16"/>
      <c r="C173" s="23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22"/>
      <c r="Q173" s="22"/>
      <c r="R173" s="23"/>
      <c r="S173" s="22"/>
      <c r="T173" s="16"/>
      <c r="U173" s="37"/>
      <c r="V173" s="23"/>
      <c r="W173" s="16"/>
      <c r="X173" s="16"/>
      <c r="Y173" s="22"/>
      <c r="Z173" s="23"/>
      <c r="AA173" s="22"/>
      <c r="AB173" s="16"/>
      <c r="AC173" s="16"/>
      <c r="AD173" s="16"/>
      <c r="AE173" s="16"/>
      <c r="AF173" s="16"/>
      <c r="AG173" s="16"/>
    </row>
    <row r="174" spans="1:33" x14ac:dyDescent="0.2">
      <c r="A174" s="16"/>
      <c r="B174" s="16"/>
      <c r="C174" s="2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22"/>
      <c r="Q174" s="22"/>
      <c r="R174" s="23"/>
      <c r="S174" s="22"/>
      <c r="T174" s="16"/>
      <c r="U174" s="37"/>
      <c r="V174" s="23"/>
      <c r="W174" s="16"/>
      <c r="X174" s="16"/>
      <c r="Y174" s="22"/>
      <c r="Z174" s="23"/>
      <c r="AA174" s="22"/>
      <c r="AB174" s="16"/>
      <c r="AC174" s="16"/>
      <c r="AD174" s="16"/>
      <c r="AE174" s="16"/>
      <c r="AF174" s="16"/>
      <c r="AG174" s="16"/>
    </row>
    <row r="175" spans="1:33" x14ac:dyDescent="0.2">
      <c r="A175" s="16"/>
      <c r="B175" s="16"/>
      <c r="C175" s="23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22"/>
      <c r="Q175" s="22"/>
      <c r="R175" s="23"/>
      <c r="S175" s="22"/>
      <c r="T175" s="16"/>
      <c r="U175" s="37"/>
      <c r="V175" s="23"/>
      <c r="W175" s="16"/>
      <c r="X175" s="16"/>
      <c r="Y175" s="22"/>
      <c r="Z175" s="23"/>
      <c r="AA175" s="22"/>
      <c r="AB175" s="16"/>
      <c r="AC175" s="16"/>
      <c r="AD175" s="16"/>
      <c r="AE175" s="16"/>
      <c r="AF175" s="16"/>
      <c r="AG175" s="16"/>
    </row>
    <row r="176" spans="1:33" x14ac:dyDescent="0.2">
      <c r="A176" s="16"/>
      <c r="B176" s="16"/>
      <c r="C176" s="23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22"/>
      <c r="Q176" s="22"/>
      <c r="R176" s="23"/>
      <c r="S176" s="22"/>
      <c r="T176" s="16"/>
      <c r="U176" s="37"/>
      <c r="V176" s="23"/>
      <c r="W176" s="16"/>
      <c r="X176" s="16"/>
      <c r="Y176" s="22"/>
      <c r="Z176" s="23"/>
      <c r="AA176" s="22"/>
      <c r="AB176" s="16"/>
      <c r="AC176" s="16"/>
      <c r="AD176" s="16"/>
      <c r="AE176" s="16"/>
      <c r="AF176" s="16"/>
      <c r="AG176" s="16"/>
    </row>
    <row r="177" spans="1:33" x14ac:dyDescent="0.2">
      <c r="A177" s="16"/>
      <c r="B177" s="16"/>
      <c r="C177" s="23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22"/>
      <c r="Q177" s="22"/>
      <c r="R177" s="23"/>
      <c r="S177" s="22"/>
      <c r="T177" s="16"/>
      <c r="U177" s="37"/>
      <c r="V177" s="23"/>
      <c r="W177" s="16"/>
      <c r="X177" s="16"/>
      <c r="Y177" s="22"/>
      <c r="Z177" s="23"/>
      <c r="AA177" s="22"/>
      <c r="AB177" s="16"/>
      <c r="AC177" s="16"/>
      <c r="AD177" s="16"/>
      <c r="AE177" s="16"/>
      <c r="AF177" s="16"/>
      <c r="AG177" s="16"/>
    </row>
    <row r="178" spans="1:33" x14ac:dyDescent="0.2">
      <c r="A178" s="16"/>
      <c r="B178" s="16"/>
      <c r="C178" s="23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22"/>
      <c r="Q178" s="22"/>
      <c r="R178" s="23"/>
      <c r="S178" s="22"/>
      <c r="T178" s="16"/>
      <c r="U178" s="37"/>
      <c r="V178" s="23"/>
      <c r="W178" s="16"/>
      <c r="X178" s="16"/>
      <c r="Y178" s="22"/>
      <c r="Z178" s="23"/>
      <c r="AA178" s="22"/>
      <c r="AB178" s="16"/>
      <c r="AC178" s="16"/>
      <c r="AD178" s="16"/>
      <c r="AE178" s="16"/>
      <c r="AF178" s="16"/>
      <c r="AG178" s="16"/>
    </row>
    <row r="179" spans="1:33" x14ac:dyDescent="0.2">
      <c r="A179" s="16"/>
      <c r="B179" s="16"/>
      <c r="C179" s="23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22"/>
      <c r="Q179" s="22"/>
      <c r="R179" s="23"/>
      <c r="S179" s="22"/>
      <c r="T179" s="16"/>
      <c r="U179" s="37"/>
      <c r="V179" s="23"/>
      <c r="W179" s="16"/>
      <c r="X179" s="16"/>
      <c r="Y179" s="22"/>
      <c r="Z179" s="23"/>
      <c r="AA179" s="22"/>
      <c r="AB179" s="16"/>
      <c r="AC179" s="16"/>
      <c r="AD179" s="16"/>
      <c r="AE179" s="16"/>
      <c r="AF179" s="16"/>
      <c r="AG179" s="16"/>
    </row>
    <row r="180" spans="1:33" x14ac:dyDescent="0.2">
      <c r="A180" s="16"/>
      <c r="B180" s="16"/>
      <c r="C180" s="23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22"/>
      <c r="Q180" s="22"/>
      <c r="R180" s="23"/>
      <c r="S180" s="22"/>
      <c r="T180" s="16"/>
      <c r="U180" s="37"/>
      <c r="V180" s="23"/>
      <c r="W180" s="16"/>
      <c r="X180" s="16"/>
      <c r="Y180" s="22"/>
      <c r="Z180" s="23"/>
      <c r="AA180" s="22"/>
      <c r="AB180" s="16"/>
      <c r="AC180" s="16"/>
      <c r="AD180" s="16"/>
      <c r="AE180" s="16"/>
      <c r="AF180" s="16"/>
      <c r="AG180" s="16"/>
    </row>
    <row r="181" spans="1:33" x14ac:dyDescent="0.2">
      <c r="A181" s="16"/>
      <c r="B181" s="16"/>
      <c r="C181" s="23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22"/>
      <c r="Q181" s="22"/>
      <c r="R181" s="23"/>
      <c r="S181" s="22"/>
      <c r="T181" s="16"/>
      <c r="U181" s="37"/>
      <c r="V181" s="23"/>
      <c r="W181" s="16"/>
      <c r="X181" s="16"/>
      <c r="Y181" s="22"/>
      <c r="Z181" s="23"/>
      <c r="AA181" s="22"/>
      <c r="AB181" s="16"/>
      <c r="AC181" s="16"/>
      <c r="AD181" s="16"/>
      <c r="AE181" s="16"/>
      <c r="AF181" s="16"/>
      <c r="AG181" s="16"/>
    </row>
    <row r="182" spans="1:33" x14ac:dyDescent="0.2">
      <c r="A182" s="16"/>
      <c r="B182" s="16"/>
      <c r="C182" s="23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22"/>
      <c r="Q182" s="22"/>
      <c r="R182" s="23"/>
      <c r="S182" s="22"/>
      <c r="T182" s="16"/>
      <c r="U182" s="37"/>
      <c r="V182" s="23"/>
      <c r="W182" s="16"/>
      <c r="X182" s="16"/>
      <c r="Y182" s="22"/>
      <c r="Z182" s="23"/>
      <c r="AA182" s="22"/>
      <c r="AB182" s="16"/>
      <c r="AC182" s="16"/>
      <c r="AD182" s="16"/>
      <c r="AE182" s="16"/>
      <c r="AF182" s="16"/>
      <c r="AG182" s="16"/>
    </row>
    <row r="183" spans="1:33" x14ac:dyDescent="0.2">
      <c r="A183" s="16"/>
      <c r="B183" s="16"/>
      <c r="C183" s="78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22"/>
      <c r="Q183" s="22"/>
      <c r="R183" s="78"/>
      <c r="S183" s="22"/>
      <c r="T183" s="16"/>
      <c r="U183" s="37"/>
      <c r="V183" s="23"/>
      <c r="W183" s="16"/>
      <c r="X183" s="16"/>
      <c r="Y183" s="22"/>
      <c r="Z183" s="23"/>
      <c r="AA183" s="22"/>
      <c r="AB183" s="16"/>
      <c r="AC183" s="16"/>
      <c r="AD183" s="16"/>
      <c r="AE183" s="16"/>
      <c r="AF183" s="16"/>
      <c r="AG183" s="16"/>
    </row>
    <row r="184" spans="1:33" x14ac:dyDescent="0.2">
      <c r="A184" s="16"/>
      <c r="B184" s="16"/>
      <c r="C184" s="23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22"/>
      <c r="Q184" s="22"/>
      <c r="R184" s="23"/>
      <c r="S184" s="22"/>
      <c r="T184" s="16"/>
      <c r="U184" s="37"/>
      <c r="V184" s="22"/>
      <c r="W184" s="37"/>
      <c r="X184" s="16"/>
      <c r="Y184" s="22"/>
      <c r="Z184" s="23"/>
      <c r="AA184" s="22"/>
      <c r="AB184" s="16"/>
      <c r="AC184" s="16"/>
      <c r="AD184" s="16"/>
      <c r="AE184" s="16"/>
      <c r="AF184" s="16"/>
      <c r="AG184" s="16"/>
    </row>
    <row r="185" spans="1:33" x14ac:dyDescent="0.2">
      <c r="A185" s="16"/>
      <c r="B185" s="16"/>
      <c r="C185" s="78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22"/>
      <c r="Q185" s="22"/>
      <c r="R185" s="78"/>
      <c r="S185" s="22"/>
      <c r="T185" s="16"/>
      <c r="U185" s="37"/>
      <c r="V185" s="22"/>
      <c r="W185" s="37"/>
      <c r="X185" s="16"/>
      <c r="Y185" s="22"/>
      <c r="Z185" s="23"/>
      <c r="AA185" s="22"/>
      <c r="AB185" s="16"/>
      <c r="AC185" s="16"/>
      <c r="AD185" s="16"/>
      <c r="AE185" s="16"/>
      <c r="AF185" s="16"/>
      <c r="AG185" s="16"/>
    </row>
    <row r="186" spans="1:33" x14ac:dyDescent="0.2">
      <c r="A186" s="16"/>
      <c r="B186" s="16"/>
      <c r="C186" s="23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22"/>
      <c r="Q186" s="22"/>
      <c r="R186" s="23"/>
      <c r="S186" s="22"/>
      <c r="T186" s="16"/>
      <c r="U186" s="37"/>
      <c r="V186" s="23"/>
      <c r="W186" s="16"/>
      <c r="X186" s="16"/>
      <c r="Y186" s="22"/>
      <c r="Z186" s="23"/>
      <c r="AA186" s="22"/>
      <c r="AB186" s="16"/>
      <c r="AC186" s="16"/>
      <c r="AD186" s="16"/>
      <c r="AE186" s="16"/>
      <c r="AF186" s="16"/>
      <c r="AG186" s="16"/>
    </row>
    <row r="187" spans="1:33" x14ac:dyDescent="0.2">
      <c r="A187" s="16"/>
      <c r="B187" s="16"/>
      <c r="C187" s="78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22"/>
      <c r="Q187" s="22"/>
      <c r="R187" s="78"/>
      <c r="S187" s="22"/>
      <c r="T187" s="16"/>
      <c r="U187" s="37"/>
      <c r="V187" s="23"/>
      <c r="W187" s="16"/>
      <c r="X187" s="16"/>
      <c r="Y187" s="22"/>
      <c r="Z187" s="23"/>
      <c r="AA187" s="22"/>
      <c r="AB187" s="16"/>
      <c r="AC187" s="16"/>
      <c r="AD187" s="16"/>
      <c r="AE187" s="16"/>
      <c r="AF187" s="16"/>
      <c r="AG187" s="16"/>
    </row>
    <row r="188" spans="1:33" x14ac:dyDescent="0.2">
      <c r="A188" s="16"/>
      <c r="B188" s="16"/>
      <c r="C188" s="23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22"/>
      <c r="Q188" s="22"/>
      <c r="R188" s="23"/>
      <c r="S188" s="22"/>
      <c r="T188" s="16"/>
      <c r="U188" s="37"/>
      <c r="V188" s="23"/>
      <c r="W188" s="16"/>
      <c r="X188" s="16"/>
      <c r="Y188" s="22"/>
      <c r="Z188" s="23"/>
      <c r="AA188" s="22"/>
      <c r="AB188" s="16"/>
      <c r="AC188" s="16"/>
      <c r="AD188" s="16"/>
      <c r="AE188" s="16"/>
      <c r="AF188" s="16"/>
      <c r="AG188" s="16"/>
    </row>
    <row r="189" spans="1:33" x14ac:dyDescent="0.2">
      <c r="A189" s="16"/>
      <c r="B189" s="16"/>
      <c r="C189" s="78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22"/>
      <c r="Q189" s="22"/>
      <c r="R189" s="78"/>
      <c r="S189" s="22"/>
      <c r="T189" s="16"/>
      <c r="U189" s="37"/>
      <c r="V189" s="23"/>
      <c r="W189" s="16"/>
      <c r="X189" s="16"/>
      <c r="Y189" s="22"/>
      <c r="Z189" s="23"/>
      <c r="AA189" s="22"/>
      <c r="AB189" s="16"/>
      <c r="AC189" s="16"/>
      <c r="AD189" s="16"/>
      <c r="AE189" s="16"/>
      <c r="AF189" s="16"/>
      <c r="AG189" s="16"/>
    </row>
    <row r="190" spans="1:33" x14ac:dyDescent="0.2">
      <c r="A190" s="16"/>
      <c r="B190" s="16"/>
      <c r="C190" s="23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22"/>
      <c r="Q190" s="22"/>
      <c r="R190" s="23"/>
      <c r="S190" s="22"/>
      <c r="T190" s="16"/>
      <c r="U190" s="37"/>
      <c r="V190" s="23"/>
      <c r="W190" s="16"/>
      <c r="X190" s="16"/>
      <c r="Y190" s="22"/>
      <c r="Z190" s="23"/>
      <c r="AA190" s="22"/>
      <c r="AB190" s="16"/>
      <c r="AC190" s="16"/>
      <c r="AD190" s="16"/>
      <c r="AE190" s="16"/>
      <c r="AF190" s="16"/>
      <c r="AG190" s="16"/>
    </row>
    <row r="191" spans="1:33" x14ac:dyDescent="0.2">
      <c r="A191" s="16"/>
      <c r="B191" s="16"/>
      <c r="C191" s="23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22"/>
      <c r="Q191" s="22"/>
      <c r="R191" s="23"/>
      <c r="S191" s="22"/>
      <c r="T191" s="16"/>
      <c r="U191" s="37"/>
      <c r="V191" s="23"/>
      <c r="W191" s="16"/>
      <c r="X191" s="16"/>
      <c r="Y191" s="22"/>
      <c r="Z191" s="23"/>
      <c r="AA191" s="22"/>
      <c r="AB191" s="16"/>
      <c r="AC191" s="16"/>
      <c r="AD191" s="16"/>
      <c r="AE191" s="16"/>
      <c r="AF191" s="16"/>
      <c r="AG191" s="16"/>
    </row>
    <row r="192" spans="1:33" x14ac:dyDescent="0.2">
      <c r="A192" s="16"/>
      <c r="B192" s="16"/>
      <c r="C192" s="23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22"/>
      <c r="Q192" s="22"/>
      <c r="R192" s="23"/>
      <c r="S192" s="22"/>
      <c r="T192" s="16"/>
      <c r="U192" s="37"/>
      <c r="V192" s="23"/>
      <c r="W192" s="16"/>
      <c r="X192" s="16"/>
      <c r="Y192" s="22"/>
      <c r="Z192" s="23"/>
      <c r="AA192" s="22"/>
      <c r="AB192" s="16"/>
      <c r="AC192" s="16"/>
      <c r="AD192" s="16"/>
      <c r="AE192" s="16"/>
      <c r="AF192" s="16"/>
      <c r="AG192" s="16"/>
    </row>
    <row r="193" spans="1:33" x14ac:dyDescent="0.2">
      <c r="A193" s="16"/>
      <c r="B193" s="16"/>
      <c r="C193" s="79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22"/>
      <c r="Q193" s="22"/>
      <c r="R193" s="79"/>
      <c r="S193" s="22"/>
      <c r="T193" s="16"/>
      <c r="U193" s="37"/>
      <c r="V193" s="23"/>
      <c r="W193" s="16"/>
      <c r="X193" s="16"/>
      <c r="Y193" s="22"/>
      <c r="Z193" s="23"/>
      <c r="AA193" s="22"/>
      <c r="AB193" s="16"/>
      <c r="AC193" s="16"/>
      <c r="AD193" s="16"/>
      <c r="AE193" s="16"/>
      <c r="AF193" s="16"/>
      <c r="AG193" s="16"/>
    </row>
    <row r="194" spans="1:33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37"/>
      <c r="Q194" s="37"/>
      <c r="R194" s="16"/>
      <c r="S194" s="38"/>
      <c r="T194" s="16"/>
      <c r="U194" s="37"/>
      <c r="V194" s="23"/>
      <c r="W194" s="16"/>
      <c r="X194" s="16"/>
      <c r="Y194" s="22"/>
      <c r="Z194" s="23"/>
      <c r="AA194" s="22"/>
      <c r="AB194" s="16"/>
      <c r="AC194" s="16"/>
      <c r="AD194" s="16"/>
      <c r="AE194" s="16"/>
      <c r="AF194" s="16"/>
      <c r="AG194" s="16"/>
    </row>
    <row r="195" spans="1:33" x14ac:dyDescent="0.2">
      <c r="A195" s="16"/>
      <c r="B195" s="16"/>
      <c r="C195" s="55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22"/>
      <c r="Q195" s="22"/>
      <c r="R195" s="55"/>
      <c r="S195" s="22"/>
      <c r="T195" s="16"/>
      <c r="U195" s="16"/>
      <c r="V195" s="23"/>
      <c r="W195" s="16"/>
      <c r="X195" s="16"/>
      <c r="Y195" s="22"/>
      <c r="Z195" s="24"/>
      <c r="AA195" s="21"/>
      <c r="AB195" s="16"/>
      <c r="AC195" s="16"/>
      <c r="AD195" s="16"/>
      <c r="AE195" s="16"/>
      <c r="AF195" s="16"/>
      <c r="AG195" s="16"/>
    </row>
    <row r="196" spans="1:33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37"/>
      <c r="R196" s="16"/>
      <c r="S196" s="16"/>
      <c r="T196" s="16"/>
      <c r="U196" s="16"/>
      <c r="V196" s="23"/>
      <c r="W196" s="16"/>
      <c r="X196" s="16"/>
      <c r="Y196" s="22"/>
      <c r="Z196" s="23"/>
      <c r="AA196" s="22"/>
      <c r="AB196" s="16"/>
      <c r="AC196" s="16"/>
      <c r="AD196" s="16"/>
      <c r="AE196" s="16"/>
      <c r="AF196" s="16"/>
      <c r="AG196" s="16"/>
    </row>
    <row r="197" spans="1:33" x14ac:dyDescent="0.2">
      <c r="A197" s="16"/>
      <c r="B197" s="16"/>
      <c r="C197" s="23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22"/>
      <c r="Q197" s="22"/>
      <c r="R197" s="23"/>
      <c r="S197" s="22"/>
      <c r="T197" s="16"/>
      <c r="U197" s="16"/>
      <c r="V197" s="23"/>
      <c r="W197" s="16"/>
      <c r="X197" s="16"/>
      <c r="Y197" s="22"/>
      <c r="Z197" s="16"/>
      <c r="AA197" s="16"/>
      <c r="AB197" s="16"/>
      <c r="AC197" s="16"/>
      <c r="AD197" s="16"/>
      <c r="AE197" s="16"/>
      <c r="AF197" s="16"/>
      <c r="AG197" s="16"/>
    </row>
    <row r="198" spans="1:33" x14ac:dyDescent="0.2">
      <c r="A198" s="16"/>
      <c r="B198" s="41"/>
      <c r="C198" s="23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22"/>
      <c r="Q198" s="22"/>
      <c r="R198" s="23"/>
      <c r="S198" s="21"/>
      <c r="T198" s="16"/>
      <c r="U198" s="22"/>
      <c r="V198" s="23"/>
      <c r="W198" s="16"/>
      <c r="X198" s="16"/>
      <c r="Y198" s="22"/>
      <c r="Z198" s="16"/>
      <c r="AA198" s="15"/>
      <c r="AB198" s="16"/>
      <c r="AC198" s="16"/>
      <c r="AD198" s="16"/>
      <c r="AE198" s="16"/>
      <c r="AF198" s="16"/>
      <c r="AG198" s="16"/>
    </row>
    <row r="199" spans="1:33" x14ac:dyDescent="0.2">
      <c r="A199" s="16"/>
      <c r="B199" s="16"/>
      <c r="C199" s="23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22"/>
      <c r="Q199" s="22"/>
      <c r="R199" s="23"/>
      <c r="S199" s="22"/>
      <c r="T199" s="16"/>
      <c r="U199" s="16"/>
      <c r="V199" s="23"/>
      <c r="W199" s="16"/>
      <c r="X199" s="16"/>
      <c r="Y199" s="22"/>
      <c r="Z199" s="15"/>
      <c r="AA199" s="15"/>
      <c r="AB199" s="16"/>
      <c r="AC199" s="16"/>
      <c r="AD199" s="16"/>
      <c r="AE199" s="16"/>
      <c r="AF199" s="16"/>
      <c r="AG199" s="16"/>
    </row>
    <row r="200" spans="1:33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22"/>
      <c r="Q200" s="23"/>
      <c r="R200" s="16"/>
      <c r="S200" s="22"/>
      <c r="T200" s="16"/>
      <c r="U200" s="63"/>
      <c r="V200" s="23"/>
      <c r="W200" s="16"/>
      <c r="X200" s="16"/>
      <c r="Y200" s="22"/>
      <c r="Z200" s="16"/>
      <c r="AA200" s="16"/>
      <c r="AB200" s="16"/>
      <c r="AC200" s="16"/>
      <c r="AD200" s="16"/>
      <c r="AE200" s="16"/>
      <c r="AF200" s="16"/>
      <c r="AG200" s="16"/>
    </row>
    <row r="201" spans="1:33" x14ac:dyDescent="0.2">
      <c r="A201" s="16"/>
      <c r="B201" s="16"/>
      <c r="C201" s="23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22"/>
      <c r="Q201" s="22"/>
      <c r="R201" s="23"/>
      <c r="S201" s="22"/>
      <c r="T201" s="16"/>
      <c r="U201" s="16"/>
      <c r="V201" s="23"/>
      <c r="W201" s="16"/>
      <c r="X201" s="16"/>
      <c r="Y201" s="22"/>
      <c r="Z201" s="16"/>
      <c r="AA201" s="16"/>
      <c r="AB201" s="16"/>
      <c r="AC201" s="16"/>
      <c r="AD201" s="16"/>
      <c r="AE201" s="16"/>
      <c r="AF201" s="16"/>
      <c r="AG201" s="16"/>
    </row>
    <row r="202" spans="1:33" x14ac:dyDescent="0.2">
      <c r="A202" s="16"/>
      <c r="B202" s="16"/>
      <c r="C202" s="48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80"/>
      <c r="Q202" s="22"/>
      <c r="R202" s="48"/>
      <c r="S202" s="22"/>
      <c r="T202" s="16"/>
      <c r="U202" s="16"/>
      <c r="V202" s="23"/>
      <c r="W202" s="16"/>
      <c r="X202" s="16"/>
      <c r="Y202" s="22"/>
      <c r="Z202" s="16"/>
      <c r="AA202" s="16"/>
      <c r="AB202" s="16"/>
      <c r="AC202" s="16"/>
      <c r="AD202" s="16"/>
      <c r="AE202" s="16"/>
      <c r="AF202" s="16"/>
      <c r="AG202" s="16"/>
    </row>
    <row r="203" spans="1:33" x14ac:dyDescent="0.2">
      <c r="A203" s="16"/>
      <c r="B203" s="41"/>
      <c r="C203" s="16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22"/>
      <c r="Q203" s="16"/>
      <c r="R203" s="16"/>
      <c r="S203" s="22"/>
      <c r="T203" s="16"/>
      <c r="U203" s="16"/>
      <c r="V203" s="23"/>
      <c r="W203" s="16"/>
      <c r="X203" s="16"/>
      <c r="Y203" s="22"/>
      <c r="Z203" s="16"/>
      <c r="AA203" s="16"/>
      <c r="AB203" s="16"/>
      <c r="AC203" s="16"/>
      <c r="AD203" s="16"/>
      <c r="AE203" s="16"/>
      <c r="AF203" s="16"/>
      <c r="AG203" s="16"/>
    </row>
    <row r="204" spans="1:33" x14ac:dyDescent="0.2">
      <c r="A204" s="16"/>
      <c r="B204" s="41"/>
      <c r="C204" s="16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22"/>
      <c r="Q204" s="22"/>
      <c r="R204" s="16"/>
      <c r="S204" s="22"/>
      <c r="T204" s="16"/>
      <c r="U204" s="16"/>
      <c r="V204" s="23"/>
      <c r="W204" s="16"/>
      <c r="X204" s="16"/>
      <c r="Y204" s="22"/>
      <c r="Z204" s="16"/>
      <c r="AA204" s="16"/>
      <c r="AB204" s="16"/>
      <c r="AC204" s="16"/>
      <c r="AD204" s="16"/>
      <c r="AE204" s="16"/>
      <c r="AF204" s="16"/>
      <c r="AG204" s="16"/>
    </row>
    <row r="205" spans="1:33" x14ac:dyDescent="0.2">
      <c r="A205" s="16"/>
      <c r="B205" s="16"/>
      <c r="C205" s="23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22"/>
      <c r="Q205" s="22"/>
      <c r="R205" s="23"/>
      <c r="S205" s="22"/>
      <c r="T205" s="16"/>
      <c r="U205" s="22"/>
      <c r="V205" s="23"/>
      <c r="W205" s="16"/>
      <c r="X205" s="16"/>
      <c r="Y205" s="22"/>
      <c r="Z205" s="16"/>
      <c r="AA205" s="16"/>
      <c r="AB205" s="16"/>
      <c r="AC205" s="16"/>
      <c r="AD205" s="16"/>
      <c r="AE205" s="16"/>
      <c r="AF205" s="16"/>
      <c r="AG205" s="16"/>
    </row>
    <row r="206" spans="1:33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22"/>
      <c r="Q206" s="16"/>
      <c r="R206" s="16"/>
      <c r="S206" s="16"/>
      <c r="T206" s="16"/>
      <c r="U206" s="22"/>
      <c r="V206" s="23"/>
      <c r="W206" s="16"/>
      <c r="X206" s="16"/>
      <c r="Y206" s="22"/>
      <c r="Z206" s="16"/>
      <c r="AA206" s="16"/>
      <c r="AB206" s="16"/>
      <c r="AC206" s="16"/>
      <c r="AD206" s="16"/>
      <c r="AE206" s="16"/>
      <c r="AF206" s="16"/>
      <c r="AG206" s="16"/>
    </row>
    <row r="207" spans="1:33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22"/>
      <c r="Q207" s="16"/>
      <c r="R207" s="16"/>
      <c r="S207" s="37"/>
      <c r="T207" s="16"/>
      <c r="U207" s="22"/>
      <c r="V207" s="62"/>
      <c r="W207" s="16"/>
      <c r="X207" s="16"/>
      <c r="Y207" s="22"/>
      <c r="Z207" s="16"/>
      <c r="AA207" s="16"/>
      <c r="AB207" s="16"/>
      <c r="AC207" s="16"/>
      <c r="AD207" s="16"/>
      <c r="AE207" s="16"/>
      <c r="AF207" s="16"/>
      <c r="AG207" s="16"/>
    </row>
    <row r="208" spans="1:33" x14ac:dyDescent="0.2">
      <c r="A208" s="16"/>
      <c r="B208" s="16"/>
      <c r="C208" s="27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22"/>
      <c r="Q208" s="22"/>
      <c r="R208" s="27"/>
      <c r="S208" s="22"/>
      <c r="T208" s="16"/>
      <c r="U208" s="16"/>
      <c r="V208" s="23"/>
      <c r="W208" s="16"/>
      <c r="X208" s="16"/>
      <c r="Y208" s="22"/>
      <c r="Z208" s="16"/>
      <c r="AA208" s="16"/>
      <c r="AB208" s="16"/>
      <c r="AC208" s="16"/>
      <c r="AD208" s="16"/>
      <c r="AE208" s="16"/>
      <c r="AF208" s="16"/>
      <c r="AG208" s="16"/>
    </row>
    <row r="209" spans="1:33" x14ac:dyDescent="0.2">
      <c r="A209" s="16"/>
      <c r="B209" s="16"/>
      <c r="C209" s="53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37"/>
      <c r="Q209" s="30"/>
      <c r="R209" s="53"/>
      <c r="S209" s="30"/>
      <c r="T209" s="16"/>
      <c r="U209" s="16"/>
      <c r="V209" s="23"/>
      <c r="W209" s="16"/>
      <c r="X209" s="16"/>
      <c r="Y209" s="22"/>
      <c r="Z209" s="16"/>
      <c r="AA209" s="16"/>
      <c r="AB209" s="37"/>
      <c r="AC209" s="16"/>
      <c r="AD209" s="16"/>
      <c r="AE209" s="16"/>
      <c r="AF209" s="16"/>
      <c r="AG209" s="16"/>
    </row>
    <row r="210" spans="1:33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37"/>
      <c r="Q210" s="37"/>
      <c r="R210" s="16"/>
      <c r="S210" s="30"/>
      <c r="T210" s="16"/>
      <c r="U210" s="61"/>
      <c r="V210" s="23"/>
      <c r="W210" s="16"/>
      <c r="X210" s="16"/>
      <c r="Y210" s="22"/>
      <c r="Z210" s="16"/>
      <c r="AA210" s="16"/>
      <c r="AB210" s="37"/>
      <c r="AC210" s="16"/>
      <c r="AD210" s="16"/>
      <c r="AE210" s="16"/>
      <c r="AF210" s="16"/>
      <c r="AG210" s="16"/>
    </row>
    <row r="211" spans="1:33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22"/>
      <c r="R211" s="16"/>
      <c r="S211" s="30"/>
      <c r="T211" s="16"/>
      <c r="U211" s="16"/>
      <c r="V211" s="23"/>
      <c r="W211" s="16"/>
      <c r="X211" s="16"/>
      <c r="Y211" s="22"/>
      <c r="Z211" s="16"/>
      <c r="AA211" s="16"/>
      <c r="AB211" s="37"/>
      <c r="AC211" s="16"/>
      <c r="AD211" s="16"/>
      <c r="AE211" s="16"/>
      <c r="AF211" s="16"/>
      <c r="AG211" s="16"/>
    </row>
    <row r="212" spans="1:33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22"/>
      <c r="Q212" s="22"/>
      <c r="R212" s="16"/>
      <c r="S212" s="30"/>
      <c r="T212" s="16"/>
      <c r="U212" s="16"/>
      <c r="V212" s="23"/>
      <c r="W212" s="16"/>
      <c r="X212" s="16"/>
      <c r="Y212" s="22"/>
      <c r="Z212" s="16"/>
      <c r="AA212" s="16"/>
      <c r="AB212" s="16"/>
      <c r="AC212" s="16"/>
      <c r="AD212" s="16"/>
      <c r="AE212" s="16"/>
      <c r="AF212" s="16"/>
      <c r="AG212" s="16"/>
    </row>
    <row r="213" spans="1:33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22"/>
      <c r="Q213" s="22"/>
      <c r="R213" s="16"/>
      <c r="S213" s="30"/>
      <c r="T213" s="16"/>
      <c r="U213" s="37"/>
      <c r="V213" s="23"/>
      <c r="W213" s="16"/>
      <c r="X213" s="16"/>
      <c r="Y213" s="22"/>
      <c r="Z213" s="16"/>
      <c r="AA213" s="16"/>
      <c r="AB213" s="16"/>
      <c r="AC213" s="16"/>
      <c r="AD213" s="16"/>
      <c r="AE213" s="16"/>
      <c r="AF213" s="16"/>
      <c r="AG213" s="16"/>
    </row>
    <row r="214" spans="1:33" x14ac:dyDescent="0.2">
      <c r="A214" s="16"/>
      <c r="B214" s="54"/>
      <c r="C214" s="55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22"/>
      <c r="Q214" s="22"/>
      <c r="R214" s="55"/>
      <c r="S214" s="21"/>
      <c r="T214" s="16"/>
      <c r="U214" s="16"/>
      <c r="V214" s="23"/>
      <c r="W214" s="16"/>
      <c r="X214" s="16"/>
      <c r="Y214" s="22"/>
      <c r="Z214" s="16"/>
      <c r="AA214" s="16"/>
      <c r="AB214" s="16"/>
      <c r="AC214" s="16"/>
      <c r="AD214" s="16"/>
      <c r="AE214" s="16"/>
      <c r="AF214" s="16"/>
      <c r="AG214" s="16"/>
    </row>
    <row r="215" spans="1:33" x14ac:dyDescent="0.2">
      <c r="A215" s="16"/>
      <c r="B215" s="16"/>
      <c r="C215" s="55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22"/>
      <c r="Q215" s="22"/>
      <c r="R215" s="55"/>
      <c r="S215" s="21"/>
      <c r="T215" s="16"/>
      <c r="U215" s="37"/>
      <c r="V215" s="23"/>
      <c r="W215" s="16"/>
      <c r="X215" s="16"/>
      <c r="Y215" s="22"/>
      <c r="Z215" s="16"/>
      <c r="AA215" s="16"/>
      <c r="AB215" s="16"/>
      <c r="AC215" s="16"/>
      <c r="AD215" s="16"/>
      <c r="AE215" s="16"/>
      <c r="AF215" s="16"/>
      <c r="AG215" s="16"/>
    </row>
    <row r="216" spans="1:33" x14ac:dyDescent="0.2">
      <c r="A216" s="16"/>
      <c r="B216" s="16"/>
      <c r="C216" s="5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22"/>
      <c r="Q216" s="22"/>
      <c r="R216" s="56"/>
      <c r="S216" s="22"/>
      <c r="T216" s="16"/>
      <c r="U216" s="16"/>
      <c r="V216" s="23"/>
      <c r="W216" s="16"/>
      <c r="X216" s="16"/>
      <c r="Y216" s="22"/>
      <c r="Z216" s="16"/>
      <c r="AA216" s="16"/>
      <c r="AB216" s="16"/>
      <c r="AC216" s="16"/>
      <c r="AD216" s="16"/>
      <c r="AE216" s="16"/>
      <c r="AF216" s="16"/>
      <c r="AG216" s="16"/>
    </row>
    <row r="217" spans="1:33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22"/>
      <c r="R217" s="16"/>
      <c r="S217" s="22"/>
      <c r="T217" s="16"/>
      <c r="U217" s="16"/>
      <c r="V217" s="23"/>
      <c r="W217" s="16"/>
      <c r="X217" s="16"/>
      <c r="Y217" s="22"/>
      <c r="Z217" s="16"/>
      <c r="AA217" s="16"/>
      <c r="AB217" s="16"/>
      <c r="AC217" s="16"/>
      <c r="AD217" s="16"/>
      <c r="AE217" s="16"/>
      <c r="AF217" s="16"/>
      <c r="AG217" s="16"/>
    </row>
    <row r="218" spans="1:33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22"/>
      <c r="R218" s="16"/>
      <c r="S218" s="22"/>
      <c r="T218" s="16"/>
      <c r="U218" s="16"/>
      <c r="V218" s="23"/>
      <c r="W218" s="16"/>
      <c r="X218" s="16"/>
      <c r="Y218" s="22"/>
      <c r="Z218" s="16"/>
      <c r="AA218" s="16"/>
      <c r="AB218" s="16"/>
      <c r="AC218" s="16"/>
      <c r="AD218" s="16"/>
      <c r="AE218" s="16"/>
      <c r="AF218" s="16"/>
      <c r="AG218" s="16"/>
    </row>
    <row r="219" spans="1:33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22"/>
      <c r="R219" s="16"/>
      <c r="S219" s="22"/>
      <c r="T219" s="29"/>
      <c r="U219" s="16"/>
      <c r="V219" s="23"/>
      <c r="W219" s="16"/>
      <c r="X219" s="16"/>
      <c r="Y219" s="22"/>
      <c r="Z219" s="16"/>
      <c r="AA219" s="16"/>
      <c r="AB219" s="16"/>
      <c r="AC219" s="16"/>
      <c r="AD219" s="16"/>
      <c r="AE219" s="16"/>
      <c r="AF219" s="16"/>
      <c r="AG219" s="16"/>
    </row>
    <row r="220" spans="1:33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22"/>
      <c r="R220" s="16"/>
      <c r="S220" s="22"/>
      <c r="T220" s="29"/>
      <c r="U220" s="16"/>
      <c r="V220" s="23"/>
      <c r="W220" s="16"/>
      <c r="X220" s="16"/>
      <c r="Y220" s="22"/>
      <c r="Z220" s="16"/>
      <c r="AA220" s="16"/>
      <c r="AB220" s="16"/>
      <c r="AC220" s="16"/>
      <c r="AD220" s="16"/>
      <c r="AE220" s="16"/>
      <c r="AF220" s="16"/>
      <c r="AG220" s="16"/>
    </row>
    <row r="221" spans="1:33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22"/>
      <c r="R221" s="16"/>
      <c r="S221" s="22"/>
      <c r="T221" s="29"/>
      <c r="U221" s="16"/>
      <c r="V221" s="23"/>
      <c r="W221" s="16"/>
      <c r="X221" s="16"/>
      <c r="Y221" s="22"/>
      <c r="Z221" s="16"/>
      <c r="AA221" s="16"/>
      <c r="AB221" s="16"/>
      <c r="AC221" s="16"/>
      <c r="AD221" s="16"/>
      <c r="AE221" s="16"/>
      <c r="AF221" s="16"/>
      <c r="AG221" s="16"/>
    </row>
    <row r="222" spans="1:33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22"/>
      <c r="R222" s="16"/>
      <c r="S222" s="22"/>
      <c r="T222" s="22"/>
      <c r="U222" s="16"/>
      <c r="V222" s="23"/>
      <c r="W222" s="16"/>
      <c r="X222" s="16"/>
      <c r="Y222" s="22"/>
      <c r="Z222" s="16"/>
      <c r="AA222" s="16"/>
      <c r="AB222" s="16"/>
      <c r="AC222" s="16"/>
      <c r="AD222" s="16"/>
      <c r="AE222" s="16"/>
      <c r="AF222" s="16"/>
      <c r="AG222" s="16"/>
    </row>
    <row r="223" spans="1:33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22"/>
      <c r="R223" s="16"/>
      <c r="S223" s="22"/>
      <c r="T223" s="16"/>
      <c r="U223" s="16"/>
      <c r="V223" s="23"/>
      <c r="W223" s="16"/>
      <c r="X223" s="16"/>
      <c r="Y223" s="22"/>
      <c r="Z223" s="16"/>
      <c r="AA223" s="16"/>
      <c r="AB223" s="16"/>
      <c r="AC223" s="16"/>
      <c r="AD223" s="16"/>
      <c r="AE223" s="16"/>
      <c r="AF223" s="16"/>
      <c r="AG223" s="16"/>
    </row>
    <row r="224" spans="1:33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22"/>
      <c r="R224" s="16"/>
      <c r="S224" s="22"/>
      <c r="T224" s="16"/>
      <c r="U224" s="16"/>
      <c r="V224" s="23"/>
      <c r="W224" s="16"/>
      <c r="X224" s="16"/>
      <c r="Y224" s="22"/>
      <c r="Z224" s="16"/>
      <c r="AA224" s="16"/>
      <c r="AB224" s="16"/>
      <c r="AC224" s="16"/>
      <c r="AD224" s="16"/>
      <c r="AE224" s="16"/>
      <c r="AF224" s="16"/>
      <c r="AG224" s="16"/>
    </row>
    <row r="225" spans="1:33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22"/>
      <c r="R225" s="16"/>
      <c r="S225" s="22"/>
      <c r="T225" s="16"/>
      <c r="U225" s="16"/>
      <c r="V225" s="23"/>
      <c r="W225" s="16"/>
      <c r="X225" s="16"/>
      <c r="Y225" s="22"/>
      <c r="Z225" s="16"/>
      <c r="AA225" s="16"/>
      <c r="AB225" s="16"/>
      <c r="AC225" s="16"/>
      <c r="AD225" s="16"/>
      <c r="AE225" s="16"/>
      <c r="AF225" s="16"/>
      <c r="AG225" s="16"/>
    </row>
    <row r="226" spans="1:33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22"/>
      <c r="R226" s="16"/>
      <c r="S226" s="22"/>
      <c r="T226" s="16"/>
      <c r="U226" s="16"/>
      <c r="V226" s="23"/>
      <c r="W226" s="16"/>
      <c r="X226" s="16"/>
      <c r="Y226" s="22"/>
      <c r="Z226" s="16"/>
      <c r="AA226" s="16"/>
      <c r="AB226" s="16"/>
      <c r="AC226" s="16"/>
      <c r="AD226" s="16"/>
      <c r="AE226" s="16"/>
      <c r="AF226" s="16"/>
      <c r="AG226" s="16"/>
    </row>
    <row r="227" spans="1:33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37"/>
      <c r="Q227" s="37"/>
      <c r="R227" s="16"/>
      <c r="S227" s="38"/>
      <c r="T227" s="16"/>
      <c r="U227" s="16"/>
      <c r="V227" s="23"/>
      <c r="W227" s="16"/>
      <c r="X227" s="16"/>
      <c r="Y227" s="22"/>
      <c r="Z227" s="16"/>
      <c r="AA227" s="16"/>
      <c r="AB227" s="16"/>
      <c r="AC227" s="16"/>
      <c r="AD227" s="16"/>
      <c r="AE227" s="16"/>
      <c r="AF227" s="16"/>
      <c r="AG227" s="16"/>
    </row>
    <row r="228" spans="1:33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  <row r="247" spans="1:33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</row>
    <row r="248" spans="1:33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</row>
    <row r="249" spans="1:33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</row>
    <row r="250" spans="1:33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</row>
    <row r="251" spans="1:33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</row>
    <row r="252" spans="1:33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</row>
    <row r="253" spans="1:33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</row>
    <row r="254" spans="1:33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</row>
    <row r="255" spans="1:33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</row>
    <row r="256" spans="1:33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</row>
    <row r="257" spans="1:33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</row>
    <row r="258" spans="1:33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</row>
    <row r="259" spans="1:33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</row>
    <row r="260" spans="1:33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</row>
    <row r="261" spans="1:33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</row>
    <row r="262" spans="1:33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</row>
    <row r="263" spans="1:33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</row>
    <row r="264" spans="1:33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</row>
    <row r="265" spans="1:33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</row>
    <row r="266" spans="1:33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</row>
    <row r="267" spans="1:33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</row>
    <row r="268" spans="1:33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</row>
    <row r="269" spans="1:33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</row>
    <row r="270" spans="1:33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</row>
    <row r="271" spans="1:33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</row>
    <row r="272" spans="1:33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</row>
    <row r="273" spans="1:33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</row>
    <row r="274" spans="1:33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</row>
    <row r="275" spans="1:33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</row>
    <row r="276" spans="1:33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</row>
    <row r="277" spans="1:33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</row>
    <row r="278" spans="1:33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</row>
    <row r="279" spans="1:33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</row>
    <row r="280" spans="1:33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</row>
    <row r="281" spans="1:33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</row>
    <row r="282" spans="1:33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</row>
    <row r="283" spans="1:33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</row>
    <row r="284" spans="1:33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</row>
    <row r="285" spans="1:33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</row>
    <row r="286" spans="1:33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</row>
    <row r="287" spans="1:33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</row>
    <row r="288" spans="1:33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</row>
    <row r="289" spans="1:33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</row>
    <row r="290" spans="1:33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</row>
    <row r="291" spans="1:33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</row>
    <row r="292" spans="1:33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</row>
    <row r="293" spans="1:33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</row>
    <row r="294" spans="1:33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</row>
    <row r="295" spans="1:33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</row>
    <row r="296" spans="1:33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</row>
    <row r="297" spans="1:33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</row>
    <row r="298" spans="1:33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</row>
    <row r="299" spans="1:33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</row>
    <row r="300" spans="1:33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</row>
    <row r="301" spans="1:33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</row>
    <row r="302" spans="1:33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</row>
    <row r="303" spans="1:33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</row>
    <row r="304" spans="1:33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</row>
    <row r="305" spans="1:33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</row>
    <row r="306" spans="1:33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</row>
    <row r="307" spans="1:33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</row>
    <row r="308" spans="1:33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</row>
    <row r="309" spans="1:33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</row>
    <row r="310" spans="1:33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</row>
    <row r="311" spans="1:33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</row>
    <row r="312" spans="1:33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</row>
    <row r="313" spans="1:33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</row>
    <row r="314" spans="1:33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</row>
    <row r="315" spans="1:33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</row>
    <row r="316" spans="1:33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</row>
    <row r="317" spans="1:33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</row>
    <row r="318" spans="1:33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</row>
    <row r="319" spans="1:33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</row>
    <row r="320" spans="1:33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</row>
    <row r="321" spans="1:33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</row>
    <row r="322" spans="1:33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</row>
    <row r="323" spans="1:33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</row>
    <row r="324" spans="1:33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</row>
    <row r="325" spans="1:33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</row>
    <row r="326" spans="1:33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</row>
    <row r="327" spans="1:33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</row>
    <row r="328" spans="1:33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</row>
    <row r="329" spans="1:33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</row>
    <row r="330" spans="1:33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</row>
    <row r="331" spans="1:33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</row>
    <row r="332" spans="1:33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</row>
    <row r="333" spans="1:33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</row>
    <row r="334" spans="1:33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</row>
    <row r="335" spans="1:33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</row>
    <row r="336" spans="1:33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</row>
    <row r="337" spans="1:33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</row>
    <row r="338" spans="1:33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</row>
    <row r="339" spans="1:33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</row>
    <row r="340" spans="1:33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</row>
    <row r="341" spans="1:33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</row>
    <row r="342" spans="1:33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</row>
    <row r="343" spans="1:33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</row>
    <row r="344" spans="1:33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</row>
    <row r="345" spans="1:33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</row>
    <row r="346" spans="1:33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</row>
    <row r="347" spans="1:33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</row>
    <row r="348" spans="1:33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</row>
    <row r="349" spans="1:33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</row>
    <row r="350" spans="1:33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</row>
    <row r="351" spans="1:33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</row>
    <row r="352" spans="1:33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</row>
    <row r="353" spans="1:33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</row>
    <row r="354" spans="1:33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</row>
    <row r="355" spans="1:33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</row>
    <row r="356" spans="1:33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</row>
    <row r="357" spans="1:33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</row>
    <row r="358" spans="1:33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</row>
    <row r="359" spans="1:33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</row>
    <row r="360" spans="1:33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</row>
    <row r="361" spans="1:33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</row>
    <row r="362" spans="1:33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</row>
    <row r="363" spans="1:33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</row>
    <row r="364" spans="1:33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</row>
    <row r="365" spans="1:33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</row>
    <row r="366" spans="1:33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</row>
    <row r="367" spans="1:33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</row>
    <row r="368" spans="1:33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</row>
    <row r="369" spans="1:33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</row>
    <row r="370" spans="1:33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</row>
    <row r="371" spans="1:33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</row>
    <row r="372" spans="1:33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</row>
    <row r="373" spans="1:33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</row>
    <row r="374" spans="1:33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</row>
    <row r="375" spans="1:33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</row>
    <row r="376" spans="1:33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</row>
    <row r="377" spans="1:33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</row>
    <row r="378" spans="1:33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</row>
    <row r="379" spans="1:33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</row>
    <row r="380" spans="1:33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</row>
    <row r="381" spans="1:33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</row>
    <row r="382" spans="1:33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</row>
    <row r="383" spans="1:33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</row>
    <row r="384" spans="1:33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</row>
    <row r="385" spans="1:33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</row>
    <row r="386" spans="1:33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</row>
    <row r="387" spans="1:33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</row>
    <row r="388" spans="1:33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</row>
    <row r="389" spans="1:33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</row>
    <row r="390" spans="1:33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</row>
    <row r="391" spans="1:33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</row>
    <row r="392" spans="1:33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</row>
    <row r="393" spans="1:33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</row>
    <row r="394" spans="1:33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</row>
    <row r="395" spans="1:33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</row>
    <row r="396" spans="1:33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</row>
    <row r="397" spans="1:33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</row>
    <row r="398" spans="1:33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</row>
    <row r="399" spans="1:33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</row>
    <row r="400" spans="1:33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</row>
    <row r="401" spans="1:33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</row>
    <row r="402" spans="1:33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</row>
    <row r="403" spans="1:33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</row>
    <row r="404" spans="1:33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</row>
    <row r="405" spans="1:33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</row>
    <row r="406" spans="1:33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</row>
    <row r="407" spans="1:33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</row>
    <row r="408" spans="1:33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</row>
    <row r="409" spans="1:33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</row>
    <row r="410" spans="1:33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</row>
    <row r="411" spans="1:33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</row>
    <row r="412" spans="1:33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</row>
    <row r="413" spans="1:33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</row>
    <row r="414" spans="1:33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</row>
    <row r="415" spans="1:33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</row>
    <row r="416" spans="1:33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</row>
    <row r="417" spans="1:20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</row>
    <row r="424" spans="1:20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</row>
    <row r="426" spans="1:20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</row>
    <row r="428" spans="1:20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</row>
    <row r="433" spans="1:20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</row>
    <row r="441" spans="1:20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</row>
    <row r="442" spans="1:20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</row>
    <row r="445" spans="1:20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0" spans="1:20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</row>
    <row r="456" spans="1:20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</row>
    <row r="457" spans="1:20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</row>
    <row r="458" spans="1:20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</row>
    <row r="465" spans="1:20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</row>
    <row r="473" spans="1:20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</row>
    <row r="474" spans="1:20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</row>
    <row r="481" spans="1:20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</row>
    <row r="483" spans="1:20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</row>
    <row r="490" spans="1:20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</row>
    <row r="499" spans="1:20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</row>
    <row r="500" spans="1:20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</row>
    <row r="506" spans="1:20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</row>
    <row r="513" spans="1:20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</row>
    <row r="521" spans="1:20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</row>
    <row r="528" spans="1:20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</row>
    <row r="536" spans="1:20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</row>
    <row r="551" spans="1:20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</row>
    <row r="557" spans="1:20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</row>
    <row r="558" spans="1:20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</row>
    <row r="563" spans="1:20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</row>
    <row r="564" spans="1:20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</row>
    <row r="565" spans="1:20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</row>
    <row r="568" spans="1:20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</row>
    <row r="570" spans="1:20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</row>
    <row r="580" spans="1:20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</row>
    <row r="588" spans="1:20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</row>
    <row r="589" spans="1:20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</row>
    <row r="595" spans="1:20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</row>
    <row r="602" spans="1:20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</row>
    <row r="609" spans="1:20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</row>
    <row r="627" spans="1:20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</row>
    <row r="628" spans="1:20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</row>
    <row r="631" spans="1:20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</row>
    <row r="639" spans="1:20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</row>
    <row r="647" spans="1:20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</row>
    <row r="655" spans="1:20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</row>
    <row r="656" spans="1:20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</row>
    <row r="664" spans="1:20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</row>
    <row r="666" spans="1:20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</row>
    <row r="668" spans="1:20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</row>
    <row r="676" spans="1:20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</row>
    <row r="677" spans="1:20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</row>
    <row r="683" spans="1:20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</row>
    <row r="691" spans="1:20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</row>
    <row r="695" spans="1:20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</row>
    <row r="707" spans="1:20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</row>
    <row r="708" spans="1:20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</row>
    <row r="709" spans="1:20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</row>
    <row r="712" spans="1:20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</row>
    <row r="713" spans="1:20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</row>
    <row r="721" spans="1:20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</row>
    <row r="725" spans="1:20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</row>
    <row r="726" spans="1:20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</row>
    <row r="728" spans="1:20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</row>
    <row r="729" spans="1:20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</row>
    <row r="743" spans="1:20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</row>
    <row r="748" spans="1:20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</row>
    <row r="749" spans="1:20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</row>
    <row r="754" spans="1:20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</row>
    <row r="755" spans="1:20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</row>
    <row r="765" spans="1:20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</row>
    <row r="766" spans="1:20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</row>
    <row r="771" spans="1:20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</row>
    <row r="773" spans="1:20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</row>
    <row r="774" spans="1:20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</row>
    <row r="777" spans="1:20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</row>
    <row r="780" spans="1:20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</row>
    <row r="782" spans="1:20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</row>
    <row r="786" spans="1:20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</row>
    <row r="799" spans="1:20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</row>
    <row r="819" spans="1:20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</row>
    <row r="820" spans="1:20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</row>
    <row r="821" spans="1:20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</row>
    <row r="827" spans="1:20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</row>
    <row r="828" spans="1:20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</row>
    <row r="829" spans="1:20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</row>
    <row r="831" spans="1:20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</row>
    <row r="833" spans="1:20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</row>
    <row r="841" spans="1:20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</row>
    <row r="842" spans="1:20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</row>
    <row r="848" spans="1:20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</row>
    <row r="849" spans="1:20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</row>
    <row r="862" spans="1:20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</row>
    <row r="864" spans="1:20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</row>
    <row r="872" spans="1:20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</row>
    <row r="876" spans="1:20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</row>
    <row r="881" spans="1:20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</row>
    <row r="883" spans="1:20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</row>
    <row r="884" spans="1:20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</row>
    <row r="885" spans="1:20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</row>
    <row r="898" spans="1:20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</row>
    <row r="914" spans="1:20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</row>
    <row r="916" spans="1:20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</row>
    <row r="925" spans="1:20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7"/>
    </row>
    <row r="926" spans="1:20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7"/>
    </row>
    <row r="927" spans="1:20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7"/>
    </row>
    <row r="928" spans="1:20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7"/>
    </row>
    <row r="929" spans="1:20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7"/>
    </row>
    <row r="930" spans="1:20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7"/>
    </row>
    <row r="931" spans="1:20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7"/>
    </row>
    <row r="932" spans="1:20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7"/>
    </row>
    <row r="933" spans="1:20" x14ac:dyDescent="0.2">
      <c r="A933" s="16"/>
      <c r="B933" s="16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6"/>
      <c r="B934" s="16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6"/>
      <c r="B935" s="16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6"/>
      <c r="B936" s="16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6"/>
      <c r="B937" s="16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6"/>
      <c r="B938" s="16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6"/>
      <c r="B939" s="16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6"/>
      <c r="B940" s="16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6"/>
      <c r="B941" s="16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6"/>
      <c r="B942" s="16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6"/>
      <c r="B943" s="16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6"/>
      <c r="B944" s="16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6"/>
      <c r="B945" s="16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6"/>
      <c r="B946" s="16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6"/>
      <c r="B947" s="16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6"/>
      <c r="B948" s="16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6"/>
      <c r="B949" s="16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6"/>
      <c r="B950" s="16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6"/>
      <c r="B951" s="16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6"/>
      <c r="B952" s="16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6"/>
      <c r="B953" s="16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6"/>
      <c r="B954" s="16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6"/>
      <c r="B955" s="16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6"/>
      <c r="B956" s="16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6"/>
      <c r="B957" s="16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6"/>
      <c r="B958" s="16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6"/>
      <c r="B959" s="16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6"/>
      <c r="B960" s="16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6"/>
      <c r="B961" s="16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6"/>
      <c r="B962" s="16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6"/>
      <c r="B963" s="16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6"/>
      <c r="B964" s="16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6"/>
      <c r="B965" s="16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6"/>
      <c r="B966" s="16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6"/>
      <c r="B967" s="16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6"/>
      <c r="B968" s="16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6"/>
      <c r="B969" s="16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6"/>
      <c r="B970" s="16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6"/>
      <c r="B971" s="16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6"/>
      <c r="B972" s="16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6"/>
      <c r="B973" s="16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6"/>
      <c r="B974" s="16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6"/>
      <c r="B975" s="16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6"/>
      <c r="B976" s="16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6"/>
      <c r="B977" s="16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6"/>
      <c r="B978" s="16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6"/>
      <c r="B979" s="16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6"/>
      <c r="B980" s="16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6"/>
      <c r="B981" s="16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6"/>
      <c r="B982" s="16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6"/>
      <c r="B983" s="16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6"/>
      <c r="B984" s="16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6"/>
      <c r="B985" s="16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6"/>
      <c r="B986" s="16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6"/>
      <c r="B987" s="16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6"/>
      <c r="B988" s="16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6"/>
      <c r="B989" s="16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6"/>
      <c r="B990" s="16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6"/>
      <c r="B991" s="16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6"/>
      <c r="B992" s="16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6"/>
      <c r="B993" s="16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6"/>
      <c r="B994" s="16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6"/>
      <c r="B995" s="16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6"/>
      <c r="B996" s="16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6"/>
      <c r="B997" s="16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6"/>
      <c r="B998" s="16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6"/>
      <c r="B999" s="16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6"/>
      <c r="B1000" s="16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6"/>
      <c r="B1001" s="16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6"/>
      <c r="B1002" s="16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6"/>
      <c r="B1003" s="16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6"/>
      <c r="B1004" s="16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6"/>
      <c r="B1005" s="16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6"/>
      <c r="B1006" s="16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6"/>
      <c r="B1007" s="16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6"/>
      <c r="B1008" s="16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6"/>
      <c r="B1009" s="16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6"/>
      <c r="B1010" s="16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6"/>
      <c r="B1011" s="16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6"/>
      <c r="B1012" s="16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6"/>
      <c r="B1013" s="16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6"/>
      <c r="B1014" s="16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6"/>
      <c r="B1015" s="16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6"/>
      <c r="B1016" s="16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6"/>
      <c r="B1017" s="16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6"/>
      <c r="B1018" s="16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6"/>
      <c r="B1019" s="16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6"/>
      <c r="B1020" s="16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6"/>
      <c r="B1021" s="16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6"/>
      <c r="B1022" s="16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6"/>
      <c r="B1023" s="16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6"/>
      <c r="B1024" s="16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6"/>
      <c r="B1025" s="16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6"/>
      <c r="B1026" s="16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6"/>
      <c r="B1027" s="16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6"/>
      <c r="B1028" s="16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6"/>
      <c r="B1029" s="16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6"/>
      <c r="B1030" s="16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6"/>
      <c r="B1031" s="16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6"/>
      <c r="B1032" s="16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6"/>
      <c r="B1033" s="16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6"/>
      <c r="B1034" s="16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6"/>
      <c r="B1035" s="16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6"/>
      <c r="B1036" s="16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6"/>
      <c r="B1037" s="16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6"/>
      <c r="B1038" s="16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6"/>
      <c r="B1039" s="16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6"/>
      <c r="B1040" s="16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6"/>
      <c r="B1041" s="16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6"/>
      <c r="B1042" s="16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6"/>
      <c r="B1043" s="16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6"/>
      <c r="B1044" s="16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6"/>
      <c r="B1045" s="16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6"/>
      <c r="B1046" s="16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6"/>
      <c r="B1047" s="16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6"/>
      <c r="B1048" s="16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6"/>
      <c r="B1049" s="16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6"/>
      <c r="B1050" s="16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6"/>
      <c r="B1051" s="16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6"/>
      <c r="B1052" s="16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6"/>
      <c r="B1053" s="16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6"/>
      <c r="B1054" s="16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6"/>
      <c r="B1055" s="16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6"/>
      <c r="B1056" s="16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6"/>
      <c r="B1057" s="16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6"/>
      <c r="B1058" s="16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6"/>
      <c r="B1059" s="16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6"/>
      <c r="B1060" s="16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6"/>
      <c r="B1061" s="16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6"/>
      <c r="B1062" s="16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6"/>
      <c r="B1063" s="16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6"/>
      <c r="B1064" s="16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6"/>
      <c r="B1065" s="16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6"/>
      <c r="B1066" s="16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6"/>
      <c r="B1067" s="16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6"/>
      <c r="B1068" s="16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6"/>
      <c r="B1069" s="16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6"/>
      <c r="B1070" s="16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6"/>
      <c r="B1071" s="16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6"/>
      <c r="B1072" s="16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6"/>
      <c r="B1073" s="16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6"/>
      <c r="B1074" s="16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6"/>
      <c r="B1075" s="16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6"/>
      <c r="B1076" s="16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6"/>
      <c r="B1077" s="16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6"/>
      <c r="B1078" s="16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6"/>
      <c r="B1079" s="16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6"/>
      <c r="B1080" s="16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6"/>
      <c r="B1081" s="16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6"/>
      <c r="B1082" s="16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6"/>
      <c r="B1083" s="16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6"/>
      <c r="B1084" s="16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6"/>
      <c r="B1085" s="16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6"/>
      <c r="B1086" s="16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6"/>
      <c r="B1087" s="16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6"/>
      <c r="B1088" s="16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6"/>
      <c r="B1089" s="16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6"/>
      <c r="B1090" s="16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6"/>
      <c r="B1091" s="16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6"/>
      <c r="B1092" s="16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6"/>
      <c r="B1093" s="16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6"/>
      <c r="B1094" s="16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6"/>
      <c r="B1095" s="16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6"/>
      <c r="B1096" s="16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6"/>
      <c r="B1097" s="16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6"/>
      <c r="B1098" s="16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6"/>
      <c r="B1099" s="16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6"/>
      <c r="B1100" s="16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6"/>
      <c r="B1101" s="16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6"/>
      <c r="B1102" s="16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6"/>
      <c r="B1103" s="16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6"/>
      <c r="B1104" s="16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6"/>
      <c r="B1105" s="16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6"/>
      <c r="B1106" s="16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6"/>
      <c r="B1107" s="16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6"/>
      <c r="B1108" s="16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6"/>
      <c r="B1109" s="16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6"/>
      <c r="B1110" s="16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6"/>
      <c r="B1111" s="16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6"/>
      <c r="B1112" s="16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6"/>
      <c r="B1113" s="16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6"/>
      <c r="B1114" s="16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6"/>
      <c r="B1115" s="16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6"/>
      <c r="B1116" s="16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6"/>
      <c r="B1117" s="16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6"/>
      <c r="B1118" s="16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6"/>
      <c r="B1119" s="16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6"/>
      <c r="B1120" s="16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6"/>
      <c r="B1121" s="16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6"/>
      <c r="B1122" s="16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6"/>
      <c r="B1123" s="16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6"/>
      <c r="B1124" s="16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6"/>
      <c r="B1125" s="16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6"/>
      <c r="B1126" s="16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6"/>
      <c r="B1127" s="16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6"/>
      <c r="B1128" s="16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6"/>
      <c r="B1129" s="16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6"/>
      <c r="B1130" s="16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6"/>
      <c r="B1131" s="16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6"/>
      <c r="B1132" s="16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6"/>
      <c r="B1133" s="16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6"/>
      <c r="B1134" s="16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6"/>
      <c r="B1135" s="16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6"/>
      <c r="B1136" s="16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6"/>
      <c r="B1137" s="16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6"/>
      <c r="B1138" s="16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6"/>
      <c r="B1139" s="16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6"/>
      <c r="B1140" s="16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6"/>
      <c r="B1141" s="16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6"/>
      <c r="B1142" s="16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6"/>
      <c r="B1143" s="16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6"/>
      <c r="B1144" s="16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6"/>
      <c r="B1145" s="16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6"/>
      <c r="B1146" s="16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6"/>
      <c r="B1147" s="16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6"/>
      <c r="B1148" s="16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6"/>
      <c r="B1149" s="16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6"/>
      <c r="B1150" s="16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6"/>
      <c r="B1151" s="16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6"/>
      <c r="B1152" s="16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6"/>
      <c r="B1153" s="16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6"/>
      <c r="B1154" s="16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6"/>
      <c r="B1155" s="16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6"/>
      <c r="B1156" s="16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6"/>
      <c r="B1157" s="16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6"/>
      <c r="B1158" s="16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6"/>
      <c r="B1159" s="16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6"/>
      <c r="B1160" s="16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6"/>
      <c r="B1161" s="16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6"/>
      <c r="B1162" s="16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6"/>
      <c r="B1163" s="16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6"/>
      <c r="B1164" s="16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6"/>
      <c r="B1165" s="16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6"/>
      <c r="B1166" s="16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6"/>
      <c r="B1167" s="16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6"/>
      <c r="B1168" s="16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6"/>
      <c r="B1169" s="16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6"/>
      <c r="B1170" s="16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6"/>
      <c r="B1171" s="16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6"/>
      <c r="B1172" s="16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6"/>
      <c r="B1173" s="16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6"/>
      <c r="B1174" s="16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6"/>
      <c r="B1175" s="16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6"/>
      <c r="B1176" s="16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6"/>
      <c r="B1177" s="16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6"/>
      <c r="B1178" s="16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6"/>
      <c r="B1179" s="16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6"/>
      <c r="B1180" s="16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6"/>
      <c r="B1181" s="16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6"/>
      <c r="B1182" s="16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6"/>
      <c r="B1183" s="16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6"/>
      <c r="B1184" s="16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6"/>
      <c r="B1185" s="16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6"/>
      <c r="B1186" s="16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6"/>
      <c r="B1187" s="16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6"/>
      <c r="B1188" s="16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6"/>
      <c r="B1189" s="16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6"/>
      <c r="B1190" s="16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6"/>
      <c r="B1191" s="16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6"/>
      <c r="B1192" s="16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6"/>
      <c r="B1193" s="16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6"/>
      <c r="B1194" s="16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6"/>
      <c r="B1195" s="16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6"/>
      <c r="B1196" s="16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6"/>
      <c r="B1197" s="16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6"/>
      <c r="B1198" s="16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6"/>
      <c r="B1199" s="16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6"/>
      <c r="B1200" s="16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6"/>
      <c r="B1201" s="16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6"/>
      <c r="B1202" s="16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6"/>
      <c r="B1203" s="16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6"/>
      <c r="B1204" s="16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6"/>
      <c r="B1205" s="16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6"/>
      <c r="B1206" s="16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6"/>
      <c r="B1207" s="16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6"/>
      <c r="B1208" s="16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6"/>
      <c r="B1209" s="16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6"/>
      <c r="B1210" s="16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6"/>
      <c r="B1211" s="16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6"/>
      <c r="B1212" s="16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6"/>
      <c r="B1213" s="16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6"/>
      <c r="B1214" s="16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6"/>
      <c r="B1215" s="16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6"/>
      <c r="B1216" s="16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6"/>
      <c r="B1217" s="16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6"/>
      <c r="B1218" s="16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6"/>
      <c r="B1219" s="16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6"/>
      <c r="B1220" s="16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6"/>
      <c r="B1221" s="16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6"/>
      <c r="B1222" s="16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6"/>
      <c r="B1223" s="16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6"/>
      <c r="B1224" s="16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6"/>
      <c r="B1225" s="16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6"/>
      <c r="B1226" s="16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6"/>
      <c r="B1227" s="16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6"/>
      <c r="B1228" s="16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6"/>
      <c r="B1229" s="16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6"/>
      <c r="B1230" s="16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6"/>
      <c r="B1231" s="16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6"/>
      <c r="B1232" s="16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6"/>
      <c r="B1233" s="16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6"/>
      <c r="B1234" s="16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6"/>
      <c r="B1235" s="16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6"/>
      <c r="B1236" s="16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6"/>
      <c r="B1237" s="16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6"/>
      <c r="B1238" s="16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6"/>
      <c r="B1239" s="16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6"/>
      <c r="B1240" s="16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6"/>
      <c r="B1241" s="16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6"/>
      <c r="B1242" s="16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6"/>
      <c r="B1243" s="16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6"/>
      <c r="B1244" s="16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6"/>
      <c r="B1245" s="16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6"/>
      <c r="B1246" s="16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6"/>
      <c r="B1247" s="16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6"/>
      <c r="B1248" s="16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6"/>
      <c r="B1249" s="16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6"/>
      <c r="B1250" s="16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6"/>
      <c r="B1251" s="16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6"/>
      <c r="B1252" s="16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6"/>
      <c r="B1253" s="16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6"/>
      <c r="B1254" s="16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6"/>
      <c r="B1255" s="16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6"/>
      <c r="B1256" s="16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6"/>
      <c r="B1257" s="16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6"/>
      <c r="B1258" s="16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6"/>
      <c r="B1259" s="16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6"/>
      <c r="B1260" s="16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6"/>
      <c r="B1261" s="16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6"/>
      <c r="B1262" s="16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6"/>
      <c r="B1263" s="16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6"/>
      <c r="B1264" s="16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6"/>
      <c r="B1265" s="16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6"/>
      <c r="B1266" s="16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6"/>
      <c r="B1267" s="16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6"/>
      <c r="B1268" s="16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6"/>
      <c r="B1269" s="16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6"/>
      <c r="B1270" s="16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6"/>
      <c r="B1271" s="16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6"/>
      <c r="B1272" s="16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6"/>
      <c r="B1273" s="16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6"/>
      <c r="B1274" s="16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6"/>
      <c r="B1275" s="16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6"/>
      <c r="B1276" s="16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6"/>
      <c r="B1277" s="16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6"/>
      <c r="B1278" s="16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6"/>
      <c r="B1279" s="16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6"/>
      <c r="B1280" s="16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6"/>
      <c r="B1281" s="16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6"/>
      <c r="B1282" s="16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6"/>
      <c r="B1283" s="16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6"/>
      <c r="B1284" s="16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6"/>
      <c r="B1285" s="16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6"/>
      <c r="B1286" s="16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6"/>
      <c r="B1287" s="16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6"/>
      <c r="B1288" s="16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6"/>
      <c r="B1289" s="16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6"/>
      <c r="B1290" s="16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6"/>
      <c r="B1291" s="16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6"/>
      <c r="B1292" s="16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6"/>
      <c r="B1293" s="16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6"/>
      <c r="B1294" s="16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6"/>
      <c r="B1295" s="16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6"/>
      <c r="B1296" s="16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6"/>
      <c r="B1297" s="16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6"/>
      <c r="B1298" s="16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6"/>
      <c r="B1299" s="16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6"/>
      <c r="B1300" s="16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6"/>
      <c r="B1301" s="16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6"/>
      <c r="B1302" s="16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6"/>
      <c r="B1303" s="16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6"/>
      <c r="B1304" s="16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6"/>
      <c r="B1305" s="16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6"/>
      <c r="B1306" s="16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6"/>
      <c r="B1307" s="16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6"/>
      <c r="B1308" s="16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6"/>
      <c r="B1309" s="16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6"/>
      <c r="B1310" s="16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6"/>
      <c r="B1311" s="16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6"/>
      <c r="B1312" s="16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6"/>
      <c r="B1313" s="16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6"/>
      <c r="B1314" s="16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6"/>
      <c r="B1315" s="16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6"/>
      <c r="B1316" s="16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6"/>
      <c r="B1317" s="16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6"/>
      <c r="B1318" s="16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6"/>
      <c r="B1319" s="16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6"/>
      <c r="B1320" s="16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6"/>
      <c r="B1321" s="16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6"/>
      <c r="B1322" s="16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6"/>
      <c r="B1323" s="16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6"/>
      <c r="B1324" s="16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6"/>
      <c r="B1325" s="16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6"/>
      <c r="B1326" s="16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6"/>
      <c r="B1327" s="16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6"/>
      <c r="B1328" s="16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6"/>
      <c r="B1329" s="16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6"/>
      <c r="B1330" s="16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6"/>
      <c r="B1331" s="16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6"/>
      <c r="B1332" s="16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6"/>
      <c r="B1333" s="16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6"/>
      <c r="B1334" s="16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6"/>
      <c r="B1335" s="16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6"/>
      <c r="B1336" s="16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6"/>
      <c r="B1337" s="16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6"/>
      <c r="B1338" s="16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6"/>
      <c r="B1339" s="16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6"/>
      <c r="B1340" s="16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6"/>
      <c r="B1341" s="16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6"/>
      <c r="B1342" s="16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6"/>
      <c r="B1343" s="16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6"/>
      <c r="B1344" s="16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6"/>
      <c r="B1345" s="16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6"/>
      <c r="B1346" s="16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6"/>
      <c r="B1347" s="16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6"/>
      <c r="B1348" s="16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6"/>
      <c r="B1349" s="16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6"/>
      <c r="B1350" s="16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6"/>
      <c r="B1351" s="16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6"/>
      <c r="B1352" s="16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6"/>
      <c r="B1353" s="16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6"/>
      <c r="B1354" s="16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6"/>
      <c r="B1355" s="16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6"/>
      <c r="B1356" s="16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6"/>
      <c r="B1357" s="16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6"/>
      <c r="B1358" s="16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6"/>
      <c r="B1359" s="16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6"/>
      <c r="B1360" s="16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6"/>
      <c r="B1361" s="16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6"/>
      <c r="B1362" s="16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6"/>
      <c r="B1363" s="16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6"/>
      <c r="B1364" s="16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6"/>
      <c r="B1365" s="16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6"/>
      <c r="B1366" s="16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6"/>
      <c r="B1367" s="16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6"/>
      <c r="B1368" s="16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6"/>
      <c r="B1369" s="16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6"/>
      <c r="B1370" s="16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6"/>
      <c r="B1371" s="16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6"/>
      <c r="B1372" s="16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6"/>
      <c r="B1373" s="16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6"/>
      <c r="B1374" s="16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6"/>
      <c r="B1375" s="16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6"/>
      <c r="B1376" s="16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6"/>
      <c r="B1377" s="16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6"/>
      <c r="B1378" s="16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6"/>
      <c r="B1379" s="16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6"/>
      <c r="B1380" s="16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6"/>
      <c r="B1381" s="16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6"/>
      <c r="B1382" s="16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6"/>
      <c r="B1383" s="16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6"/>
      <c r="B1384" s="16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6"/>
      <c r="B1385" s="16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6"/>
      <c r="B1386" s="16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6"/>
      <c r="B1387" s="16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6"/>
      <c r="B1388" s="16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6"/>
      <c r="B1389" s="16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6"/>
      <c r="B1390" s="16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6"/>
      <c r="B1391" s="16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6"/>
      <c r="B1392" s="16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6"/>
      <c r="B1393" s="16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6"/>
      <c r="B1394" s="16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6"/>
      <c r="B1395" s="16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6"/>
      <c r="B1396" s="16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6"/>
      <c r="B1397" s="16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6"/>
      <c r="B1398" s="16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6"/>
      <c r="B1399" s="16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6"/>
      <c r="B1400" s="16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6"/>
      <c r="B1401" s="16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6"/>
      <c r="B1402" s="16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6"/>
      <c r="B1403" s="16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6"/>
      <c r="B1404" s="16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6"/>
      <c r="B1405" s="16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6"/>
      <c r="B1406" s="16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6"/>
      <c r="B1407" s="16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6"/>
      <c r="B1408" s="16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6"/>
      <c r="B1409" s="16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6"/>
      <c r="B1410" s="16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6"/>
      <c r="B1411" s="16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6"/>
      <c r="B1412" s="16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6"/>
      <c r="B1413" s="16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6"/>
      <c r="B1414" s="16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6"/>
      <c r="B1415" s="16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6"/>
      <c r="B1416" s="16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6"/>
      <c r="B1417" s="16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6"/>
      <c r="B1418" s="16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6"/>
      <c r="B1419" s="16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6"/>
      <c r="B1420" s="16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6"/>
      <c r="B1421" s="16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6"/>
      <c r="B1422" s="16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6"/>
      <c r="B1423" s="16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6"/>
      <c r="B1424" s="16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6"/>
      <c r="B1425" s="16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6"/>
      <c r="B1426" s="16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6"/>
      <c r="B1427" s="16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6"/>
      <c r="B1428" s="16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6"/>
      <c r="B1429" s="16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6"/>
      <c r="B1430" s="16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6"/>
      <c r="B1431" s="16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6"/>
      <c r="B1432" s="16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6"/>
      <c r="B1433" s="16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6"/>
      <c r="B1434" s="16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6"/>
      <c r="B1435" s="16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6"/>
      <c r="B1436" s="16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6"/>
      <c r="B1437" s="16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6"/>
      <c r="B1438" s="16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6"/>
      <c r="B1439" s="16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6"/>
      <c r="B1440" s="16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6"/>
      <c r="B1441" s="16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6"/>
      <c r="B1442" s="16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6"/>
      <c r="B1443" s="16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6"/>
      <c r="B1444" s="16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6"/>
      <c r="B1445" s="16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6"/>
      <c r="B1446" s="16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6"/>
      <c r="B1447" s="16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6"/>
      <c r="B1448" s="16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6"/>
      <c r="B1449" s="16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6"/>
      <c r="B1450" s="16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6"/>
      <c r="B1451" s="16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6"/>
      <c r="B1452" s="16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6"/>
      <c r="B1453" s="16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6"/>
      <c r="B1454" s="16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6"/>
      <c r="B1455" s="16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6"/>
      <c r="B1456" s="16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6"/>
      <c r="B1457" s="16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6"/>
      <c r="B1458" s="16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6"/>
      <c r="B1459" s="16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6"/>
      <c r="B1460" s="16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6"/>
      <c r="B1461" s="16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6"/>
      <c r="B1462" s="16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6"/>
      <c r="B1463" s="16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6"/>
      <c r="B1464" s="16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6"/>
      <c r="B1465" s="16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6"/>
      <c r="B1466" s="16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6"/>
      <c r="B1467" s="16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6"/>
      <c r="B1468" s="16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6"/>
      <c r="B1469" s="16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6"/>
      <c r="B1470" s="16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6"/>
      <c r="B1471" s="16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6"/>
      <c r="B1472" s="16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6"/>
      <c r="B1473" s="16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6"/>
      <c r="B1474" s="16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6"/>
      <c r="B1475" s="16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6"/>
      <c r="B1476" s="16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6"/>
      <c r="B1477" s="16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6"/>
      <c r="B1478" s="16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6"/>
      <c r="B1479" s="16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6"/>
      <c r="B1480" s="16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6"/>
      <c r="B1481" s="16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6"/>
      <c r="B1482" s="16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6"/>
      <c r="B1483" s="16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6"/>
      <c r="B1484" s="16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6"/>
      <c r="B1485" s="16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6"/>
      <c r="B1486" s="16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6"/>
      <c r="B1487" s="16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6"/>
      <c r="B1488" s="16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6"/>
      <c r="B1489" s="16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6"/>
      <c r="B1490" s="16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6"/>
      <c r="B1491" s="16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6"/>
      <c r="B1492" s="16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6"/>
      <c r="B1493" s="16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6"/>
      <c r="B1494" s="16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6"/>
      <c r="B1495" s="16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6"/>
      <c r="B1496" s="16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6"/>
      <c r="B1497" s="16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6"/>
      <c r="B1498" s="16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6"/>
      <c r="B1499" s="16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6"/>
      <c r="B1500" s="16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6"/>
      <c r="B1501" s="16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6"/>
      <c r="B1502" s="16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6"/>
      <c r="B1503" s="16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6"/>
      <c r="B1504" s="16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6"/>
      <c r="B1505" s="16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6"/>
      <c r="B1506" s="16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6"/>
      <c r="B1507" s="16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6"/>
      <c r="B1508" s="16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6"/>
      <c r="B1509" s="16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6"/>
      <c r="B1510" s="16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6"/>
      <c r="B1511" s="16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6"/>
      <c r="B1512" s="16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6"/>
      <c r="B1513" s="16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6"/>
      <c r="B1514" s="16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6"/>
      <c r="B1515" s="16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6"/>
      <c r="B1516" s="16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6"/>
      <c r="B1517" s="16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6"/>
      <c r="B1518" s="16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6"/>
      <c r="B1519" s="16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6"/>
      <c r="B1520" s="16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6"/>
      <c r="B1521" s="16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6"/>
      <c r="B1522" s="16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6"/>
      <c r="B1523" s="16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6"/>
      <c r="B1524" s="16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6"/>
      <c r="B1525" s="16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6"/>
      <c r="B1526" s="16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6"/>
      <c r="B1527" s="16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6"/>
      <c r="B1528" s="16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6"/>
      <c r="B1529" s="16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6"/>
      <c r="B1530" s="16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6"/>
      <c r="B1531" s="16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6"/>
      <c r="B1532" s="16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6"/>
      <c r="B1533" s="16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6"/>
      <c r="B1534" s="16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6"/>
      <c r="B1535" s="16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6"/>
      <c r="B1536" s="16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6"/>
      <c r="B1537" s="16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6"/>
      <c r="B1538" s="16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6"/>
      <c r="B1539" s="16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6"/>
      <c r="B1540" s="16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6"/>
      <c r="B1541" s="16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6"/>
      <c r="B1542" s="16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6"/>
      <c r="B1543" s="16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6"/>
      <c r="B1544" s="16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6"/>
      <c r="B1545" s="16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6"/>
      <c r="B1546" s="16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6"/>
      <c r="B1547" s="16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6"/>
      <c r="B1548" s="16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6"/>
      <c r="B1549" s="16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6"/>
      <c r="B1550" s="16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6"/>
      <c r="B1551" s="16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6"/>
      <c r="B1552" s="16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6"/>
      <c r="B1553" s="16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6"/>
      <c r="B1554" s="16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6"/>
      <c r="B1555" s="16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6"/>
      <c r="B1556" s="16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6"/>
      <c r="B1557" s="16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6"/>
      <c r="B1558" s="16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6"/>
      <c r="B1559" s="16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6"/>
      <c r="B1560" s="16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6"/>
      <c r="B1561" s="16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6"/>
      <c r="B1562" s="16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6"/>
      <c r="B1563" s="16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6"/>
      <c r="B1564" s="16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6"/>
      <c r="B1565" s="16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6"/>
      <c r="B1566" s="16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6"/>
      <c r="B1567" s="16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6"/>
      <c r="B1568" s="16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6"/>
      <c r="B1569" s="16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6"/>
      <c r="B1570" s="16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6"/>
      <c r="B1571" s="16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6"/>
      <c r="B1572" s="16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6"/>
      <c r="B1573" s="16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6"/>
      <c r="B1574" s="16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6"/>
      <c r="B1575" s="16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6"/>
      <c r="B1576" s="16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6"/>
      <c r="B1577" s="16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6"/>
      <c r="B1578" s="16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6"/>
      <c r="B1579" s="16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6"/>
      <c r="B1580" s="16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6"/>
      <c r="B1581" s="16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6"/>
      <c r="B1582" s="16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6"/>
      <c r="B1583" s="16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6"/>
      <c r="B1584" s="16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6"/>
      <c r="B1585" s="16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6"/>
      <c r="B1586" s="16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6"/>
      <c r="B1587" s="16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6"/>
      <c r="B1588" s="16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6"/>
      <c r="B1589" s="16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6"/>
      <c r="B1590" s="16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6"/>
      <c r="B1591" s="16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6"/>
      <c r="B1592" s="16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6"/>
      <c r="B1593" s="16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6"/>
      <c r="B1594" s="16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6"/>
      <c r="B1595" s="16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6"/>
      <c r="B1596" s="16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6"/>
      <c r="B1597" s="16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6"/>
      <c r="B1598" s="16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6"/>
      <c r="B1599" s="16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6"/>
      <c r="B1600" s="16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6"/>
      <c r="B1601" s="16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6"/>
      <c r="B1602" s="16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6"/>
      <c r="B1603" s="16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6"/>
      <c r="B1604" s="16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6"/>
      <c r="B1605" s="16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6"/>
      <c r="B1606" s="16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6"/>
      <c r="B1607" s="16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6"/>
      <c r="B1608" s="16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6"/>
      <c r="B1609" s="16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6"/>
      <c r="B1610" s="16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6"/>
      <c r="B1611" s="16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6"/>
      <c r="B1612" s="16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6"/>
      <c r="B1613" s="16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6"/>
      <c r="B1614" s="16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6"/>
      <c r="B1615" s="16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6"/>
      <c r="B1616" s="16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6"/>
      <c r="B1617" s="16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6"/>
      <c r="B1618" s="16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6"/>
      <c r="B1619" s="16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6"/>
      <c r="B1620" s="16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6"/>
      <c r="B1621" s="16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6"/>
      <c r="B1622" s="16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6"/>
      <c r="B1623" s="16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6"/>
      <c r="B1624" s="16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6"/>
      <c r="B1625" s="16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6"/>
      <c r="B1626" s="16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6"/>
      <c r="B1627" s="16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6"/>
      <c r="B1628" s="16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6"/>
      <c r="B1629" s="16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6"/>
      <c r="B1630" s="16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6"/>
      <c r="B1631" s="16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6"/>
      <c r="B1632" s="16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6"/>
      <c r="B1633" s="16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6"/>
      <c r="B1634" s="16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6"/>
      <c r="B1635" s="16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6"/>
      <c r="B1636" s="16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6"/>
      <c r="B1637" s="16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6"/>
      <c r="B1638" s="16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6"/>
      <c r="B1639" s="16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6"/>
      <c r="B1640" s="16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6"/>
      <c r="B1641" s="16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6"/>
      <c r="B1642" s="16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6"/>
      <c r="B1643" s="16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6"/>
      <c r="B1644" s="16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6"/>
      <c r="B1645" s="16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6"/>
      <c r="B1646" s="16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6"/>
      <c r="B1647" s="16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6"/>
      <c r="B1648" s="16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6"/>
      <c r="B1649" s="16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6"/>
      <c r="B1650" s="16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6"/>
      <c r="B1651" s="16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6"/>
      <c r="B1652" s="16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6"/>
      <c r="B1653" s="16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6"/>
      <c r="B1654" s="16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6"/>
      <c r="B1655" s="16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6"/>
      <c r="B1656" s="16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6"/>
      <c r="B1657" s="16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6"/>
      <c r="B1658" s="16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6"/>
      <c r="B1659" s="16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6"/>
      <c r="B1660" s="16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6"/>
      <c r="B1661" s="16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6"/>
      <c r="B1662" s="16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6"/>
      <c r="B1663" s="16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6"/>
      <c r="B1664" s="16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6"/>
      <c r="B1665" s="16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6"/>
      <c r="B1666" s="16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6"/>
      <c r="B1667" s="16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6"/>
      <c r="B1668" s="16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6"/>
      <c r="B1669" s="16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6"/>
      <c r="B1670" s="16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6"/>
      <c r="B1671" s="16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6"/>
      <c r="B1672" s="16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6"/>
      <c r="B1673" s="16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6"/>
      <c r="B1674" s="16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6"/>
      <c r="B1675" s="16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6"/>
      <c r="B1676" s="16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6"/>
      <c r="B1677" s="16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6"/>
      <c r="B1678" s="16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6"/>
      <c r="B1679" s="16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6"/>
      <c r="B1680" s="16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6"/>
      <c r="B1681" s="16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6"/>
      <c r="B1682" s="16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6"/>
      <c r="B1683" s="16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6"/>
      <c r="B1684" s="16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6"/>
      <c r="B1685" s="16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6"/>
      <c r="B1686" s="16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6"/>
      <c r="B1687" s="16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6"/>
      <c r="B1688" s="16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6"/>
      <c r="B1689" s="16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6"/>
      <c r="B1690" s="16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6"/>
      <c r="B1691" s="16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6"/>
      <c r="B1692" s="16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6"/>
      <c r="B1693" s="16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6"/>
      <c r="B1694" s="16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6"/>
      <c r="B1695" s="16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6"/>
      <c r="B1696" s="16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6"/>
      <c r="B1697" s="16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6"/>
      <c r="B1698" s="16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6"/>
      <c r="B1699" s="16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6"/>
      <c r="B1700" s="16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6"/>
      <c r="B1701" s="16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6"/>
      <c r="B1702" s="16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6"/>
      <c r="B1703" s="16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6"/>
      <c r="B1704" s="16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6"/>
      <c r="B1705" s="16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6"/>
      <c r="B1706" s="16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6"/>
      <c r="B1707" s="16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6"/>
      <c r="B1708" s="16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6"/>
      <c r="B1709" s="16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6"/>
      <c r="B1710" s="16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6"/>
      <c r="B1711" s="16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6"/>
      <c r="B1712" s="16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6"/>
      <c r="B1713" s="16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6"/>
      <c r="B1714" s="16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6"/>
      <c r="B1715" s="16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6"/>
      <c r="B1716" s="16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6"/>
      <c r="B1717" s="16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6"/>
      <c r="B1718" s="16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6"/>
      <c r="B1719" s="16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6"/>
      <c r="B1720" s="16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6"/>
      <c r="B1721" s="16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6"/>
      <c r="B1722" s="16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6"/>
      <c r="B1723" s="16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6"/>
      <c r="B1724" s="16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6"/>
      <c r="B1725" s="16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6"/>
      <c r="B1726" s="16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6"/>
      <c r="B1727" s="16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6"/>
      <c r="B1728" s="16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6"/>
      <c r="B1729" s="16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6"/>
      <c r="B1730" s="16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6"/>
      <c r="B1731" s="16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6"/>
      <c r="B1732" s="16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6"/>
      <c r="B1733" s="16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6"/>
      <c r="B1734" s="16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6"/>
      <c r="B1735" s="16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6"/>
      <c r="B1736" s="16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6"/>
      <c r="B1737" s="16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6"/>
      <c r="B1738" s="16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6"/>
      <c r="B1739" s="16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6"/>
      <c r="B1740" s="16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6"/>
      <c r="B1741" s="16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6"/>
      <c r="B1742" s="16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6"/>
      <c r="B1743" s="16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6"/>
      <c r="B1744" s="16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6"/>
      <c r="B1745" s="16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6"/>
      <c r="B1746" s="16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6"/>
      <c r="B1747" s="16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6"/>
      <c r="B1748" s="16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6"/>
      <c r="B1749" s="16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6"/>
      <c r="B1750" s="16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6"/>
      <c r="B1751" s="16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6"/>
      <c r="B1752" s="16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6"/>
      <c r="B1753" s="16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6"/>
      <c r="B1754" s="16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6"/>
      <c r="B1755" s="16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6"/>
      <c r="B1756" s="16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6"/>
      <c r="B1757" s="16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6"/>
      <c r="B1758" s="16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6"/>
      <c r="B1759" s="16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6"/>
      <c r="B1760" s="16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6"/>
      <c r="B1761" s="16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6"/>
      <c r="B1762" s="16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6"/>
      <c r="B1763" s="16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6"/>
      <c r="B1764" s="16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6"/>
      <c r="B1765" s="16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6"/>
      <c r="B1766" s="16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6"/>
      <c r="B1767" s="16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6"/>
      <c r="B1768" s="16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6"/>
      <c r="B1769" s="16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6"/>
      <c r="B1770" s="16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6"/>
      <c r="B1771" s="16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6"/>
      <c r="B1772" s="16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6"/>
      <c r="B1773" s="16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6"/>
      <c r="B1774" s="16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6"/>
      <c r="B1775" s="16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6"/>
      <c r="B1776" s="16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6"/>
      <c r="B1777" s="16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6"/>
      <c r="B1778" s="16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6"/>
      <c r="B1779" s="16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6"/>
      <c r="B1780" s="16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6"/>
      <c r="B1781" s="16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6"/>
      <c r="B1782" s="16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6"/>
      <c r="B1783" s="16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6"/>
      <c r="B1784" s="16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6"/>
      <c r="B1785" s="16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6"/>
      <c r="B1786" s="16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6"/>
      <c r="B1787" s="16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6"/>
      <c r="B1788" s="16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6"/>
      <c r="B1789" s="16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6"/>
      <c r="B1790" s="16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6"/>
      <c r="B1791" s="16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6"/>
      <c r="B1792" s="16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6"/>
      <c r="B1793" s="16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6"/>
      <c r="B1794" s="16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6"/>
      <c r="B1795" s="16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6"/>
      <c r="B1796" s="16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6"/>
      <c r="B1797" s="16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6"/>
      <c r="B1798" s="16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6"/>
      <c r="B1799" s="16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6"/>
      <c r="B1800" s="16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6"/>
      <c r="B1801" s="16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6"/>
      <c r="B1802" s="16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6"/>
      <c r="B1803" s="16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6"/>
      <c r="B1804" s="16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6"/>
      <c r="B1805" s="16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6"/>
      <c r="B1806" s="16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6"/>
      <c r="B1807" s="16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6"/>
      <c r="B1808" s="16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6"/>
      <c r="B1809" s="16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6"/>
      <c r="B1810" s="16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6"/>
      <c r="B1811" s="16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6"/>
      <c r="B1812" s="16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6"/>
      <c r="B1813" s="16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6"/>
      <c r="B1814" s="16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6"/>
      <c r="B1815" s="16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6"/>
      <c r="B1816" s="16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6"/>
      <c r="B1817" s="16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6"/>
      <c r="B1818" s="16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6"/>
      <c r="B1819" s="16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6"/>
      <c r="B1820" s="16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6"/>
      <c r="B1821" s="16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6"/>
      <c r="B1822" s="16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6"/>
      <c r="B1823" s="16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6"/>
      <c r="B1824" s="16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6"/>
      <c r="B1825" s="16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6"/>
      <c r="B1826" s="16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6"/>
      <c r="B1827" s="16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6"/>
      <c r="B1828" s="16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6"/>
      <c r="B1829" s="16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6"/>
      <c r="B1830" s="16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6"/>
      <c r="B1831" s="16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6"/>
      <c r="B1832" s="16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6"/>
      <c r="B1833" s="16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6"/>
      <c r="B1834" s="16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6"/>
      <c r="B1835" s="16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6"/>
      <c r="B1836" s="16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6"/>
      <c r="B1837" s="16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6"/>
      <c r="B1838" s="16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6"/>
      <c r="B1839" s="16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6"/>
      <c r="B1840" s="16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6"/>
      <c r="B1841" s="16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6"/>
      <c r="B1842" s="16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6"/>
      <c r="B1843" s="16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6"/>
      <c r="B1844" s="16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6"/>
      <c r="B1845" s="16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6"/>
      <c r="B1846" s="16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6"/>
      <c r="B1847" s="16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6"/>
      <c r="B1848" s="16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6"/>
      <c r="B1849" s="16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6"/>
      <c r="B1850" s="16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6"/>
      <c r="B1851" s="16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6"/>
      <c r="B1852" s="16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6"/>
      <c r="B1853" s="16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6"/>
      <c r="B1854" s="16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6"/>
      <c r="B1855" s="16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6"/>
      <c r="B1856" s="16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6"/>
      <c r="B1857" s="16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6"/>
      <c r="B1858" s="16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6"/>
      <c r="B1859" s="16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6"/>
      <c r="B1860" s="16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6"/>
      <c r="B1861" s="16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6"/>
      <c r="B1862" s="16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6"/>
      <c r="B1863" s="16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6"/>
      <c r="B1864" s="16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6"/>
      <c r="B1865" s="16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6"/>
      <c r="B1866" s="16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6"/>
      <c r="B1867" s="16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6"/>
      <c r="B1868" s="16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6"/>
      <c r="B1869" s="16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6"/>
      <c r="B1870" s="16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6"/>
      <c r="B1871" s="16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6"/>
      <c r="B1872" s="16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6"/>
      <c r="B1873" s="16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6"/>
      <c r="B1874" s="16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6"/>
      <c r="B1875" s="16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6"/>
      <c r="B1876" s="16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6"/>
      <c r="B1877" s="16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6"/>
      <c r="B1878" s="16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6"/>
      <c r="B1879" s="16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6"/>
      <c r="B1880" s="16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6"/>
      <c r="B1881" s="16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6"/>
      <c r="B1882" s="16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6"/>
      <c r="B1883" s="16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6"/>
      <c r="B1884" s="16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6"/>
      <c r="B1885" s="16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6"/>
      <c r="B1886" s="16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6"/>
      <c r="B1887" s="16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6"/>
      <c r="B1888" s="16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6"/>
      <c r="B1889" s="16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6"/>
      <c r="B1890" s="16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6"/>
      <c r="B1891" s="16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6"/>
      <c r="B1892" s="16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6"/>
      <c r="B1893" s="16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6"/>
      <c r="B1894" s="16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6"/>
      <c r="B1895" s="16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6"/>
      <c r="B1896" s="16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6"/>
      <c r="B1897" s="16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6"/>
      <c r="B1898" s="16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6"/>
      <c r="B1899" s="16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6"/>
      <c r="B1900" s="16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6"/>
      <c r="B1901" s="16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6"/>
      <c r="B1902" s="16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6"/>
      <c r="B1903" s="16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6"/>
      <c r="B1904" s="16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6"/>
      <c r="B1905" s="16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6"/>
      <c r="B1906" s="16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6"/>
      <c r="B1907" s="16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6"/>
      <c r="B1908" s="16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6"/>
      <c r="B1909" s="16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6"/>
      <c r="B1910" s="16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6"/>
      <c r="B1911" s="16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6"/>
      <c r="B1912" s="16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6"/>
      <c r="B1913" s="16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6"/>
      <c r="B1914" s="16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6"/>
      <c r="B1915" s="16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6"/>
      <c r="B1916" s="16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6"/>
      <c r="B1917" s="16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6"/>
      <c r="B1918" s="16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6"/>
      <c r="B1919" s="16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6"/>
      <c r="B1920" s="16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6"/>
      <c r="B1921" s="16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6"/>
      <c r="B1922" s="16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6"/>
      <c r="B1923" s="16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6"/>
      <c r="B1924" s="16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6"/>
      <c r="B1925" s="16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6"/>
      <c r="B1926" s="16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6"/>
      <c r="B1927" s="16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6"/>
      <c r="B1928" s="16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6"/>
      <c r="B1929" s="16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6"/>
      <c r="B1930" s="16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6"/>
      <c r="B1931" s="16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6"/>
      <c r="B1932" s="16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6"/>
      <c r="B1933" s="16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6"/>
      <c r="B1934" s="16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6"/>
      <c r="B1935" s="16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6"/>
      <c r="B1936" s="16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6"/>
      <c r="B1937" s="16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6"/>
      <c r="B1938" s="16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6"/>
      <c r="B1939" s="16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6"/>
      <c r="B1940" s="16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6"/>
      <c r="B1941" s="16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6"/>
      <c r="B1942" s="16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6"/>
      <c r="B1943" s="16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6"/>
      <c r="B1944" s="16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6"/>
      <c r="B1945" s="16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6"/>
      <c r="B1946" s="16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6"/>
      <c r="B1947" s="16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6"/>
      <c r="B1948" s="16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6"/>
      <c r="B1949" s="16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6"/>
      <c r="B1950" s="16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6"/>
      <c r="B1951" s="16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6"/>
      <c r="B1952" s="16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6"/>
      <c r="B1953" s="16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6"/>
      <c r="B1954" s="16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6"/>
      <c r="B1955" s="16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6"/>
      <c r="B1956" s="16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6"/>
      <c r="B1957" s="16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6"/>
      <c r="B1958" s="16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6"/>
      <c r="B1959" s="16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6"/>
      <c r="B1960" s="16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6"/>
      <c r="B1961" s="16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6"/>
      <c r="B1962" s="16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6"/>
      <c r="B1963" s="16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6"/>
      <c r="B1964" s="16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6"/>
      <c r="B1965" s="16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6"/>
      <c r="B1966" s="16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6"/>
      <c r="B1967" s="16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6"/>
      <c r="B1968" s="16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6"/>
      <c r="B1969" s="16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6"/>
      <c r="B1970" s="16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6"/>
      <c r="B1971" s="16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6"/>
      <c r="B1972" s="16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6"/>
      <c r="B1973" s="16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6"/>
      <c r="B1974" s="16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6"/>
      <c r="B1975" s="16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6"/>
      <c r="B1976" s="16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6"/>
      <c r="B1977" s="16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6"/>
      <c r="B1978" s="16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6"/>
      <c r="B1979" s="16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6"/>
      <c r="B1980" s="16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6"/>
      <c r="B1981" s="16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6"/>
      <c r="B1982" s="16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6"/>
      <c r="B1983" s="16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6"/>
      <c r="B1984" s="16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6"/>
      <c r="B1985" s="16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6"/>
      <c r="B1986" s="16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6"/>
      <c r="B1987" s="16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6"/>
      <c r="B1988" s="16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6"/>
      <c r="B1989" s="16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6"/>
      <c r="B1990" s="16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6"/>
      <c r="B1991" s="16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6"/>
      <c r="B1992" s="16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6"/>
      <c r="B1993" s="16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6"/>
      <c r="B1994" s="16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6"/>
      <c r="B1995" s="16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6"/>
      <c r="B1996" s="16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6"/>
      <c r="B1997" s="16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6"/>
      <c r="B1998" s="16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6"/>
      <c r="B1999" s="16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6"/>
      <c r="B2000" s="16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6"/>
      <c r="B2001" s="16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6"/>
      <c r="B2002" s="16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6"/>
      <c r="B2003" s="16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6"/>
      <c r="B2004" s="16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6"/>
      <c r="B2005" s="16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6"/>
      <c r="B2006" s="16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6"/>
      <c r="B2007" s="16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6"/>
      <c r="B2008" s="16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6"/>
      <c r="B2009" s="16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6"/>
      <c r="B2010" s="16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6"/>
      <c r="B2011" s="16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6"/>
      <c r="B2012" s="16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6"/>
      <c r="B2013" s="16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6"/>
      <c r="B2014" s="16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6"/>
      <c r="B2015" s="16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6"/>
      <c r="B2016" s="16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6"/>
      <c r="B2017" s="16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6"/>
      <c r="B2018" s="16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6"/>
      <c r="B2019" s="16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6"/>
      <c r="B2020" s="16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6"/>
      <c r="B2021" s="16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6"/>
      <c r="B2022" s="16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6"/>
      <c r="B2023" s="16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6"/>
      <c r="B2024" s="16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6"/>
      <c r="B2025" s="16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6"/>
      <c r="B2026" s="16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6"/>
      <c r="B2027" s="16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6"/>
      <c r="B2028" s="16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6"/>
      <c r="B2029" s="16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6"/>
      <c r="B2030" s="16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6"/>
      <c r="B2031" s="16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6"/>
      <c r="B2032" s="16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6"/>
      <c r="B2033" s="16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6"/>
      <c r="B2034" s="16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6"/>
      <c r="B2035" s="16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6"/>
      <c r="B2036" s="16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6"/>
      <c r="B2037" s="16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6"/>
      <c r="B2038" s="16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6"/>
      <c r="B2039" s="16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6"/>
      <c r="B2040" s="16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6"/>
      <c r="B2041" s="16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6"/>
      <c r="B2042" s="16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6"/>
      <c r="B2043" s="16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6"/>
      <c r="B2044" s="16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6"/>
      <c r="B2045" s="16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6"/>
      <c r="B2046" s="16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6"/>
      <c r="B2047" s="16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6"/>
      <c r="B2048" s="16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6"/>
      <c r="B2049" s="16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6"/>
      <c r="B2050" s="16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6"/>
      <c r="B2051" s="16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6"/>
      <c r="B2052" s="16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6"/>
      <c r="B2053" s="16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6"/>
      <c r="B2054" s="16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6"/>
      <c r="B2055" s="16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6"/>
      <c r="B2056" s="16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6"/>
      <c r="B2057" s="16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6"/>
      <c r="B2058" s="16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6"/>
      <c r="B2059" s="16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6"/>
      <c r="B2060" s="16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6"/>
      <c r="B2061" s="16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6"/>
      <c r="B2062" s="16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6"/>
      <c r="B2063" s="16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6"/>
      <c r="B2064" s="16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6"/>
      <c r="B2065" s="16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6"/>
      <c r="B2066" s="16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6"/>
      <c r="B2067" s="16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6"/>
      <c r="B2068" s="16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6"/>
      <c r="B2069" s="16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6"/>
      <c r="B2070" s="16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6"/>
      <c r="B2071" s="16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6"/>
      <c r="B2072" s="16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6"/>
      <c r="B2073" s="16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6"/>
      <c r="B2074" s="16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6"/>
      <c r="B2075" s="16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6"/>
      <c r="B2076" s="16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6"/>
      <c r="B2077" s="16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6"/>
      <c r="B2078" s="16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6"/>
      <c r="B2079" s="16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6"/>
      <c r="B2080" s="16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6"/>
      <c r="B2081" s="16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6"/>
      <c r="B2082" s="16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6"/>
      <c r="B2083" s="16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6"/>
      <c r="B2084" s="16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6"/>
      <c r="B2085" s="16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6"/>
      <c r="B2086" s="16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6"/>
      <c r="B2087" s="16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6"/>
      <c r="B2088" s="16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6"/>
      <c r="B2089" s="16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6"/>
      <c r="B2090" s="16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6"/>
      <c r="B2091" s="16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6"/>
      <c r="B2092" s="16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6"/>
      <c r="B2093" s="16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6"/>
      <c r="B2094" s="16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6"/>
      <c r="B2095" s="16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6"/>
      <c r="B2096" s="16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6"/>
      <c r="B2097" s="16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6"/>
      <c r="B2098" s="16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6"/>
      <c r="B2099" s="16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6"/>
      <c r="B2100" s="16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6"/>
      <c r="B2101" s="16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6"/>
      <c r="B2102" s="16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6"/>
      <c r="B2103" s="16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6"/>
      <c r="B2104" s="16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6"/>
      <c r="B2105" s="16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6"/>
      <c r="B2106" s="16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6"/>
      <c r="B2107" s="16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6"/>
      <c r="B2108" s="16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6"/>
      <c r="B2109" s="16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6"/>
      <c r="B2110" s="16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6"/>
      <c r="B2111" s="16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6"/>
      <c r="B2112" s="16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6"/>
      <c r="B2113" s="16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6"/>
      <c r="B2114" s="16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6"/>
      <c r="B2115" s="16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6"/>
      <c r="B2116" s="16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6"/>
      <c r="B2117" s="16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6"/>
      <c r="B2118" s="16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6"/>
      <c r="B2119" s="16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6"/>
      <c r="B2120" s="16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6"/>
      <c r="B2121" s="16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6"/>
      <c r="B2122" s="16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6"/>
      <c r="B2123" s="16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6"/>
      <c r="B2124" s="16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6"/>
      <c r="B2125" s="16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6"/>
      <c r="B2126" s="16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6"/>
      <c r="B2127" s="16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6"/>
      <c r="B2128" s="16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6"/>
      <c r="B2129" s="16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6"/>
      <c r="B2130" s="16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6"/>
      <c r="B2131" s="16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6"/>
      <c r="B2132" s="16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6"/>
      <c r="B2133" s="16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6"/>
      <c r="B2134" s="16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6"/>
      <c r="B2135" s="16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6"/>
      <c r="B2136" s="16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6"/>
      <c r="B2137" s="16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6"/>
      <c r="B2138" s="16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6"/>
      <c r="B2139" s="16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6"/>
      <c r="B2140" s="16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6"/>
      <c r="B2141" s="16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6"/>
      <c r="B2142" s="16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6"/>
      <c r="B2143" s="16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6"/>
      <c r="B2144" s="16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6"/>
      <c r="B2145" s="16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6"/>
      <c r="B2146" s="16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6"/>
      <c r="B2147" s="16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6"/>
      <c r="B2148" s="16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6"/>
      <c r="B2149" s="16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6"/>
      <c r="B2150" s="16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6"/>
      <c r="B2151" s="16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6"/>
      <c r="B2152" s="16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6"/>
      <c r="B2153" s="16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6"/>
      <c r="B2154" s="16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6"/>
      <c r="B2155" s="16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6"/>
      <c r="B2156" s="16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6"/>
      <c r="B2157" s="16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6"/>
      <c r="B2158" s="16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6"/>
      <c r="B2159" s="16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6"/>
      <c r="B2160" s="16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6"/>
      <c r="B2161" s="16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6"/>
      <c r="B2162" s="16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6"/>
      <c r="B2163" s="16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6"/>
      <c r="B2164" s="16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6"/>
      <c r="B2165" s="16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6"/>
      <c r="B2166" s="16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6"/>
      <c r="B2167" s="16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6"/>
      <c r="B2168" s="16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6"/>
      <c r="B2169" s="16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6"/>
      <c r="B2170" s="16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6"/>
      <c r="B2171" s="16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6"/>
      <c r="B2172" s="16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6"/>
      <c r="B2173" s="16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6"/>
      <c r="B2174" s="16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6"/>
      <c r="B2175" s="16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6"/>
      <c r="B2176" s="16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6"/>
      <c r="B2177" s="16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6"/>
      <c r="B2178" s="16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6"/>
      <c r="B2179" s="16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6"/>
      <c r="B2180" s="16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6"/>
      <c r="B2181" s="16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6"/>
      <c r="B2182" s="16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6"/>
      <c r="B2183" s="16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6"/>
      <c r="B2184" s="16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6"/>
      <c r="B2185" s="16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6"/>
      <c r="B2186" s="16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6"/>
      <c r="B2187" s="16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6"/>
      <c r="B2188" s="16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6"/>
      <c r="B2189" s="16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6"/>
      <c r="B2190" s="16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6"/>
      <c r="B2191" s="16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6"/>
      <c r="B2192" s="16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6"/>
      <c r="B2193" s="16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6"/>
      <c r="B2194" s="16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6"/>
      <c r="B2195" s="16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6"/>
      <c r="B2196" s="16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6"/>
      <c r="B2197" s="16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6"/>
      <c r="B2198" s="16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6"/>
      <c r="B2199" s="16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6"/>
      <c r="B2200" s="16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6"/>
      <c r="B2201" s="16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6"/>
      <c r="B2202" s="16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6"/>
      <c r="B2203" s="16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6"/>
      <c r="B2204" s="16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6"/>
      <c r="B2205" s="16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6"/>
      <c r="B2206" s="16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6"/>
      <c r="B2207" s="16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6"/>
      <c r="B2208" s="16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6"/>
      <c r="B2209" s="16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6"/>
      <c r="B2210" s="16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6"/>
      <c r="B2211" s="16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6"/>
      <c r="B2212" s="16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6"/>
      <c r="B2213" s="16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6"/>
      <c r="B2214" s="16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6"/>
      <c r="B2215" s="16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6"/>
      <c r="B2216" s="16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6"/>
      <c r="B2217" s="16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6"/>
      <c r="B2218" s="16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6"/>
      <c r="B2219" s="16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6"/>
      <c r="B2220" s="16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6"/>
      <c r="B2221" s="16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6"/>
      <c r="B2222" s="16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6"/>
      <c r="B2223" s="16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6"/>
      <c r="B2224" s="16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6"/>
      <c r="B2225" s="16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6"/>
      <c r="B2226" s="16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6"/>
      <c r="B2227" s="16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6"/>
      <c r="B2228" s="16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6"/>
      <c r="B2229" s="16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6"/>
      <c r="B2230" s="16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6"/>
      <c r="B2231" s="16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6"/>
      <c r="B2232" s="16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6"/>
      <c r="B2233" s="16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6"/>
      <c r="B2234" s="16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6"/>
      <c r="B2235" s="16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6"/>
      <c r="B2236" s="16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6"/>
      <c r="B2237" s="16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6"/>
      <c r="B2238" s="16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6"/>
      <c r="B2239" s="16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6"/>
      <c r="B2240" s="16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6"/>
      <c r="B2241" s="16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6"/>
      <c r="B2242" s="16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6"/>
      <c r="B2243" s="16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6"/>
      <c r="B2244" s="16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6"/>
      <c r="B2245" s="16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6"/>
      <c r="B2246" s="16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6"/>
      <c r="B2247" s="16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6"/>
      <c r="B2248" s="16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6"/>
      <c r="B2249" s="16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6"/>
      <c r="B2250" s="16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6"/>
      <c r="B2251" s="16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6"/>
      <c r="B2252" s="16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6"/>
      <c r="B2253" s="16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6"/>
      <c r="B2254" s="16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6"/>
      <c r="B2255" s="16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6"/>
      <c r="B2256" s="16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6"/>
      <c r="B2257" s="16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6"/>
      <c r="B2258" s="16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6"/>
      <c r="B2259" s="16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6"/>
      <c r="B2260" s="16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6"/>
      <c r="B2261" s="16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6"/>
      <c r="B2262" s="16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6"/>
      <c r="B2263" s="16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6"/>
      <c r="B2264" s="16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6"/>
      <c r="B2265" s="16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6"/>
      <c r="B2266" s="16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6"/>
      <c r="B2267" s="16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6"/>
      <c r="B2268" s="16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6"/>
      <c r="B2269" s="16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6"/>
      <c r="B2270" s="16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6"/>
      <c r="B2271" s="16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6"/>
      <c r="B2272" s="16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6"/>
      <c r="B2273" s="16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6"/>
      <c r="B2274" s="16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6"/>
      <c r="B2275" s="16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6"/>
      <c r="B2276" s="16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6"/>
      <c r="B2277" s="16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6"/>
      <c r="B2278" s="16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6"/>
      <c r="B2279" s="16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6"/>
      <c r="B2280" s="16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6"/>
      <c r="B2281" s="16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6"/>
      <c r="B2282" s="16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6"/>
      <c r="B2283" s="16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6"/>
      <c r="B2284" s="16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6"/>
      <c r="B2285" s="16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6"/>
      <c r="B2286" s="16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6"/>
      <c r="B2287" s="16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6"/>
      <c r="B2288" s="16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6"/>
      <c r="B2289" s="16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6"/>
      <c r="B2290" s="16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6"/>
      <c r="B2291" s="16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6"/>
      <c r="B2292" s="16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6"/>
      <c r="B2293" s="16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6"/>
      <c r="B2294" s="16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6"/>
      <c r="B2295" s="16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6"/>
      <c r="B2296" s="16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6"/>
      <c r="B2297" s="16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6"/>
      <c r="B2298" s="16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6"/>
      <c r="B2299" s="16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6"/>
      <c r="B2300" s="16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6"/>
      <c r="B2301" s="16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6"/>
      <c r="B2302" s="16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6"/>
      <c r="B2303" s="16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6"/>
      <c r="B2304" s="16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6"/>
      <c r="B2305" s="16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6"/>
      <c r="B2306" s="16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6"/>
      <c r="B2307" s="16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6"/>
      <c r="B2308" s="16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6"/>
      <c r="B2309" s="16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6"/>
      <c r="B2310" s="16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6"/>
      <c r="B2311" s="16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6"/>
      <c r="B2312" s="16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6"/>
      <c r="B2313" s="16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6"/>
      <c r="B2314" s="16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6"/>
      <c r="B2315" s="16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6"/>
      <c r="B2316" s="16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6"/>
      <c r="B2317" s="16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6"/>
      <c r="B2318" s="16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6"/>
      <c r="B2319" s="16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6"/>
      <c r="B2320" s="16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6"/>
      <c r="B2321" s="16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6"/>
      <c r="B2322" s="16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6"/>
      <c r="B2323" s="16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6"/>
      <c r="B2324" s="16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6"/>
      <c r="B2325" s="16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6"/>
      <c r="B2326" s="16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6"/>
      <c r="B2327" s="16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6"/>
      <c r="B2328" s="16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6"/>
      <c r="B2329" s="16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6"/>
      <c r="B2330" s="16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6"/>
      <c r="B2331" s="16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6"/>
      <c r="B2332" s="16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6"/>
      <c r="B2333" s="16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6"/>
      <c r="B2334" s="16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6"/>
      <c r="B2335" s="16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6"/>
      <c r="B2336" s="16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6"/>
      <c r="B2337" s="16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6"/>
      <c r="B2338" s="16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6"/>
      <c r="B2339" s="16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6"/>
      <c r="B2340" s="16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6"/>
      <c r="B2341" s="16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6"/>
      <c r="B2342" s="16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6"/>
      <c r="B2343" s="16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6"/>
      <c r="B2344" s="16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6"/>
      <c r="B2345" s="16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6"/>
      <c r="B2346" s="16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6"/>
      <c r="B2347" s="16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6"/>
      <c r="B2348" s="16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6"/>
      <c r="B2349" s="16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6"/>
      <c r="B2350" s="16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6"/>
      <c r="B2351" s="16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6"/>
      <c r="B2352" s="16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6"/>
      <c r="B2353" s="16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6"/>
      <c r="B2354" s="16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6"/>
      <c r="B2355" s="16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6"/>
      <c r="B2356" s="16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6"/>
      <c r="B2357" s="16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6"/>
      <c r="B2358" s="16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6"/>
      <c r="B2359" s="16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6"/>
      <c r="B2360" s="16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6"/>
      <c r="B2361" s="16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6"/>
      <c r="B2362" s="16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6"/>
      <c r="B2363" s="16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6"/>
      <c r="B2364" s="16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6"/>
      <c r="B2365" s="16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6"/>
      <c r="B2366" s="16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6"/>
      <c r="B2367" s="16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6"/>
      <c r="B2368" s="16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6"/>
      <c r="B2369" s="16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6"/>
      <c r="B2370" s="16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6"/>
      <c r="B2371" s="16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6"/>
      <c r="B2372" s="16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6"/>
      <c r="B2373" s="16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6"/>
      <c r="B2374" s="16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6"/>
      <c r="B2375" s="16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6"/>
      <c r="B2376" s="16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6"/>
      <c r="B2377" s="16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6"/>
      <c r="B2378" s="16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6"/>
      <c r="B2379" s="16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6"/>
      <c r="B2380" s="16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6"/>
      <c r="B2381" s="16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6"/>
      <c r="B2382" s="16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6"/>
      <c r="B2383" s="16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6"/>
      <c r="B2384" s="16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6"/>
      <c r="B2385" s="16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6"/>
      <c r="B2386" s="16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6"/>
      <c r="B2387" s="16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6"/>
      <c r="B2388" s="16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6"/>
      <c r="B2389" s="16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6"/>
      <c r="B2390" s="16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6"/>
      <c r="B2391" s="16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6"/>
      <c r="B2392" s="16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6"/>
      <c r="B2393" s="16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6"/>
      <c r="B2394" s="16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6"/>
      <c r="B2395" s="16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6"/>
      <c r="B2396" s="16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6"/>
      <c r="B2397" s="16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6"/>
      <c r="B2398" s="16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6"/>
      <c r="B2399" s="16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6"/>
      <c r="B2400" s="16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6"/>
      <c r="B2401" s="16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6"/>
      <c r="B2402" s="16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6"/>
      <c r="B2403" s="16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6"/>
      <c r="B2404" s="16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6"/>
      <c r="B2405" s="16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6"/>
      <c r="B2406" s="16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6"/>
      <c r="B2407" s="16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6"/>
      <c r="B2408" s="16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6"/>
      <c r="B2409" s="16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6"/>
      <c r="B2410" s="16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6"/>
      <c r="B2411" s="16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6"/>
      <c r="B2412" s="16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6"/>
      <c r="B2413" s="16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6"/>
      <c r="B2414" s="16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6"/>
      <c r="B2415" s="16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6"/>
      <c r="B2416" s="16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6"/>
      <c r="B2417" s="16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6"/>
      <c r="B2418" s="16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6"/>
      <c r="B2419" s="16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6"/>
      <c r="B2420" s="16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6"/>
      <c r="B2421" s="16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6"/>
      <c r="B2422" s="16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6"/>
      <c r="B2423" s="16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6"/>
      <c r="B2424" s="16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6"/>
      <c r="B2425" s="16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6"/>
      <c r="B2426" s="16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6"/>
      <c r="B2427" s="16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6"/>
      <c r="B2428" s="16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6"/>
      <c r="B2429" s="16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6"/>
      <c r="B2430" s="16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6"/>
      <c r="B2431" s="16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6"/>
      <c r="B2432" s="16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6"/>
      <c r="B2433" s="16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6"/>
      <c r="B2434" s="16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6"/>
      <c r="B2435" s="16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6"/>
      <c r="B2436" s="16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6"/>
      <c r="B2437" s="16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6"/>
      <c r="B2438" s="16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6"/>
      <c r="B2439" s="16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6"/>
      <c r="B2440" s="16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6"/>
      <c r="B2441" s="16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6"/>
      <c r="B2442" s="16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6"/>
      <c r="B2443" s="16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6"/>
      <c r="B2444" s="16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6"/>
      <c r="B2445" s="16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6"/>
      <c r="B2446" s="16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6"/>
      <c r="B2447" s="16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6"/>
      <c r="B2448" s="16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6"/>
      <c r="B2449" s="16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6"/>
      <c r="B2450" s="16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6"/>
      <c r="B2451" s="16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6"/>
      <c r="B2452" s="16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6"/>
      <c r="B2453" s="16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6"/>
      <c r="B2454" s="16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6"/>
      <c r="B2455" s="16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6"/>
      <c r="B2456" s="16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6"/>
      <c r="B2457" s="16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6"/>
      <c r="B2458" s="16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6"/>
      <c r="B2459" s="16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6"/>
      <c r="B2460" s="16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6"/>
      <c r="B2461" s="16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6"/>
      <c r="B2462" s="16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6"/>
      <c r="B2463" s="16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6"/>
      <c r="B2464" s="16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6"/>
      <c r="B2465" s="16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6"/>
      <c r="B2466" s="16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6"/>
      <c r="B2467" s="16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6"/>
      <c r="B2468" s="16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6"/>
      <c r="B2469" s="16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6"/>
      <c r="B2470" s="16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6"/>
      <c r="B2471" s="16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6"/>
      <c r="B2472" s="16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6"/>
      <c r="B2473" s="16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6"/>
      <c r="B2474" s="16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6"/>
      <c r="B2475" s="16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6"/>
      <c r="B2476" s="16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6"/>
      <c r="B2477" s="16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6"/>
      <c r="B2478" s="16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6"/>
      <c r="B2479" s="16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6"/>
      <c r="B2480" s="16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6"/>
      <c r="B2481" s="16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6"/>
      <c r="B2482" s="16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6"/>
      <c r="B2483" s="16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6"/>
      <c r="B2484" s="16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6"/>
      <c r="B2485" s="16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6"/>
      <c r="B2486" s="16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6"/>
      <c r="B2487" s="16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6"/>
      <c r="B2488" s="16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6"/>
      <c r="B2489" s="16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6"/>
      <c r="B2490" s="16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6"/>
      <c r="B2491" s="16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6"/>
      <c r="B2492" s="16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6"/>
      <c r="B2493" s="16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6"/>
      <c r="B2494" s="16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6"/>
      <c r="B2495" s="16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6"/>
      <c r="B2496" s="16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6"/>
      <c r="B2497" s="16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6"/>
      <c r="B2498" s="16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6"/>
      <c r="B2499" s="16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6"/>
      <c r="B2500" s="16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6"/>
      <c r="B2501" s="16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6"/>
      <c r="B2502" s="16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6"/>
      <c r="B2503" s="16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6"/>
      <c r="B2504" s="16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6"/>
      <c r="B2505" s="16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6"/>
      <c r="B2506" s="16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6"/>
      <c r="B2507" s="16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6"/>
      <c r="B2508" s="16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6"/>
      <c r="B2509" s="16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6"/>
      <c r="B2510" s="16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6"/>
      <c r="B2511" s="16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6"/>
      <c r="B2512" s="16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6"/>
      <c r="B2513" s="16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6"/>
      <c r="B2514" s="16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6"/>
      <c r="B2515" s="16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6"/>
      <c r="B2516" s="16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6"/>
      <c r="B2517" s="16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6"/>
      <c r="B2518" s="16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6"/>
      <c r="B2519" s="16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6"/>
      <c r="B2520" s="16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6"/>
      <c r="B2521" s="16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6"/>
      <c r="B2522" s="16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6"/>
      <c r="B2523" s="16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6"/>
      <c r="B2524" s="16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6"/>
      <c r="B2525" s="16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6"/>
      <c r="B2526" s="16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6"/>
      <c r="B2527" s="16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6"/>
      <c r="B2528" s="16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6"/>
      <c r="B2529" s="16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6"/>
      <c r="B2530" s="16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6"/>
      <c r="B2531" s="16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6"/>
      <c r="B2532" s="16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6"/>
      <c r="B2533" s="16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6"/>
      <c r="B2534" s="16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6"/>
      <c r="B2535" s="16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6"/>
      <c r="B2536" s="16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6"/>
      <c r="B2537" s="16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6"/>
      <c r="B2538" s="16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6"/>
      <c r="B2539" s="16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6"/>
      <c r="B2540" s="16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6"/>
      <c r="B2541" s="16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6"/>
      <c r="B2542" s="16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6"/>
      <c r="B2543" s="16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6"/>
      <c r="B2544" s="16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6"/>
      <c r="B2545" s="16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6"/>
      <c r="B2546" s="16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6"/>
      <c r="B2547" s="16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6"/>
      <c r="B2548" s="16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6"/>
      <c r="B2549" s="16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6"/>
      <c r="B2550" s="16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6"/>
      <c r="B2551" s="16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6"/>
      <c r="B2552" s="16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6"/>
      <c r="B2553" s="16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6"/>
      <c r="B2554" s="16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6"/>
      <c r="B2555" s="16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6"/>
      <c r="B2556" s="16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6"/>
      <c r="B2557" s="16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6"/>
      <c r="B2558" s="16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6"/>
      <c r="B2559" s="16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6"/>
      <c r="B2560" s="16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6"/>
      <c r="B2561" s="16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6"/>
      <c r="B2562" s="16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6"/>
      <c r="B2563" s="16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6"/>
      <c r="B2564" s="16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6"/>
      <c r="B2565" s="16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6"/>
      <c r="B2566" s="16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6"/>
      <c r="B2567" s="16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6"/>
      <c r="B2568" s="16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6"/>
      <c r="B2569" s="16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6"/>
      <c r="B2570" s="16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6"/>
      <c r="B2571" s="16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6"/>
      <c r="B2572" s="16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6"/>
      <c r="B2573" s="16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6"/>
      <c r="B2574" s="16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6"/>
      <c r="B2575" s="16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6"/>
      <c r="B2576" s="16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6"/>
      <c r="B2577" s="16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6"/>
      <c r="B2578" s="16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6"/>
      <c r="B2579" s="16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6"/>
      <c r="B2580" s="16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6"/>
      <c r="B2581" s="16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6"/>
      <c r="B2582" s="16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6"/>
      <c r="B2583" s="16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6"/>
      <c r="B2584" s="16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6"/>
      <c r="B2585" s="16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6"/>
      <c r="B2586" s="16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6"/>
      <c r="B2587" s="16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6"/>
      <c r="B2588" s="16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6"/>
      <c r="B2589" s="16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6"/>
      <c r="B2590" s="16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6"/>
      <c r="B2591" s="16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6"/>
      <c r="B2592" s="16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6"/>
      <c r="B2593" s="16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6"/>
      <c r="B2594" s="16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6"/>
      <c r="B2595" s="16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6"/>
      <c r="B2596" s="16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6"/>
      <c r="B2597" s="16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6"/>
      <c r="B2598" s="16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6"/>
      <c r="B2599" s="16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6"/>
      <c r="B2600" s="16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6"/>
      <c r="B2601" s="16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6"/>
      <c r="B2602" s="16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6"/>
      <c r="B2603" s="16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6"/>
      <c r="B2604" s="16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6"/>
      <c r="B2605" s="16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6"/>
      <c r="B2606" s="16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6"/>
      <c r="B2607" s="16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6"/>
      <c r="B2608" s="16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6"/>
      <c r="B2609" s="16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6"/>
      <c r="B2610" s="16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6"/>
      <c r="B2611" s="16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6"/>
      <c r="B2612" s="16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6"/>
      <c r="B2613" s="16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6"/>
      <c r="B2614" s="16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6"/>
      <c r="B2615" s="16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6"/>
      <c r="B2616" s="16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6"/>
      <c r="B2617" s="16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6"/>
      <c r="B2618" s="16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6"/>
      <c r="B2619" s="16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6"/>
      <c r="B2620" s="16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6"/>
      <c r="B2621" s="16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6"/>
      <c r="B2622" s="16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6"/>
      <c r="B2623" s="16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6"/>
      <c r="B2624" s="16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6"/>
      <c r="B2625" s="16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6"/>
      <c r="B2626" s="16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6"/>
      <c r="B2627" s="16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6"/>
      <c r="B2628" s="16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6"/>
      <c r="B2629" s="16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6"/>
      <c r="B2630" s="16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6"/>
      <c r="B2631" s="16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6"/>
      <c r="B2632" s="16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6"/>
      <c r="B2633" s="16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6"/>
      <c r="B2634" s="16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6"/>
      <c r="B2635" s="16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6"/>
      <c r="B2636" s="16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6"/>
      <c r="B2637" s="16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6"/>
      <c r="B2638" s="16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6"/>
      <c r="B2639" s="16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6"/>
      <c r="B2640" s="16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6"/>
      <c r="B2641" s="16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6"/>
      <c r="B2642" s="16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6"/>
      <c r="B2643" s="16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6"/>
      <c r="B2644" s="16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6"/>
      <c r="B2645" s="16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6"/>
      <c r="B2646" s="16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6"/>
      <c r="B2647" s="16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6"/>
      <c r="B2648" s="16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6"/>
      <c r="B2649" s="16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6"/>
      <c r="B2650" s="16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6"/>
      <c r="B2651" s="16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6"/>
      <c r="B2652" s="16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6"/>
      <c r="B2653" s="16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6"/>
      <c r="B2654" s="16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6"/>
      <c r="B2655" s="16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6"/>
      <c r="B2656" s="16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6"/>
      <c r="B2657" s="16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6"/>
      <c r="B2658" s="16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6"/>
      <c r="B2659" s="16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6"/>
      <c r="B2660" s="16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6"/>
      <c r="B2661" s="16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6"/>
      <c r="B2662" s="16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6"/>
      <c r="B2663" s="16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6"/>
      <c r="B2664" s="16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6"/>
      <c r="B2665" s="16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6"/>
      <c r="B2666" s="16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6"/>
      <c r="B2667" s="16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6"/>
      <c r="B2668" s="16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6"/>
      <c r="B2669" s="16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6"/>
      <c r="B2670" s="16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6"/>
      <c r="B2671" s="16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6"/>
      <c r="B2672" s="16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6"/>
      <c r="B2673" s="16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6"/>
      <c r="B2674" s="16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6"/>
      <c r="B2675" s="16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6"/>
      <c r="B2676" s="16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6"/>
      <c r="B2677" s="16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6"/>
      <c r="B2678" s="16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6"/>
      <c r="B2679" s="16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6"/>
      <c r="B2680" s="16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6"/>
      <c r="B2681" s="16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6"/>
      <c r="B2682" s="16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6"/>
      <c r="B2683" s="16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6"/>
      <c r="B2684" s="16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6"/>
      <c r="B2685" s="16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6"/>
      <c r="B2686" s="16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6"/>
      <c r="B2687" s="16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6"/>
      <c r="B2688" s="16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6"/>
      <c r="B2689" s="16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6"/>
      <c r="B2690" s="16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6"/>
      <c r="B2691" s="16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6"/>
      <c r="B2692" s="16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6"/>
      <c r="B2693" s="16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6"/>
      <c r="B2694" s="16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6"/>
      <c r="B2695" s="16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6"/>
      <c r="B2696" s="16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6"/>
      <c r="B2697" s="16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6"/>
      <c r="B2698" s="16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6"/>
      <c r="B2699" s="16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6"/>
      <c r="B2700" s="16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6"/>
      <c r="B2701" s="16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6"/>
      <c r="B2702" s="16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6"/>
      <c r="B2703" s="16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6"/>
      <c r="B2704" s="16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6"/>
      <c r="B2705" s="16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6"/>
      <c r="B2706" s="16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6"/>
      <c r="B2707" s="16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6"/>
      <c r="B2708" s="16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6"/>
      <c r="B2709" s="16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6"/>
      <c r="B2710" s="16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6"/>
      <c r="B2711" s="16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6"/>
      <c r="B2712" s="16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6"/>
      <c r="B2713" s="16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6"/>
      <c r="B2714" s="16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6"/>
      <c r="B2715" s="16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6"/>
      <c r="B2716" s="16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6"/>
      <c r="B2717" s="16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6"/>
      <c r="B2718" s="16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6"/>
      <c r="B2719" s="16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6"/>
      <c r="B2720" s="16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6"/>
      <c r="B2721" s="16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6"/>
      <c r="B2722" s="16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6"/>
      <c r="B2723" s="16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6"/>
      <c r="B2724" s="16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6"/>
      <c r="B2725" s="16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6"/>
      <c r="B2726" s="16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6"/>
      <c r="B2727" s="16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6"/>
      <c r="B2728" s="16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6"/>
      <c r="B2729" s="16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6"/>
      <c r="B2730" s="16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6"/>
      <c r="B2731" s="16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6"/>
      <c r="B2732" s="16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6"/>
      <c r="B2733" s="16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6"/>
      <c r="B2734" s="16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6"/>
      <c r="B2735" s="16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6"/>
      <c r="B2736" s="16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6"/>
      <c r="B2737" s="16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6"/>
      <c r="B2738" s="16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6"/>
      <c r="B2739" s="16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6"/>
      <c r="B2740" s="16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6"/>
      <c r="B2741" s="16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6"/>
      <c r="B2742" s="16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6"/>
      <c r="B2743" s="16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6"/>
      <c r="B2744" s="16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6"/>
      <c r="B2745" s="16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6"/>
      <c r="B2746" s="16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6"/>
      <c r="B2747" s="16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6"/>
      <c r="B2748" s="16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6"/>
      <c r="B2749" s="16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6"/>
      <c r="B2750" s="16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6"/>
      <c r="B2751" s="16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6"/>
      <c r="B2752" s="16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6"/>
      <c r="B2753" s="16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6"/>
      <c r="B2754" s="16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6"/>
      <c r="B2755" s="16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6"/>
      <c r="B2756" s="16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6"/>
      <c r="B2757" s="16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6"/>
      <c r="B2758" s="16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6"/>
      <c r="B2759" s="16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6"/>
      <c r="B2760" s="16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6"/>
      <c r="B2761" s="16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6"/>
      <c r="B2762" s="16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6"/>
      <c r="B2763" s="16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6"/>
      <c r="B2764" s="16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6"/>
      <c r="B2765" s="16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6"/>
      <c r="B2766" s="16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6"/>
      <c r="B2767" s="16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6"/>
      <c r="B2768" s="16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6"/>
      <c r="B2769" s="16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6"/>
      <c r="B2770" s="16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6"/>
      <c r="B2771" s="16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6"/>
      <c r="B2772" s="16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6"/>
      <c r="B2773" s="16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6"/>
      <c r="B2774" s="16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6"/>
      <c r="B2775" s="16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6"/>
      <c r="B2776" s="16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6"/>
      <c r="B2777" s="16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6"/>
      <c r="B2778" s="16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6"/>
      <c r="B2779" s="16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6"/>
      <c r="B2780" s="16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6"/>
      <c r="B2781" s="16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6"/>
      <c r="B2782" s="16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6"/>
      <c r="B2783" s="16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6"/>
      <c r="B2784" s="16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6"/>
      <c r="B2785" s="16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6"/>
      <c r="B2786" s="16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6"/>
      <c r="B2787" s="16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6"/>
      <c r="B2788" s="16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6"/>
      <c r="B2789" s="16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6"/>
      <c r="B2790" s="16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6"/>
      <c r="B2791" s="16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6"/>
      <c r="B2792" s="16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6"/>
      <c r="B2793" s="16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6"/>
      <c r="B2794" s="16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6"/>
      <c r="B2795" s="16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6"/>
      <c r="B2796" s="16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6"/>
      <c r="B2797" s="16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6"/>
      <c r="B2798" s="16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6"/>
      <c r="B2799" s="16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6"/>
      <c r="B2800" s="16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6"/>
      <c r="B2801" s="16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6"/>
      <c r="B2802" s="16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6"/>
      <c r="B2803" s="16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6"/>
      <c r="B2804" s="16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6"/>
      <c r="B2805" s="16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6"/>
      <c r="B2806" s="16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6"/>
      <c r="B2807" s="16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6"/>
      <c r="B2808" s="16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6"/>
      <c r="B2809" s="16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6"/>
      <c r="B2810" s="16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6"/>
      <c r="B2811" s="16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6"/>
      <c r="B2812" s="16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6"/>
      <c r="B2813" s="16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6"/>
      <c r="B2814" s="16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6"/>
      <c r="B2815" s="16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6"/>
      <c r="B2816" s="16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6"/>
      <c r="B2817" s="16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6"/>
      <c r="B2818" s="16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6"/>
      <c r="B2819" s="16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6"/>
      <c r="B2820" s="16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6"/>
      <c r="B2821" s="16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6"/>
      <c r="B2822" s="16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6"/>
      <c r="B2823" s="16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6"/>
      <c r="B2824" s="16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6"/>
      <c r="B2825" s="16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6"/>
      <c r="B2826" s="16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6"/>
      <c r="B2827" s="16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6"/>
      <c r="B2828" s="16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6"/>
      <c r="B2829" s="16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6"/>
      <c r="B2830" s="16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6"/>
      <c r="B2831" s="16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6"/>
      <c r="B2832" s="16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6"/>
      <c r="B2833" s="16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6"/>
      <c r="B2834" s="16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6"/>
      <c r="B2835" s="16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6"/>
      <c r="B2836" s="16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6"/>
      <c r="B2837" s="16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6"/>
      <c r="B2838" s="16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6"/>
      <c r="B2839" s="16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6"/>
      <c r="B2840" s="16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6"/>
      <c r="B2841" s="16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6"/>
      <c r="B2842" s="16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6"/>
      <c r="B2843" s="16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6"/>
      <c r="B2844" s="16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6"/>
      <c r="B2845" s="16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6"/>
      <c r="B2846" s="16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6"/>
      <c r="B2847" s="16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6"/>
      <c r="B2848" s="16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6"/>
      <c r="B2849" s="16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6"/>
      <c r="B2850" s="16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6"/>
      <c r="B2851" s="16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6"/>
      <c r="B2852" s="16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6"/>
      <c r="B2853" s="16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6"/>
      <c r="B2854" s="16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6"/>
      <c r="B2855" s="16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6"/>
      <c r="B2856" s="16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6"/>
      <c r="B2857" s="16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6"/>
      <c r="B2858" s="16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6"/>
      <c r="B2859" s="16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6"/>
      <c r="B2860" s="16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6"/>
      <c r="B2861" s="16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6"/>
      <c r="B2862" s="16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6"/>
      <c r="B2863" s="16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6"/>
      <c r="B2864" s="16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6"/>
      <c r="B2865" s="16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6"/>
      <c r="B2866" s="16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6"/>
      <c r="B2867" s="16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6"/>
      <c r="B2868" s="16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6"/>
      <c r="B2869" s="16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6"/>
      <c r="B2870" s="16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6"/>
      <c r="B2871" s="16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6"/>
      <c r="B2872" s="16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6"/>
      <c r="B2873" s="16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6"/>
      <c r="B2874" s="16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6"/>
      <c r="B2875" s="16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6"/>
      <c r="B2876" s="16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6"/>
      <c r="B2877" s="16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6"/>
      <c r="B2878" s="16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6"/>
      <c r="B2879" s="16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6"/>
      <c r="B2880" s="16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6"/>
      <c r="B2881" s="16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6"/>
      <c r="B2882" s="16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6"/>
      <c r="B2883" s="16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6"/>
      <c r="B2884" s="16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6"/>
      <c r="B2885" s="16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6"/>
      <c r="B2886" s="16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6"/>
      <c r="B2887" s="16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6"/>
      <c r="B2888" s="16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6"/>
      <c r="B2889" s="16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6"/>
      <c r="B2890" s="16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6"/>
      <c r="B2891" s="16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6"/>
      <c r="B2892" s="16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6"/>
      <c r="B2893" s="16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6"/>
      <c r="B2894" s="16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6"/>
      <c r="B2895" s="16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6"/>
      <c r="B2896" s="16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6"/>
      <c r="B2897" s="16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6"/>
      <c r="B2898" s="16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6"/>
      <c r="B2899" s="16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6"/>
      <c r="B2900" s="16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6"/>
      <c r="B2901" s="16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6"/>
      <c r="B2902" s="16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6"/>
      <c r="B2903" s="16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6"/>
      <c r="B2904" s="16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6"/>
      <c r="B2905" s="16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6"/>
      <c r="B2906" s="16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6"/>
      <c r="B2907" s="16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6"/>
      <c r="B2908" s="16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6"/>
      <c r="B2909" s="16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6"/>
      <c r="B2910" s="16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6"/>
      <c r="B2911" s="16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6"/>
      <c r="B2912" s="16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6"/>
      <c r="B2913" s="16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6"/>
      <c r="B2914" s="16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6"/>
      <c r="B2915" s="16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6"/>
      <c r="B2916" s="16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6"/>
      <c r="B2917" s="16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6"/>
      <c r="B2918" s="16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6"/>
      <c r="B2919" s="16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6"/>
      <c r="B2920" s="16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6"/>
      <c r="B2921" s="16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6"/>
      <c r="B2922" s="16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6"/>
      <c r="B2923" s="16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6"/>
      <c r="B2924" s="16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6"/>
      <c r="B2925" s="16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6"/>
      <c r="B2926" s="16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6"/>
      <c r="B2927" s="16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6"/>
      <c r="B2928" s="16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6"/>
      <c r="B2929" s="16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6"/>
      <c r="B2930" s="16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6"/>
      <c r="B2931" s="16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6"/>
      <c r="B2932" s="16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6"/>
      <c r="B2933" s="16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6"/>
      <c r="B2934" s="16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6"/>
      <c r="B2935" s="16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6"/>
      <c r="B2936" s="16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6"/>
      <c r="B2937" s="16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6"/>
      <c r="B2938" s="16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6"/>
      <c r="B2939" s="16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6"/>
      <c r="B2940" s="16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6"/>
      <c r="B2941" s="16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6"/>
      <c r="B2942" s="16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6"/>
      <c r="B2943" s="16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6"/>
      <c r="B2944" s="16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6"/>
      <c r="B2945" s="16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6"/>
      <c r="B2946" s="16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6"/>
      <c r="B2947" s="16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6"/>
      <c r="B2948" s="16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6"/>
      <c r="B2949" s="16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6"/>
      <c r="B2950" s="16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6"/>
      <c r="B2951" s="16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6"/>
      <c r="B2952" s="16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6"/>
      <c r="B2953" s="16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6"/>
      <c r="B2954" s="16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6"/>
      <c r="B2955" s="16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6"/>
      <c r="B2956" s="16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6"/>
      <c r="B2957" s="16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6"/>
      <c r="B2958" s="16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6"/>
      <c r="B2959" s="16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6"/>
      <c r="B2960" s="16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6"/>
      <c r="B2961" s="16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6"/>
      <c r="B2962" s="16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6"/>
      <c r="B2963" s="16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6"/>
      <c r="B2964" s="16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6"/>
      <c r="B2965" s="16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6"/>
      <c r="B2966" s="16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6"/>
      <c r="B2967" s="16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6"/>
      <c r="B2968" s="16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6"/>
      <c r="B2969" s="16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6"/>
      <c r="B2970" s="16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6"/>
      <c r="B2971" s="16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6"/>
      <c r="B2972" s="16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6"/>
      <c r="B2973" s="16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6"/>
      <c r="B2974" s="16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6"/>
      <c r="B2975" s="16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6"/>
      <c r="B2976" s="16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6"/>
      <c r="B2977" s="16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6"/>
      <c r="B2978" s="16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6"/>
      <c r="B2979" s="16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6"/>
      <c r="B2980" s="16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6"/>
      <c r="B2981" s="16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6"/>
      <c r="B2982" s="16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6"/>
      <c r="B2983" s="16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6"/>
      <c r="B2984" s="16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6"/>
      <c r="B2985" s="16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6"/>
      <c r="B2986" s="16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6"/>
      <c r="B2987" s="16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6"/>
      <c r="B2988" s="16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6"/>
      <c r="B2989" s="16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6"/>
      <c r="B2990" s="16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6"/>
      <c r="B2991" s="16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6"/>
      <c r="B2992" s="16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6"/>
      <c r="B2993" s="16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6"/>
      <c r="B2994" s="16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6"/>
      <c r="B2995" s="16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6"/>
      <c r="B2996" s="16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6"/>
      <c r="B2997" s="16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6"/>
      <c r="B2998" s="16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6"/>
      <c r="B2999" s="16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6"/>
      <c r="B3000" s="16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6"/>
      <c r="B3001" s="16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6"/>
      <c r="B3002" s="16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6"/>
      <c r="B3003" s="16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6"/>
      <c r="B3004" s="16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6"/>
      <c r="B3005" s="16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6"/>
      <c r="B3006" s="16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6"/>
      <c r="B3007" s="16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6"/>
      <c r="B3008" s="16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6"/>
      <c r="B3009" s="16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6"/>
      <c r="B3010" s="16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6"/>
      <c r="B3011" s="16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6"/>
      <c r="B3012" s="16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6"/>
      <c r="B3013" s="16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6"/>
      <c r="B3014" s="16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6"/>
      <c r="B3015" s="16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6"/>
      <c r="B3016" s="16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6"/>
      <c r="B3017" s="16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6"/>
      <c r="B3018" s="16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6"/>
      <c r="B3019" s="16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6"/>
      <c r="B3020" s="16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6"/>
      <c r="B3021" s="16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6"/>
      <c r="B3022" s="16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6"/>
      <c r="B3023" s="16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6"/>
      <c r="B3024" s="16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6"/>
      <c r="B3025" s="16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6"/>
      <c r="B3026" s="16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6"/>
      <c r="B3027" s="16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6"/>
      <c r="B3028" s="16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6"/>
      <c r="B3029" s="16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6"/>
      <c r="B3030" s="16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6"/>
      <c r="B3031" s="16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6"/>
      <c r="B3032" s="16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6"/>
      <c r="B3033" s="16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6"/>
      <c r="B3034" s="16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6"/>
      <c r="B3035" s="16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6"/>
      <c r="B3036" s="16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6"/>
      <c r="B3037" s="16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6"/>
      <c r="B3038" s="16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6"/>
      <c r="B3039" s="16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6"/>
      <c r="B3040" s="16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6"/>
      <c r="B3041" s="16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6"/>
      <c r="B3042" s="16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6"/>
      <c r="B3043" s="16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6"/>
      <c r="B3044" s="16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6"/>
      <c r="B3045" s="16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6"/>
      <c r="B3046" s="16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6"/>
      <c r="B3047" s="16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6"/>
      <c r="B3048" s="16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6"/>
      <c r="B3049" s="16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6"/>
      <c r="B3050" s="16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6"/>
      <c r="B3051" s="16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6"/>
      <c r="B3052" s="16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6"/>
      <c r="B3053" s="16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6"/>
      <c r="B3054" s="16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6"/>
      <c r="B3055" s="16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6"/>
      <c r="B3056" s="16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6"/>
      <c r="B3057" s="16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6"/>
      <c r="B3058" s="16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6"/>
      <c r="B3059" s="16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6"/>
      <c r="B3060" s="16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6"/>
      <c r="B3061" s="16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6"/>
      <c r="B3062" s="16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6"/>
      <c r="B3063" s="16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6"/>
      <c r="B3064" s="16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6"/>
      <c r="B3065" s="16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6"/>
      <c r="B3066" s="16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6"/>
      <c r="B3067" s="16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6"/>
      <c r="B3068" s="16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6"/>
      <c r="B3069" s="16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6"/>
      <c r="B3070" s="16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6"/>
      <c r="B3071" s="16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6"/>
      <c r="B3072" s="16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6"/>
      <c r="B3073" s="16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6"/>
      <c r="B3074" s="16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6"/>
      <c r="B3075" s="16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6"/>
      <c r="B3076" s="16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6"/>
      <c r="B3077" s="16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6"/>
      <c r="B3078" s="16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6"/>
      <c r="B3079" s="16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6"/>
      <c r="B3080" s="16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6"/>
      <c r="B3081" s="16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6"/>
      <c r="B3082" s="16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6"/>
      <c r="B3083" s="16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6"/>
      <c r="B3084" s="16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6"/>
      <c r="B3085" s="16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6"/>
      <c r="B3086" s="16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6"/>
      <c r="B3087" s="16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6"/>
      <c r="B3088" s="16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6"/>
      <c r="B3089" s="16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6"/>
      <c r="B3090" s="16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6"/>
      <c r="B3091" s="16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6"/>
      <c r="B3092" s="16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6"/>
      <c r="B3093" s="16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6"/>
      <c r="B3094" s="16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6"/>
      <c r="B3095" s="16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6"/>
      <c r="B3096" s="16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6"/>
      <c r="B3097" s="16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6"/>
      <c r="B3098" s="16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6"/>
      <c r="B3099" s="16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6"/>
      <c r="B3100" s="16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6"/>
      <c r="B3101" s="16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6"/>
      <c r="B3102" s="16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6"/>
      <c r="B3103" s="16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6"/>
      <c r="B3104" s="16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6"/>
      <c r="B3105" s="16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6"/>
      <c r="B3106" s="16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6"/>
      <c r="B3107" s="16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6"/>
      <c r="B3108" s="16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6"/>
      <c r="B3109" s="16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6"/>
      <c r="B3110" s="16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6"/>
      <c r="B3111" s="16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6"/>
      <c r="B3112" s="16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6"/>
      <c r="B3113" s="16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6"/>
      <c r="B3114" s="16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6"/>
      <c r="B3115" s="16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6"/>
      <c r="B3116" s="16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6"/>
      <c r="B3117" s="16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6"/>
      <c r="B3118" s="16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6"/>
      <c r="B3119" s="16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6"/>
      <c r="B3120" s="16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6"/>
      <c r="B3121" s="16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6"/>
      <c r="B3122" s="16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6"/>
      <c r="B3123" s="16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6"/>
      <c r="B3124" s="16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6"/>
      <c r="B3125" s="16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6"/>
      <c r="B3126" s="16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6"/>
      <c r="B3127" s="16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6"/>
      <c r="B3128" s="16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6"/>
      <c r="B3129" s="16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6"/>
      <c r="B3130" s="16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6"/>
      <c r="B3131" s="16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6"/>
      <c r="B3132" s="16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6"/>
      <c r="B3133" s="16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6"/>
      <c r="B3134" s="16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6"/>
      <c r="B3135" s="16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6"/>
      <c r="B3136" s="16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6"/>
      <c r="B3137" s="16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6"/>
      <c r="B3138" s="16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6"/>
      <c r="B3139" s="16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6"/>
      <c r="B3140" s="16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6"/>
      <c r="B3141" s="16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6"/>
      <c r="B3142" s="16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6"/>
      <c r="B3143" s="16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6"/>
      <c r="B3144" s="16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6"/>
      <c r="B3145" s="16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6"/>
      <c r="B3146" s="16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6"/>
      <c r="B3147" s="16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6"/>
      <c r="B3148" s="16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6"/>
      <c r="B3149" s="16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6"/>
      <c r="B3150" s="16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6"/>
      <c r="B3151" s="16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6"/>
      <c r="B3152" s="16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6"/>
      <c r="B3153" s="16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6"/>
      <c r="B3154" s="16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6"/>
      <c r="B3155" s="16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6"/>
      <c r="B3156" s="16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6"/>
      <c r="B3157" s="16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6"/>
      <c r="B3158" s="16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6"/>
      <c r="B3159" s="16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6"/>
      <c r="B3160" s="16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6"/>
      <c r="B3161" s="16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6"/>
      <c r="B3162" s="16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6"/>
      <c r="B3163" s="16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6"/>
      <c r="B3164" s="16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6"/>
      <c r="B3165" s="16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6"/>
      <c r="B3166" s="16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6"/>
      <c r="B3167" s="16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6"/>
      <c r="B3168" s="16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6"/>
      <c r="B3169" s="16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6"/>
      <c r="B3170" s="16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6"/>
      <c r="B3171" s="16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6"/>
      <c r="B3172" s="16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6"/>
      <c r="B3173" s="16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6"/>
      <c r="B3174" s="16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6"/>
      <c r="B3175" s="16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6"/>
      <c r="B3176" s="16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6"/>
      <c r="B3177" s="16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6"/>
      <c r="B3178" s="16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6"/>
      <c r="B3179" s="16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6"/>
      <c r="B3180" s="16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6"/>
      <c r="B3181" s="16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6"/>
      <c r="B3182" s="16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6"/>
      <c r="B3183" s="16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6"/>
      <c r="B3184" s="16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6"/>
      <c r="B3185" s="16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6"/>
      <c r="B3186" s="16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6"/>
      <c r="B3187" s="16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6"/>
      <c r="B3188" s="16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6"/>
      <c r="B3189" s="16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6"/>
      <c r="B3190" s="16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6"/>
      <c r="B3191" s="16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6"/>
      <c r="B3192" s="16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6"/>
      <c r="B3193" s="16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6"/>
      <c r="B3194" s="16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6"/>
      <c r="B3195" s="16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6"/>
      <c r="B3196" s="16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6"/>
      <c r="B3197" s="16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6"/>
      <c r="B3198" s="16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6"/>
      <c r="B3199" s="16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6"/>
      <c r="B3200" s="16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6"/>
      <c r="B3201" s="16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6"/>
      <c r="B3202" s="16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6"/>
      <c r="B3203" s="16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6"/>
      <c r="B3204" s="16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6"/>
      <c r="B3205" s="16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6"/>
      <c r="B3206" s="16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6"/>
      <c r="B3207" s="16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6"/>
      <c r="B3208" s="16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6"/>
      <c r="B3209" s="16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6"/>
      <c r="B3210" s="16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6"/>
      <c r="B3211" s="16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6"/>
      <c r="B3212" s="16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6"/>
      <c r="B3213" s="16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6"/>
      <c r="B3214" s="16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6"/>
      <c r="B3215" s="16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6"/>
      <c r="B3216" s="16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6"/>
      <c r="B3217" s="16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6"/>
      <c r="B3218" s="16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6"/>
      <c r="B3219" s="16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6"/>
      <c r="B3220" s="16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6"/>
      <c r="B3221" s="16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6"/>
      <c r="B3222" s="16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6"/>
      <c r="B3223" s="16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6"/>
      <c r="B3224" s="16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6"/>
      <c r="B3225" s="16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6"/>
      <c r="B3226" s="16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6"/>
      <c r="B3227" s="16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6"/>
      <c r="B3228" s="16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6"/>
      <c r="B3229" s="16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6"/>
      <c r="B3230" s="16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6"/>
      <c r="B3231" s="16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6"/>
      <c r="B3232" s="16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6"/>
      <c r="B3233" s="16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6"/>
      <c r="B3234" s="16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6"/>
      <c r="B3235" s="16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6"/>
      <c r="B3236" s="16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6"/>
      <c r="B3237" s="16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6"/>
      <c r="B3238" s="16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6"/>
      <c r="B3239" s="16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6"/>
      <c r="B3240" s="16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6"/>
      <c r="B3241" s="16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6"/>
      <c r="B3242" s="16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6"/>
      <c r="B3243" s="16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6"/>
      <c r="B3244" s="16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6"/>
      <c r="B3245" s="16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6"/>
      <c r="B3246" s="16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6"/>
      <c r="B3247" s="16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6"/>
      <c r="B3248" s="16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6"/>
      <c r="B3249" s="16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6"/>
      <c r="B3250" s="16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6"/>
      <c r="B3251" s="16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6"/>
      <c r="B3252" s="16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6"/>
      <c r="B3253" s="16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6"/>
      <c r="B3254" s="16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6"/>
      <c r="B3255" s="16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6"/>
      <c r="B3256" s="16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6"/>
      <c r="B3257" s="16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6"/>
      <c r="B3258" s="16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6"/>
      <c r="B3259" s="16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6"/>
      <c r="B3260" s="16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6"/>
      <c r="B3261" s="16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6"/>
      <c r="B3262" s="16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6"/>
      <c r="B3263" s="16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6"/>
      <c r="B3264" s="16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6"/>
      <c r="B3265" s="16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6"/>
      <c r="B3266" s="16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6"/>
      <c r="B3267" s="16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6"/>
      <c r="B3268" s="16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6"/>
      <c r="B3269" s="16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6"/>
      <c r="B3270" s="16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6"/>
      <c r="B3271" s="16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6"/>
      <c r="B3272" s="16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6"/>
      <c r="B3273" s="16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6"/>
      <c r="B3274" s="16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6"/>
      <c r="B3275" s="16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6"/>
      <c r="B3276" s="16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6"/>
      <c r="B3277" s="16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6"/>
      <c r="B3278" s="16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6"/>
      <c r="B3279" s="16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6"/>
      <c r="B3280" s="16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6"/>
      <c r="B3281" s="16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6"/>
      <c r="B3282" s="16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6"/>
      <c r="B3283" s="16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6"/>
      <c r="B3284" s="16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6"/>
      <c r="B3285" s="16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6"/>
      <c r="B3286" s="16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6"/>
      <c r="B3287" s="16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6"/>
      <c r="B3288" s="16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6"/>
      <c r="B3289" s="16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6"/>
      <c r="B3290" s="16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6"/>
      <c r="B3291" s="16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6"/>
      <c r="B3292" s="16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6"/>
      <c r="B3293" s="16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6"/>
      <c r="B3294" s="16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6"/>
      <c r="B3295" s="16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6"/>
      <c r="B3296" s="16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6"/>
      <c r="B3297" s="16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6"/>
      <c r="B3298" s="16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6"/>
      <c r="B3299" s="16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6"/>
      <c r="B3300" s="16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6"/>
      <c r="B3301" s="16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6"/>
      <c r="B3302" s="16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6"/>
      <c r="B3303" s="16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6"/>
      <c r="B3304" s="16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6"/>
      <c r="B3305" s="16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6"/>
      <c r="B3306" s="16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6"/>
      <c r="B3307" s="16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6"/>
      <c r="B3308" s="16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6"/>
      <c r="B3309" s="16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6"/>
      <c r="B3310" s="16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6"/>
      <c r="B3311" s="16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6"/>
      <c r="B3312" s="16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6"/>
      <c r="B3313" s="16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6"/>
      <c r="B3314" s="16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6"/>
      <c r="B3315" s="16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6"/>
      <c r="B3316" s="16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6"/>
      <c r="B3317" s="16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6"/>
      <c r="B3318" s="16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6"/>
      <c r="B3319" s="16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6"/>
      <c r="B3320" s="16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6"/>
      <c r="B3321" s="16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6"/>
      <c r="B3322" s="16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6"/>
      <c r="B3323" s="16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6"/>
      <c r="B3324" s="16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6"/>
      <c r="B3325" s="16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6"/>
      <c r="B3326" s="16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6"/>
      <c r="B3327" s="16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6"/>
      <c r="B3328" s="16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6"/>
      <c r="B3329" s="16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6"/>
      <c r="B3330" s="16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6"/>
      <c r="B3331" s="16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6"/>
      <c r="B3332" s="16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6"/>
      <c r="B3333" s="16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6"/>
      <c r="B3334" s="16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6"/>
      <c r="B3335" s="16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6"/>
      <c r="B3336" s="16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6"/>
      <c r="B3337" s="16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6"/>
      <c r="B3338" s="16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6"/>
      <c r="B3339" s="16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6"/>
      <c r="B3340" s="16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6"/>
      <c r="B3341" s="16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6"/>
      <c r="B3342" s="16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6"/>
      <c r="B3343" s="16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6"/>
      <c r="B3344" s="16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6"/>
      <c r="B3345" s="16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6"/>
      <c r="B3346" s="16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6"/>
      <c r="B3347" s="16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6"/>
      <c r="B3348" s="16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6"/>
      <c r="B3349" s="16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6"/>
      <c r="B3350" s="16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6"/>
      <c r="B3351" s="16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6"/>
      <c r="B3352" s="16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6"/>
      <c r="B3353" s="16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6"/>
      <c r="B3354" s="16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6"/>
      <c r="B3355" s="16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6"/>
      <c r="B3356" s="16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6"/>
      <c r="B3357" s="16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6"/>
      <c r="B3358" s="16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6"/>
      <c r="B3359" s="16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6"/>
      <c r="B3360" s="16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6"/>
      <c r="B3361" s="16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6"/>
      <c r="B3362" s="16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6"/>
      <c r="B3363" s="16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6"/>
      <c r="B3364" s="16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6"/>
      <c r="B3365" s="16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6"/>
      <c r="B3366" s="16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6"/>
      <c r="B3367" s="16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6"/>
      <c r="B3368" s="16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6"/>
      <c r="B3369" s="16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6"/>
      <c r="B3370" s="16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6"/>
      <c r="B3371" s="16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6"/>
      <c r="B3372" s="16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6"/>
      <c r="B3373" s="16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6"/>
      <c r="B3374" s="16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6"/>
      <c r="B3375" s="16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6"/>
      <c r="B3376" s="16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6"/>
      <c r="B3377" s="16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6"/>
      <c r="B3378" s="16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6"/>
      <c r="B3379" s="16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6"/>
      <c r="B3380" s="16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6"/>
      <c r="B3381" s="16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6"/>
      <c r="B3382" s="16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6"/>
      <c r="B3383" s="16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6"/>
      <c r="B3384" s="16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6"/>
      <c r="B3385" s="16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6"/>
      <c r="B3386" s="16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6"/>
      <c r="B3387" s="16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6"/>
      <c r="B3388" s="16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6"/>
      <c r="B3389" s="16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6"/>
      <c r="B3390" s="16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6"/>
      <c r="B3391" s="16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6"/>
      <c r="B3392" s="16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6"/>
      <c r="B3393" s="16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6"/>
      <c r="B3394" s="16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6"/>
      <c r="B3395" s="16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6"/>
      <c r="B3396" s="16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6"/>
      <c r="B3397" s="16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6"/>
      <c r="B3398" s="16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6"/>
      <c r="B3399" s="16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6"/>
      <c r="B3400" s="16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6"/>
      <c r="B3401" s="16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6"/>
      <c r="B3402" s="16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6"/>
      <c r="B3403" s="16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6"/>
      <c r="B3404" s="16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6"/>
      <c r="B3405" s="16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6"/>
      <c r="B3406" s="16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6"/>
      <c r="B3407" s="16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6"/>
      <c r="B3408" s="16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6"/>
      <c r="B3409" s="16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6"/>
      <c r="B3410" s="16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6"/>
      <c r="B3411" s="16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6"/>
      <c r="B3412" s="16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6"/>
      <c r="B3413" s="16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6"/>
      <c r="B3414" s="16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6"/>
      <c r="B3415" s="16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6"/>
      <c r="B3416" s="16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6"/>
      <c r="B3417" s="16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6"/>
      <c r="B3418" s="16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6"/>
      <c r="B3419" s="16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6"/>
      <c r="B3420" s="16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6"/>
      <c r="B3421" s="16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6"/>
      <c r="B3422" s="16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6"/>
      <c r="B3423" s="16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6"/>
      <c r="B3424" s="16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6"/>
      <c r="B3425" s="16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6"/>
      <c r="B3426" s="16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6"/>
      <c r="B3427" s="16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6"/>
      <c r="B3428" s="16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6"/>
      <c r="B3429" s="16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6"/>
      <c r="B3430" s="16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6"/>
      <c r="B3431" s="16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6"/>
      <c r="B3432" s="16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6"/>
      <c r="B3433" s="16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6"/>
      <c r="B3434" s="16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6"/>
      <c r="B3435" s="16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6"/>
      <c r="B3436" s="16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6"/>
      <c r="B3437" s="16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6"/>
      <c r="B3438" s="16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6"/>
      <c r="B3439" s="16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6"/>
      <c r="B3440" s="16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6"/>
      <c r="B3441" s="16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6"/>
      <c r="B3442" s="16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6"/>
      <c r="B3443" s="16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6"/>
      <c r="B3444" s="16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6"/>
      <c r="B3445" s="16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6"/>
      <c r="B3446" s="16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6"/>
      <c r="B3447" s="16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6"/>
      <c r="B3448" s="16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6"/>
      <c r="B3449" s="16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6"/>
      <c r="B3450" s="16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6"/>
      <c r="B3451" s="16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6"/>
      <c r="B3452" s="16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6"/>
      <c r="B3453" s="16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6"/>
      <c r="B3454" s="16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6"/>
      <c r="B3455" s="16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6"/>
      <c r="B3456" s="16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6"/>
      <c r="B3457" s="16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6"/>
      <c r="B3458" s="16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6"/>
      <c r="B3459" s="16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6"/>
      <c r="B3460" s="16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6"/>
      <c r="B3461" s="16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6"/>
      <c r="B3462" s="16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6"/>
      <c r="B3463" s="16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6"/>
      <c r="B3464" s="16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6"/>
      <c r="B3465" s="16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6"/>
      <c r="B3466" s="16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6"/>
      <c r="B3467" s="16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6"/>
      <c r="B3468" s="16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6"/>
      <c r="B3469" s="16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6"/>
      <c r="B3470" s="16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6"/>
      <c r="B3471" s="16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6"/>
      <c r="B3472" s="16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6"/>
      <c r="B3473" s="16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6"/>
      <c r="B3474" s="16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6"/>
      <c r="B3475" s="16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6"/>
      <c r="B3476" s="16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6"/>
      <c r="B3477" s="16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6"/>
      <c r="B3478" s="16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6"/>
      <c r="B3479" s="16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6"/>
      <c r="B3480" s="16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6"/>
      <c r="B3481" s="16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6"/>
      <c r="B3482" s="16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6"/>
      <c r="B3483" s="16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6"/>
      <c r="B3484" s="16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6"/>
      <c r="B3485" s="16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6"/>
      <c r="B3486" s="16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6"/>
      <c r="B3487" s="16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6"/>
      <c r="B3488" s="16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6"/>
      <c r="B3489" s="16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6"/>
      <c r="B3490" s="16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6"/>
      <c r="B3491" s="16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6"/>
      <c r="B3492" s="16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6"/>
      <c r="B3493" s="16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6"/>
      <c r="B3494" s="16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6"/>
      <c r="B3495" s="16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6"/>
      <c r="B3496" s="16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6"/>
      <c r="B3497" s="16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6"/>
      <c r="B3498" s="16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6"/>
      <c r="B3499" s="16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6"/>
      <c r="B3500" s="16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6"/>
      <c r="B3501" s="16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6"/>
      <c r="B3502" s="16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6"/>
      <c r="B3503" s="16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6"/>
      <c r="B3504" s="16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6"/>
      <c r="B3505" s="16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6"/>
      <c r="B3506" s="16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6"/>
      <c r="B3507" s="16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6"/>
      <c r="B3508" s="16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6"/>
      <c r="B3509" s="16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6"/>
      <c r="B3510" s="16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6"/>
      <c r="B3511" s="16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6"/>
      <c r="B3512" s="16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6"/>
      <c r="B3513" s="16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6"/>
      <c r="B3514" s="16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6"/>
      <c r="B3515" s="16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6"/>
      <c r="B3516" s="16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6"/>
      <c r="B3517" s="16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6"/>
      <c r="B3518" s="16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6"/>
      <c r="B3519" s="16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6"/>
      <c r="B3520" s="16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6"/>
      <c r="B3521" s="16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6"/>
      <c r="B3522" s="16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6"/>
      <c r="B3523" s="16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6"/>
      <c r="B3524" s="16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6"/>
      <c r="B3525" s="16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6"/>
      <c r="B3526" s="16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6"/>
      <c r="B3527" s="16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6"/>
      <c r="B3528" s="16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6"/>
      <c r="B3529" s="16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6"/>
      <c r="B3530" s="16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6"/>
      <c r="B3531" s="16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6"/>
      <c r="B3532" s="16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6"/>
      <c r="B3533" s="16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6"/>
      <c r="B3534" s="16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6"/>
      <c r="B3535" s="16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6"/>
      <c r="B3536" s="16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6"/>
      <c r="B3537" s="16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6"/>
      <c r="B3538" s="16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6"/>
      <c r="B3539" s="16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6"/>
      <c r="B3540" s="16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6"/>
      <c r="B3541" s="16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6"/>
      <c r="B3542" s="16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6"/>
      <c r="B3543" s="16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6"/>
      <c r="B3544" s="16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6"/>
      <c r="B3545" s="16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6"/>
      <c r="B3546" s="16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6"/>
      <c r="B3547" s="16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6"/>
      <c r="B3548" s="16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6"/>
      <c r="B3549" s="16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6"/>
      <c r="B3550" s="16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6"/>
      <c r="B3551" s="16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6"/>
      <c r="B3552" s="16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6"/>
      <c r="B3553" s="16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6"/>
      <c r="B3554" s="16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6"/>
      <c r="B3555" s="16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6"/>
      <c r="B3556" s="16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6"/>
      <c r="B3557" s="16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6"/>
      <c r="B3558" s="16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6"/>
      <c r="B3559" s="16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6"/>
      <c r="B3560" s="16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6"/>
      <c r="B3561" s="16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6"/>
      <c r="B3562" s="16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6"/>
      <c r="B3563" s="16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6"/>
      <c r="B3564" s="16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6"/>
      <c r="B3565" s="16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6"/>
      <c r="B3566" s="16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6"/>
      <c r="B3567" s="16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6"/>
      <c r="B3568" s="16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6"/>
      <c r="B3569" s="16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6"/>
      <c r="B3570" s="16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6"/>
      <c r="B3571" s="16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6"/>
      <c r="B3572" s="16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6"/>
      <c r="B3573" s="16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6"/>
      <c r="B3574" s="16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6"/>
      <c r="B3575" s="16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6"/>
      <c r="B3576" s="16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6"/>
      <c r="B3577" s="16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6"/>
      <c r="B3578" s="16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6"/>
      <c r="B3579" s="16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6"/>
      <c r="B3580" s="16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6"/>
      <c r="B3581" s="16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6"/>
      <c r="B3582" s="16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6"/>
      <c r="B3583" s="16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6"/>
      <c r="B3584" s="16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6"/>
      <c r="B3585" s="16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6"/>
      <c r="B3586" s="16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6"/>
      <c r="B3587" s="16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6"/>
      <c r="B3588" s="16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6"/>
      <c r="B3589" s="16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6"/>
      <c r="B3590" s="16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6"/>
      <c r="B3591" s="16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6"/>
      <c r="B3592" s="16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6"/>
      <c r="B3593" s="16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6"/>
      <c r="B3594" s="16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6"/>
      <c r="B3595" s="16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6"/>
      <c r="B3596" s="16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6"/>
      <c r="B3597" s="16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6"/>
      <c r="B3598" s="16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6"/>
      <c r="B3599" s="16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6"/>
      <c r="B3600" s="16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6"/>
      <c r="B3601" s="16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6"/>
      <c r="B3602" s="16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6"/>
      <c r="B3603" s="16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6"/>
      <c r="B3604" s="16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6"/>
      <c r="B3605" s="16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6"/>
      <c r="B3606" s="16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6"/>
      <c r="B3607" s="16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6"/>
      <c r="B3608" s="16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6"/>
      <c r="B3609" s="16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6"/>
      <c r="B3610" s="16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6"/>
      <c r="B3611" s="16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6"/>
      <c r="B3612" s="16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6"/>
      <c r="B3613" s="16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6"/>
      <c r="B3614" s="16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6"/>
      <c r="B3615" s="16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6"/>
      <c r="B3616" s="16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6"/>
      <c r="B3617" s="16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6"/>
      <c r="B3618" s="16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6"/>
      <c r="B3619" s="16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6"/>
      <c r="B3620" s="16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6"/>
      <c r="B3621" s="16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6"/>
      <c r="B3622" s="16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6"/>
      <c r="B3623" s="16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6"/>
      <c r="B3624" s="16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6"/>
      <c r="B3625" s="16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6"/>
      <c r="B3626" s="16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6"/>
      <c r="B3627" s="16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6"/>
      <c r="B3628" s="16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6"/>
      <c r="B3629" s="16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6"/>
      <c r="B3630" s="16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6"/>
      <c r="B3631" s="16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6"/>
      <c r="B3632" s="16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6"/>
      <c r="B3633" s="16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6"/>
      <c r="B3634" s="16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6"/>
      <c r="B3635" s="16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6"/>
      <c r="B3636" s="16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6"/>
      <c r="B3637" s="16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6"/>
      <c r="B3638" s="16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6"/>
      <c r="B3639" s="16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6"/>
      <c r="B3640" s="16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6"/>
      <c r="B3641" s="16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6"/>
      <c r="B3642" s="16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6"/>
      <c r="B3643" s="16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6"/>
      <c r="B3644" s="16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6"/>
      <c r="B3645" s="16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6"/>
      <c r="B3646" s="16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6"/>
      <c r="B3647" s="16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6"/>
      <c r="B3648" s="16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6"/>
      <c r="B3649" s="16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6"/>
      <c r="B3650" s="16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6"/>
      <c r="B3651" s="16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6"/>
      <c r="B3652" s="16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6"/>
      <c r="B3653" s="16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6"/>
      <c r="B3654" s="16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6"/>
      <c r="B3655" s="16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6"/>
      <c r="B3656" s="16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6"/>
      <c r="B3657" s="16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6"/>
      <c r="B3658" s="16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6"/>
      <c r="B3659" s="16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6"/>
      <c r="B3660" s="16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6"/>
      <c r="B3661" s="16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6"/>
      <c r="B3662" s="16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6"/>
      <c r="B3663" s="16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6"/>
      <c r="B3664" s="16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6"/>
      <c r="B3665" s="16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6"/>
      <c r="B3666" s="16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6"/>
      <c r="B3667" s="16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6"/>
      <c r="B3668" s="16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6"/>
      <c r="B3669" s="16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6"/>
      <c r="B3670" s="16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6"/>
      <c r="B3671" s="16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6"/>
      <c r="B3672" s="16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6"/>
      <c r="B3673" s="16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6"/>
      <c r="B3674" s="16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6"/>
      <c r="B3675" s="16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6"/>
      <c r="B3676" s="16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6"/>
      <c r="B3677" s="16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6"/>
      <c r="B3678" s="16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6"/>
      <c r="B3679" s="16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6"/>
      <c r="B3680" s="16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6"/>
      <c r="B3681" s="16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6"/>
      <c r="B3682" s="16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6"/>
      <c r="B3683" s="16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6"/>
      <c r="B3684" s="16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6"/>
      <c r="B3685" s="16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6"/>
      <c r="B3686" s="16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6"/>
      <c r="B3687" s="16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6"/>
      <c r="B3688" s="16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6"/>
      <c r="B3689" s="16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6"/>
      <c r="B3690" s="16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6"/>
      <c r="B3691" s="16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6"/>
      <c r="B3692" s="16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6"/>
      <c r="B3693" s="16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6"/>
      <c r="B3694" s="16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6"/>
      <c r="B3695" s="16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6"/>
      <c r="B3696" s="16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6"/>
      <c r="B3697" s="16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6"/>
      <c r="B3698" s="16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6"/>
      <c r="B3699" s="16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6"/>
      <c r="B3700" s="16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6"/>
      <c r="B3701" s="16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6"/>
      <c r="B3702" s="16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6"/>
      <c r="B3703" s="16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6"/>
      <c r="B3704" s="16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6"/>
      <c r="B3705" s="16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6"/>
      <c r="B3706" s="16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6"/>
      <c r="B3707" s="16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6"/>
      <c r="B3708" s="16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6"/>
      <c r="B3709" s="16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6"/>
      <c r="B3710" s="16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6"/>
      <c r="B3711" s="16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6"/>
      <c r="B3712" s="16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6"/>
      <c r="B3713" s="16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6"/>
      <c r="B3714" s="16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6"/>
      <c r="B3715" s="16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6"/>
      <c r="B3716" s="16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6"/>
      <c r="B3717" s="16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6"/>
      <c r="B3718" s="16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6"/>
      <c r="B3719" s="16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6"/>
      <c r="B3720" s="16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6"/>
      <c r="B3721" s="16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6"/>
      <c r="B3722" s="16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6"/>
      <c r="B3723" s="16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6"/>
      <c r="B3724" s="16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6"/>
      <c r="B3725" s="16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6"/>
      <c r="B3726" s="16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6"/>
      <c r="B3727" s="16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6"/>
      <c r="B3728" s="16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6"/>
      <c r="B3729" s="16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6"/>
      <c r="B3730" s="16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6"/>
      <c r="B3731" s="16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6"/>
      <c r="B3732" s="16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6"/>
      <c r="B3733" s="16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6"/>
      <c r="B3734" s="16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6"/>
      <c r="B3735" s="16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6"/>
      <c r="B3736" s="16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6"/>
      <c r="B3737" s="16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6"/>
      <c r="B3738" s="16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6"/>
      <c r="B3739" s="16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6"/>
      <c r="B3740" s="16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6"/>
      <c r="B3741" s="16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6"/>
      <c r="B3742" s="16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6"/>
      <c r="B3743" s="16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6"/>
      <c r="B3744" s="16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6"/>
      <c r="B3745" s="16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6"/>
      <c r="B3746" s="16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6"/>
      <c r="B3747" s="16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6"/>
      <c r="B3748" s="16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6"/>
      <c r="B3749" s="16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6"/>
      <c r="B3750" s="16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6"/>
      <c r="B3751" s="16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6"/>
      <c r="B3752" s="16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6"/>
      <c r="B3753" s="16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6"/>
      <c r="B3754" s="16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6"/>
      <c r="B3755" s="16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6"/>
      <c r="B3756" s="16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6"/>
      <c r="B3757" s="16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6"/>
      <c r="B3758" s="16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6"/>
      <c r="B3759" s="16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6"/>
      <c r="B3760" s="16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6"/>
      <c r="B3761" s="16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6"/>
      <c r="B3762" s="16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6"/>
      <c r="B3763" s="16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6"/>
      <c r="B3764" s="16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6"/>
      <c r="B3765" s="16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6"/>
      <c r="B3766" s="16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6"/>
      <c r="B3767" s="16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6"/>
      <c r="B3768" s="16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6"/>
      <c r="B3769" s="16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6"/>
      <c r="B3770" s="16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6"/>
      <c r="B3771" s="16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6"/>
      <c r="B3772" s="16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6"/>
      <c r="B3773" s="16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6"/>
      <c r="B3774" s="16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6"/>
      <c r="B3775" s="16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6"/>
      <c r="B3776" s="16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6"/>
      <c r="B3777" s="16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6"/>
      <c r="B3778" s="16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6"/>
      <c r="B3779" s="16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6"/>
      <c r="B3780" s="16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6"/>
      <c r="B3781" s="16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6"/>
      <c r="B3782" s="16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6"/>
      <c r="B3783" s="16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6"/>
      <c r="B3784" s="16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6"/>
      <c r="B3785" s="16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6"/>
      <c r="B3786" s="16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6"/>
      <c r="B3787" s="16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6"/>
      <c r="B3788" s="16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6"/>
      <c r="B3789" s="16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6"/>
      <c r="B3790" s="16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6"/>
      <c r="B3791" s="16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6"/>
      <c r="B3792" s="16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6"/>
      <c r="B3793" s="16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6"/>
      <c r="B3794" s="16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6"/>
      <c r="B3795" s="16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6"/>
      <c r="B3796" s="16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6"/>
      <c r="B3797" s="16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6"/>
      <c r="B3798" s="16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6"/>
      <c r="B3799" s="16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6"/>
      <c r="B3800" s="16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6"/>
      <c r="B3801" s="16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6"/>
      <c r="B3802" s="16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6"/>
      <c r="B3803" s="16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6"/>
      <c r="B3804" s="16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6"/>
      <c r="B3805" s="16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6"/>
      <c r="B3806" s="16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6"/>
      <c r="B3807" s="16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6"/>
      <c r="B3808" s="16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6"/>
      <c r="B3809" s="16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6"/>
      <c r="B3810" s="16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6"/>
      <c r="B3811" s="16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6"/>
      <c r="B3812" s="16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6"/>
      <c r="B3813" s="16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6"/>
      <c r="B3814" s="16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6"/>
      <c r="B3815" s="16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6"/>
      <c r="B3816" s="16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6"/>
      <c r="B3817" s="16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6"/>
      <c r="B3818" s="16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6"/>
      <c r="B3819" s="16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6"/>
      <c r="B3820" s="16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6"/>
      <c r="B3821" s="16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6"/>
      <c r="B3822" s="16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6"/>
      <c r="B3823" s="16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6"/>
      <c r="B3824" s="16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6"/>
      <c r="B3825" s="16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6"/>
      <c r="B3826" s="16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6"/>
      <c r="B3827" s="16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6"/>
      <c r="B3828" s="16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6"/>
      <c r="B3829" s="16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6"/>
      <c r="B3830" s="16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6"/>
      <c r="B3831" s="16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6"/>
      <c r="B3832" s="16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6"/>
      <c r="B3833" s="16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6"/>
      <c r="B3834" s="16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6"/>
      <c r="B3835" s="16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6"/>
      <c r="B3836" s="16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6"/>
      <c r="B3837" s="16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6"/>
      <c r="B3838" s="16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6"/>
      <c r="B3839" s="16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6"/>
      <c r="B3840" s="16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6"/>
      <c r="B3841" s="16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6"/>
      <c r="B3842" s="16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6"/>
      <c r="B3843" s="16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6"/>
      <c r="B3844" s="16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6"/>
      <c r="B3845" s="16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6"/>
      <c r="B3846" s="16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6"/>
      <c r="B3847" s="16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6"/>
      <c r="B3848" s="16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6"/>
      <c r="B3849" s="16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6"/>
      <c r="B3850" s="16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6"/>
      <c r="B3851" s="16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6"/>
      <c r="B3852" s="16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6"/>
      <c r="B3853" s="16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6"/>
      <c r="B3854" s="16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6"/>
      <c r="B3855" s="16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6"/>
      <c r="B3856" s="16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6"/>
      <c r="B3857" s="16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6"/>
      <c r="B3858" s="16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6"/>
      <c r="B3859" s="16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6"/>
      <c r="B3860" s="16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6"/>
      <c r="B3861" s="16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6"/>
      <c r="B3862" s="16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6"/>
      <c r="B3863" s="16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6"/>
      <c r="B3864" s="16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6"/>
      <c r="B3865" s="16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6"/>
      <c r="B3866" s="16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6"/>
      <c r="B3867" s="16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6"/>
      <c r="B3868" s="16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6"/>
      <c r="B3869" s="16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6"/>
      <c r="B3870" s="16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6"/>
      <c r="B3871" s="16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6"/>
      <c r="B3872" s="16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6"/>
      <c r="B3873" s="16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6"/>
      <c r="B3874" s="16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6"/>
      <c r="B3875" s="16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6"/>
      <c r="B3876" s="16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6"/>
      <c r="B3877" s="16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6"/>
      <c r="B3878" s="16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6"/>
      <c r="B3879" s="16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6"/>
      <c r="B3880" s="16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6"/>
      <c r="B3881" s="16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6"/>
      <c r="B3882" s="16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6"/>
      <c r="B3883" s="16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6"/>
      <c r="B3884" s="16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6"/>
      <c r="B3885" s="16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6"/>
      <c r="B3886" s="16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6"/>
      <c r="B3887" s="16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6"/>
      <c r="B3888" s="16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6"/>
      <c r="B3889" s="16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6"/>
      <c r="B3890" s="16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6"/>
      <c r="B3891" s="16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6"/>
      <c r="B3892" s="16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6"/>
      <c r="B3893" s="16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6"/>
      <c r="B3894" s="16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6"/>
      <c r="B3895" s="16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6"/>
      <c r="B3896" s="16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6"/>
      <c r="B3897" s="16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6"/>
      <c r="B3898" s="16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6"/>
      <c r="B3899" s="16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6"/>
      <c r="B3900" s="16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6"/>
      <c r="B3901" s="16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6"/>
      <c r="B3902" s="16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6"/>
      <c r="B3903" s="16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6"/>
      <c r="B3904" s="16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6"/>
      <c r="B3905" s="16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6"/>
      <c r="B3906" s="16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6"/>
      <c r="B3907" s="16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6"/>
      <c r="B3908" s="16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6"/>
      <c r="B3909" s="16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6"/>
      <c r="B3910" s="16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6"/>
      <c r="B3911" s="16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6"/>
      <c r="B3912" s="16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6"/>
      <c r="B3913" s="16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6"/>
      <c r="B3914" s="16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6"/>
      <c r="B3915" s="16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6"/>
      <c r="B3916" s="16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6"/>
      <c r="B3917" s="16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6"/>
      <c r="B3918" s="16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6"/>
      <c r="B3919" s="16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6"/>
      <c r="B3920" s="16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6"/>
      <c r="B3921" s="16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6"/>
      <c r="B3922" s="16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6"/>
      <c r="B3923" s="16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6"/>
      <c r="B3924" s="16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6"/>
      <c r="B3925" s="16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6"/>
      <c r="B3926" s="16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6"/>
      <c r="B3927" s="16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6"/>
      <c r="B3928" s="16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6"/>
      <c r="B3929" s="16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6"/>
      <c r="B3930" s="16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6"/>
      <c r="B3931" s="16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6"/>
      <c r="B3932" s="16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6"/>
      <c r="B3933" s="16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6"/>
      <c r="B3934" s="16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6"/>
      <c r="B3935" s="16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6"/>
      <c r="B3936" s="16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6"/>
      <c r="B3937" s="16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6"/>
      <c r="B3938" s="16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6"/>
      <c r="B3939" s="16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6"/>
      <c r="B3940" s="16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6"/>
      <c r="B3941" s="16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6"/>
      <c r="B3942" s="16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6"/>
      <c r="B3943" s="16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6"/>
      <c r="B3944" s="16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6"/>
      <c r="B3945" s="16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6"/>
      <c r="B3946" s="16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6"/>
      <c r="B3947" s="16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6"/>
      <c r="B3948" s="16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6"/>
      <c r="B3949" s="16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6"/>
      <c r="B3950" s="16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6"/>
      <c r="B3951" s="16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6"/>
      <c r="B3952" s="16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6"/>
      <c r="B3953" s="16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6"/>
      <c r="B3954" s="16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6"/>
      <c r="B3955" s="16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6"/>
      <c r="B3956" s="16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6"/>
      <c r="B3957" s="16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6"/>
      <c r="B3958" s="16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6"/>
      <c r="B3959" s="16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6"/>
      <c r="B3960" s="16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6"/>
      <c r="B3961" s="16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6"/>
      <c r="B3962" s="16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6"/>
      <c r="B3963" s="16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6"/>
      <c r="B3964" s="16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6"/>
      <c r="B3965" s="16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6"/>
      <c r="B3966" s="16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6"/>
      <c r="B3967" s="16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6"/>
      <c r="B3968" s="16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6"/>
      <c r="B3969" s="16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6"/>
      <c r="B3970" s="16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6"/>
      <c r="B3971" s="16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6"/>
      <c r="B3972" s="16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6"/>
      <c r="B3973" s="16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6"/>
      <c r="B3974" s="16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6"/>
      <c r="B3975" s="16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6"/>
      <c r="B3976" s="16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6"/>
      <c r="B3977" s="16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6"/>
      <c r="B3978" s="16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6"/>
      <c r="B3979" s="16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6"/>
      <c r="B3980" s="16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6"/>
      <c r="B3981" s="16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6"/>
      <c r="B3982" s="16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6"/>
      <c r="B3983" s="16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6"/>
      <c r="B3984" s="16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6"/>
      <c r="B3985" s="16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6"/>
      <c r="B3986" s="16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6"/>
      <c r="B3987" s="16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6"/>
      <c r="B3988" s="16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6"/>
      <c r="B3989" s="16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6"/>
      <c r="B3990" s="16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6"/>
      <c r="B3991" s="16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6"/>
      <c r="B3992" s="16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6"/>
      <c r="B3993" s="16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6"/>
      <c r="B3994" s="16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6"/>
      <c r="B3995" s="16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6"/>
      <c r="B3996" s="16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6"/>
      <c r="B3997" s="16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6"/>
      <c r="B3998" s="16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6"/>
      <c r="B3999" s="16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6"/>
      <c r="B4000" s="16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6"/>
      <c r="B4001" s="16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6"/>
      <c r="B4002" s="16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6"/>
      <c r="B4003" s="16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6"/>
      <c r="B4004" s="16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6"/>
      <c r="B4005" s="16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6"/>
      <c r="B4006" s="16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6"/>
      <c r="B4007" s="16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6"/>
      <c r="B4008" s="16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6"/>
      <c r="B4009" s="16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6"/>
      <c r="B4010" s="16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6"/>
      <c r="B4011" s="16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6"/>
      <c r="B4012" s="16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6"/>
      <c r="B4013" s="16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6"/>
      <c r="B4014" s="16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6"/>
      <c r="B4015" s="16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6"/>
      <c r="B4016" s="16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6"/>
      <c r="B4017" s="16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6"/>
      <c r="B4018" s="16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6"/>
      <c r="B4019" s="16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6"/>
      <c r="B4020" s="16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6"/>
      <c r="B4021" s="16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6"/>
      <c r="B4022" s="16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6"/>
      <c r="B4023" s="16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6"/>
      <c r="B4024" s="16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6"/>
      <c r="B4025" s="16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6"/>
      <c r="B4026" s="16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6"/>
      <c r="B4027" s="16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6"/>
      <c r="B4028" s="16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6"/>
      <c r="B4029" s="16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6"/>
      <c r="B4030" s="16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6"/>
      <c r="B4031" s="16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6"/>
      <c r="B4032" s="16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6"/>
      <c r="B4033" s="16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6"/>
      <c r="B4034" s="16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6"/>
      <c r="B4035" s="16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6"/>
      <c r="B4036" s="16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6"/>
      <c r="B4037" s="16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6"/>
      <c r="B4038" s="16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6"/>
      <c r="B4039" s="16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6"/>
      <c r="B4040" s="16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6"/>
      <c r="B4041" s="16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6"/>
      <c r="B4042" s="16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6"/>
      <c r="B4043" s="16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6"/>
      <c r="B4044" s="16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6"/>
      <c r="B4045" s="16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6"/>
      <c r="B4046" s="16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6"/>
      <c r="B4047" s="16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6"/>
      <c r="B4048" s="16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6"/>
      <c r="B4049" s="16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6"/>
      <c r="B4050" s="16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6"/>
      <c r="B4051" s="16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6"/>
      <c r="B4052" s="16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6"/>
      <c r="B4053" s="16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6"/>
      <c r="B4054" s="16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6"/>
      <c r="B4055" s="16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6"/>
      <c r="B4056" s="16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6"/>
      <c r="B4057" s="16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6"/>
      <c r="B4058" s="16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6"/>
      <c r="B4059" s="16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6"/>
      <c r="B4060" s="16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6"/>
      <c r="B4061" s="16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6"/>
      <c r="B4062" s="16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6"/>
      <c r="B4063" s="16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6"/>
      <c r="B4064" s="16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6"/>
      <c r="B4065" s="16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6"/>
      <c r="B4066" s="16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6"/>
      <c r="B4067" s="16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6"/>
      <c r="B4068" s="16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6"/>
      <c r="B4069" s="16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6"/>
      <c r="B4070" s="16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6"/>
      <c r="B4071" s="16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6"/>
      <c r="B4072" s="16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6"/>
      <c r="B4073" s="16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6"/>
      <c r="B4074" s="16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6"/>
      <c r="B4075" s="16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6"/>
      <c r="B4076" s="16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6"/>
      <c r="B4077" s="16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6"/>
      <c r="B4078" s="16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6"/>
      <c r="B4079" s="16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6"/>
      <c r="B4080" s="16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6"/>
      <c r="B4081" s="16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6"/>
      <c r="B4082" s="16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6"/>
      <c r="B4083" s="16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6"/>
      <c r="B4084" s="16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6"/>
      <c r="B4085" s="16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6"/>
      <c r="B4086" s="16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6"/>
      <c r="B4087" s="16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6"/>
      <c r="B4088" s="16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6"/>
      <c r="B4089" s="16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6"/>
      <c r="B4090" s="16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6"/>
      <c r="B4091" s="16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6"/>
      <c r="B4092" s="16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6"/>
      <c r="B4093" s="16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6"/>
      <c r="B4094" s="16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6"/>
      <c r="B4095" s="16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6"/>
      <c r="B4096" s="16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6"/>
      <c r="B4097" s="16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6"/>
      <c r="B4098" s="16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6"/>
      <c r="B4099" s="16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6"/>
      <c r="B4100" s="16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6"/>
      <c r="B4101" s="16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6"/>
      <c r="B4102" s="16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6"/>
      <c r="B4103" s="16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6"/>
      <c r="B4104" s="16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6"/>
      <c r="B4105" s="16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6"/>
      <c r="B4106" s="16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6"/>
      <c r="B4107" s="16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6"/>
      <c r="B4108" s="16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6"/>
      <c r="B4109" s="16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6"/>
      <c r="B4110" s="16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6"/>
      <c r="B4111" s="16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6"/>
      <c r="B4112" s="16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6"/>
      <c r="B4113" s="16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6"/>
      <c r="B4114" s="16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6"/>
      <c r="B4115" s="16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6"/>
      <c r="B4116" s="16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6"/>
      <c r="B4117" s="16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6"/>
      <c r="B4118" s="16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6"/>
      <c r="B4119" s="16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6"/>
      <c r="B4120" s="16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6"/>
      <c r="B4121" s="16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6"/>
      <c r="B4122" s="16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6"/>
      <c r="B4123" s="16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6"/>
      <c r="B4124" s="16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6"/>
      <c r="B4125" s="16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6"/>
      <c r="B4126" s="16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6"/>
      <c r="B4127" s="16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6"/>
      <c r="B4128" s="16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6"/>
      <c r="B4129" s="16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6"/>
      <c r="B4130" s="16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6"/>
      <c r="B4131" s="16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6"/>
      <c r="B4132" s="16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6"/>
      <c r="B4133" s="16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6"/>
      <c r="B4134" s="16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6"/>
      <c r="B4135" s="16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6"/>
      <c r="B4136" s="16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6"/>
      <c r="B4137" s="16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6"/>
      <c r="B4138" s="16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6"/>
      <c r="B4139" s="16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6"/>
      <c r="B4140" s="16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6"/>
      <c r="B4141" s="16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6"/>
      <c r="B4142" s="16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6"/>
      <c r="B4143" s="16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6"/>
      <c r="B4144" s="16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6"/>
      <c r="B4145" s="16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6"/>
      <c r="B4146" s="16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6"/>
      <c r="B4147" s="16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6"/>
      <c r="B4148" s="16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6"/>
      <c r="B4149" s="16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6"/>
      <c r="B4150" s="16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6"/>
      <c r="B4151" s="16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6"/>
      <c r="B4152" s="16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6"/>
      <c r="B4153" s="16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6"/>
      <c r="B4154" s="16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6"/>
      <c r="B4155" s="16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6"/>
      <c r="B4156" s="16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6"/>
      <c r="B4157" s="16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6"/>
      <c r="B4158" s="16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6"/>
      <c r="B4159" s="16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6"/>
      <c r="B4160" s="16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6"/>
      <c r="B4161" s="16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6"/>
      <c r="B4162" s="16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6"/>
      <c r="B4163" s="16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6"/>
      <c r="B4164" s="16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6"/>
      <c r="B4165" s="16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6"/>
      <c r="B4166" s="16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6"/>
      <c r="B4167" s="16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6"/>
      <c r="B4168" s="16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6"/>
      <c r="B4169" s="16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6"/>
      <c r="B4170" s="16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6"/>
      <c r="B4171" s="16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6"/>
      <c r="B4172" s="16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6"/>
      <c r="B4173" s="16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6"/>
      <c r="B4174" s="16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6"/>
      <c r="B4175" s="16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6"/>
      <c r="B4176" s="16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6"/>
      <c r="B4177" s="16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6"/>
      <c r="B4178" s="16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6"/>
      <c r="B4179" s="16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6"/>
      <c r="B4180" s="16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6"/>
      <c r="B4181" s="16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6"/>
      <c r="B4182" s="16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6"/>
      <c r="B4183" s="16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6"/>
      <c r="B4184" s="16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6"/>
      <c r="B4185" s="16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6"/>
      <c r="B4186" s="16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6"/>
      <c r="B4187" s="16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6"/>
      <c r="B4188" s="16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6"/>
      <c r="B4189" s="16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6"/>
      <c r="B4190" s="16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6"/>
      <c r="B4191" s="16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6"/>
      <c r="B4192" s="16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6"/>
      <c r="B4193" s="16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6"/>
      <c r="B4194" s="16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6"/>
      <c r="B4195" s="16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6"/>
      <c r="B4196" s="16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6"/>
      <c r="B4197" s="16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6"/>
      <c r="B4198" s="16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6"/>
      <c r="B4199" s="16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6"/>
      <c r="B4200" s="16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6"/>
      <c r="B4201" s="16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6"/>
      <c r="B4202" s="16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6"/>
      <c r="B4203" s="16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6"/>
      <c r="B4204" s="16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6"/>
      <c r="B4205" s="16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6"/>
      <c r="B4206" s="16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6"/>
      <c r="B4207" s="16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6"/>
      <c r="B4208" s="16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6"/>
      <c r="B4209" s="16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6"/>
      <c r="B4210" s="16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6"/>
      <c r="B4211" s="16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6"/>
      <c r="B4212" s="16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6"/>
      <c r="B4213" s="16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6"/>
      <c r="B4214" s="16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6"/>
      <c r="B4215" s="16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6"/>
      <c r="B4216" s="16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6"/>
      <c r="B4217" s="16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6"/>
      <c r="B4218" s="16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6"/>
      <c r="B4219" s="16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6"/>
      <c r="B4220" s="16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6"/>
      <c r="B4221" s="16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6"/>
      <c r="B4222" s="16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6"/>
      <c r="B4223" s="16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6"/>
      <c r="B4224" s="16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6"/>
      <c r="B4225" s="16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6"/>
      <c r="B4226" s="16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6"/>
      <c r="B4227" s="16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6"/>
      <c r="B4228" s="16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6"/>
      <c r="B4229" s="16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6"/>
      <c r="B4230" s="16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6"/>
      <c r="B4231" s="16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6"/>
      <c r="B4232" s="16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6"/>
      <c r="B4233" s="16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6"/>
      <c r="B4234" s="16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6"/>
      <c r="B4235" s="16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6"/>
      <c r="B4236" s="16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6"/>
      <c r="B4237" s="16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6"/>
      <c r="B4238" s="16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6"/>
      <c r="B4239" s="16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6"/>
      <c r="B4240" s="16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6"/>
      <c r="B4241" s="16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6"/>
      <c r="B4242" s="16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6"/>
      <c r="B4243" s="16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6"/>
      <c r="B4244" s="16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6"/>
      <c r="B4245" s="16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6"/>
      <c r="B4246" s="16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6"/>
      <c r="B4247" s="16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6"/>
      <c r="B4248" s="16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6"/>
      <c r="B4249" s="16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x14ac:dyDescent="0.2">
      <c r="A4250" s="16"/>
      <c r="B4250" s="16"/>
      <c r="C4250" s="17"/>
      <c r="D4250" s="17"/>
      <c r="E4250" s="17"/>
      <c r="F4250" s="17"/>
      <c r="G4250" s="17"/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x14ac:dyDescent="0.2">
      <c r="A4251" s="16"/>
      <c r="B4251" s="16"/>
      <c r="C4251" s="17"/>
      <c r="D4251" s="17"/>
      <c r="E4251" s="17"/>
      <c r="F4251" s="17"/>
      <c r="G4251" s="17"/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x14ac:dyDescent="0.2">
      <c r="A4252" s="16"/>
      <c r="B4252" s="16"/>
      <c r="C4252" s="17"/>
      <c r="D4252" s="17"/>
      <c r="E4252" s="17"/>
      <c r="F4252" s="17"/>
      <c r="G4252" s="17"/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x14ac:dyDescent="0.2">
      <c r="A4253" s="16"/>
      <c r="B4253" s="16"/>
      <c r="C4253" s="17"/>
      <c r="D4253" s="17"/>
      <c r="E4253" s="17"/>
      <c r="F4253" s="17"/>
      <c r="G4253" s="17"/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x14ac:dyDescent="0.2">
      <c r="A4254" s="16"/>
      <c r="B4254" s="16"/>
      <c r="C4254" s="17"/>
      <c r="D4254" s="17"/>
      <c r="E4254" s="17"/>
      <c r="F4254" s="17"/>
      <c r="G4254" s="17"/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x14ac:dyDescent="0.2">
      <c r="A4255" s="16"/>
      <c r="B4255" s="16"/>
      <c r="C4255" s="17"/>
      <c r="D4255" s="17"/>
      <c r="E4255" s="17"/>
      <c r="F4255" s="17"/>
      <c r="G4255" s="17"/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x14ac:dyDescent="0.2">
      <c r="A4256" s="16"/>
      <c r="B4256" s="16"/>
      <c r="C4256" s="17"/>
      <c r="D4256" s="17"/>
      <c r="E4256" s="17"/>
      <c r="F4256" s="17"/>
      <c r="G4256" s="17"/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x14ac:dyDescent="0.2">
      <c r="A4257" s="16"/>
      <c r="B4257" s="16"/>
      <c r="C4257" s="17"/>
      <c r="D4257" s="17"/>
      <c r="E4257" s="17"/>
      <c r="F4257" s="17"/>
      <c r="G4257" s="17"/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x14ac:dyDescent="0.2">
      <c r="A4258" s="16"/>
      <c r="B4258" s="16"/>
      <c r="C4258" s="17"/>
      <c r="D4258" s="17"/>
      <c r="E4258" s="17"/>
      <c r="F4258" s="17"/>
      <c r="G4258" s="17"/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x14ac:dyDescent="0.2">
      <c r="A4259" s="16"/>
      <c r="B4259" s="16"/>
      <c r="C4259" s="17"/>
      <c r="D4259" s="17"/>
      <c r="E4259" s="17"/>
      <c r="F4259" s="17"/>
      <c r="G4259" s="17"/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</sheetData>
  <phoneticPr fontId="6" type="noConversion"/>
  <pageMargins left="0" right="0" top="0.7" bottom="0" header="0.25" footer="0"/>
  <pageSetup scale="38" orientation="landscape" horizontalDpi="300" r:id="rId1"/>
  <headerFooter alignWithMargins="0"/>
  <rowBreaks count="1" manualBreakCount="1">
    <brk id="193" max="16383" man="1"/>
  </rowBreaks>
  <customProperties>
    <customPr name="_pios_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S186"/>
  <sheetViews>
    <sheetView view="pageBreakPreview" zoomScaleNormal="130" zoomScaleSheetLayoutView="100" workbookViewId="0">
      <pane xSplit="4" ySplit="4" topLeftCell="E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2.75" x14ac:dyDescent="0.2"/>
  <cols>
    <col min="1" max="1" width="11.5703125" style="489" bestFit="1" customWidth="1"/>
    <col min="2" max="2" width="11" style="489" bestFit="1" customWidth="1"/>
    <col min="3" max="3" width="24.7109375" style="489" bestFit="1" customWidth="1"/>
    <col min="4" max="4" width="14.85546875" style="489" bestFit="1" customWidth="1"/>
    <col min="5" max="16" width="10.7109375" style="489" customWidth="1"/>
    <col min="17" max="17" width="10.42578125" style="489" bestFit="1" customWidth="1"/>
    <col min="18" max="18" width="9.140625" style="489"/>
    <col min="19" max="19" width="11.42578125" style="489" bestFit="1" customWidth="1"/>
    <col min="20" max="16384" width="9.140625" style="489"/>
  </cols>
  <sheetData>
    <row r="2" spans="1:19" x14ac:dyDescent="0.2">
      <c r="E2"/>
      <c r="F2"/>
      <c r="G2"/>
    </row>
    <row r="4" spans="1:19" ht="13.5" thickBot="1" x14ac:dyDescent="0.25">
      <c r="A4" s="485" t="s">
        <v>105</v>
      </c>
      <c r="B4" s="486" t="s">
        <v>409</v>
      </c>
      <c r="C4" s="485" t="s">
        <v>125</v>
      </c>
      <c r="D4" s="487" t="s">
        <v>126</v>
      </c>
      <c r="E4" s="488" t="s">
        <v>127</v>
      </c>
      <c r="F4" s="488" t="s">
        <v>128</v>
      </c>
      <c r="G4" s="488" t="s">
        <v>129</v>
      </c>
      <c r="H4" s="488" t="s">
        <v>130</v>
      </c>
      <c r="I4" s="488" t="s">
        <v>131</v>
      </c>
      <c r="J4" s="488" t="s">
        <v>525</v>
      </c>
      <c r="K4" s="488" t="s">
        <v>132</v>
      </c>
      <c r="L4" s="488" t="s">
        <v>133</v>
      </c>
      <c r="M4" s="488" t="s">
        <v>134</v>
      </c>
      <c r="N4" s="488" t="s">
        <v>135</v>
      </c>
      <c r="O4" s="488" t="s">
        <v>136</v>
      </c>
      <c r="P4" s="488" t="s">
        <v>137</v>
      </c>
    </row>
    <row r="5" spans="1:19" ht="13.5" thickTop="1" x14ac:dyDescent="0.2">
      <c r="A5" s="490"/>
      <c r="B5" s="491"/>
      <c r="C5" s="491"/>
      <c r="D5" s="492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</row>
    <row r="6" spans="1:19" s="498" customFormat="1" x14ac:dyDescent="0.2">
      <c r="A6" s="571" t="s">
        <v>682</v>
      </c>
      <c r="B6" s="494">
        <v>137290</v>
      </c>
      <c r="C6" s="495" t="s">
        <v>622</v>
      </c>
      <c r="D6" s="495" t="s">
        <v>623</v>
      </c>
      <c r="E6" s="496"/>
      <c r="F6" s="497"/>
      <c r="G6" s="497"/>
      <c r="H6" s="497"/>
      <c r="I6" s="497"/>
      <c r="J6" s="497"/>
      <c r="K6" s="496"/>
      <c r="L6" s="497"/>
      <c r="M6" s="497"/>
      <c r="N6" s="497"/>
      <c r="O6" s="497"/>
      <c r="P6" s="497"/>
    </row>
    <row r="7" spans="1:19" x14ac:dyDescent="0.2">
      <c r="A7" s="552"/>
      <c r="B7" s="553"/>
      <c r="C7" s="509" t="s">
        <v>144</v>
      </c>
      <c r="D7" s="509"/>
      <c r="E7" s="554"/>
      <c r="F7" s="554"/>
      <c r="G7" s="554"/>
      <c r="H7" s="554"/>
      <c r="I7" s="555">
        <v>40000</v>
      </c>
      <c r="J7" s="555">
        <v>40000</v>
      </c>
      <c r="K7" s="554"/>
      <c r="L7" s="554"/>
      <c r="M7" s="554"/>
      <c r="N7" s="554"/>
      <c r="O7" s="554"/>
      <c r="P7" s="554"/>
    </row>
    <row r="8" spans="1:19" x14ac:dyDescent="0.2">
      <c r="A8" s="526"/>
      <c r="B8" s="553"/>
      <c r="C8" s="509" t="s">
        <v>145</v>
      </c>
      <c r="D8" s="556"/>
      <c r="E8" s="557"/>
      <c r="F8" s="557"/>
      <c r="G8" s="557"/>
      <c r="H8" s="557"/>
      <c r="I8" s="558"/>
      <c r="J8" s="558"/>
      <c r="K8" s="557"/>
      <c r="L8" s="557"/>
      <c r="M8" s="557"/>
      <c r="N8" s="557"/>
      <c r="O8" s="557"/>
      <c r="P8" s="557"/>
    </row>
    <row r="9" spans="1:19" x14ac:dyDescent="0.2">
      <c r="A9" s="526"/>
      <c r="B9" s="526"/>
      <c r="C9" s="526" t="s">
        <v>146</v>
      </c>
      <c r="D9" s="526"/>
      <c r="E9" s="559"/>
      <c r="F9" s="559"/>
      <c r="G9" s="559"/>
      <c r="H9" s="559"/>
      <c r="I9" s="560"/>
      <c r="J9" s="560"/>
      <c r="K9" s="559"/>
      <c r="L9" s="559"/>
      <c r="M9" s="559"/>
      <c r="N9" s="559"/>
      <c r="O9" s="559"/>
      <c r="P9" s="559"/>
    </row>
    <row r="10" spans="1:19" x14ac:dyDescent="0.2">
      <c r="A10" s="526"/>
      <c r="B10" s="526"/>
      <c r="C10" s="526"/>
      <c r="D10" s="526"/>
      <c r="E10" s="559"/>
      <c r="F10" s="559"/>
      <c r="G10" s="559"/>
      <c r="H10" s="559"/>
      <c r="I10" s="560"/>
      <c r="J10" s="560"/>
      <c r="K10" s="559"/>
      <c r="L10" s="559"/>
      <c r="M10" s="559"/>
      <c r="N10" s="559"/>
      <c r="O10" s="559"/>
      <c r="P10" s="559"/>
    </row>
    <row r="11" spans="1:19" x14ac:dyDescent="0.2">
      <c r="A11" s="526"/>
      <c r="B11" s="526"/>
      <c r="C11" s="526"/>
      <c r="D11" s="526"/>
      <c r="E11" s="559"/>
      <c r="F11" s="559"/>
      <c r="G11" s="559"/>
      <c r="H11" s="559"/>
      <c r="I11" s="560"/>
      <c r="J11" s="560"/>
      <c r="K11" s="559"/>
      <c r="L11" s="559"/>
      <c r="M11" s="559"/>
      <c r="N11" s="559"/>
      <c r="O11" s="559"/>
      <c r="P11" s="559"/>
    </row>
    <row r="12" spans="1:19" x14ac:dyDescent="0.2">
      <c r="A12" s="571" t="s">
        <v>683</v>
      </c>
      <c r="B12" s="494">
        <v>8000063689</v>
      </c>
      <c r="C12" s="495" t="s">
        <v>624</v>
      </c>
      <c r="D12" s="495" t="s">
        <v>625</v>
      </c>
      <c r="E12" s="496"/>
      <c r="F12" s="497"/>
      <c r="G12" s="497"/>
      <c r="H12" s="497"/>
      <c r="I12" s="497"/>
      <c r="J12" s="497"/>
      <c r="K12" s="496"/>
      <c r="L12" s="497"/>
      <c r="M12" s="497"/>
      <c r="N12" s="497"/>
      <c r="O12" s="497"/>
      <c r="P12" s="497"/>
    </row>
    <row r="13" spans="1:19" x14ac:dyDescent="0.2">
      <c r="A13" s="552"/>
      <c r="B13" s="553"/>
      <c r="C13" s="509" t="s">
        <v>147</v>
      </c>
      <c r="D13" s="509"/>
      <c r="E13" s="561">
        <v>1</v>
      </c>
      <c r="F13" s="561">
        <v>1</v>
      </c>
      <c r="G13" s="561">
        <v>1</v>
      </c>
      <c r="H13" s="561">
        <v>1</v>
      </c>
      <c r="I13" s="561">
        <v>1</v>
      </c>
      <c r="J13" s="555"/>
      <c r="K13" s="554"/>
      <c r="L13" s="554"/>
      <c r="M13" s="554"/>
      <c r="N13" s="554"/>
      <c r="O13" s="554"/>
      <c r="P13" s="554"/>
    </row>
    <row r="14" spans="1:19" x14ac:dyDescent="0.2">
      <c r="A14" s="526"/>
      <c r="B14" s="553"/>
      <c r="C14" s="509" t="s">
        <v>142</v>
      </c>
      <c r="D14" s="556"/>
      <c r="E14" s="561">
        <v>4000</v>
      </c>
      <c r="F14" s="561">
        <v>4000</v>
      </c>
      <c r="G14" s="561">
        <v>5000</v>
      </c>
      <c r="H14" s="561">
        <v>5000</v>
      </c>
      <c r="I14" s="561">
        <v>5000</v>
      </c>
      <c r="J14" s="561">
        <v>2700</v>
      </c>
      <c r="K14" s="557"/>
      <c r="L14" s="557"/>
      <c r="M14" s="557"/>
      <c r="N14" s="557"/>
      <c r="O14" s="557"/>
      <c r="P14" s="557"/>
    </row>
    <row r="15" spans="1:19" x14ac:dyDescent="0.2">
      <c r="A15" s="526"/>
      <c r="B15" s="526"/>
      <c r="C15" s="526" t="s">
        <v>143</v>
      </c>
      <c r="D15" s="526"/>
      <c r="E15" s="559"/>
      <c r="F15" s="559"/>
      <c r="G15" s="559"/>
      <c r="H15" s="559"/>
      <c r="I15" s="560"/>
      <c r="J15" s="560"/>
      <c r="K15" s="559"/>
      <c r="L15" s="559"/>
      <c r="M15" s="559"/>
      <c r="N15" s="559"/>
      <c r="O15" s="559"/>
      <c r="P15" s="559"/>
    </row>
    <row r="16" spans="1:19" x14ac:dyDescent="0.2">
      <c r="A16" s="526"/>
      <c r="B16" s="526"/>
      <c r="C16" s="526"/>
      <c r="D16" s="526"/>
      <c r="E16" s="559"/>
      <c r="F16" s="559"/>
      <c r="G16" s="559"/>
      <c r="H16" s="559"/>
      <c r="I16" s="560"/>
      <c r="J16" s="560"/>
      <c r="K16" s="559"/>
      <c r="L16" s="559"/>
      <c r="M16" s="559"/>
      <c r="N16" s="559"/>
      <c r="O16" s="559"/>
      <c r="P16" s="559"/>
      <c r="Q16" s="499"/>
      <c r="R16" s="500"/>
      <c r="S16" s="499"/>
    </row>
    <row r="17" spans="1:19" x14ac:dyDescent="0.2">
      <c r="A17" s="526"/>
      <c r="B17" s="526"/>
      <c r="C17" s="526"/>
      <c r="D17" s="526"/>
      <c r="E17" s="561"/>
      <c r="F17" s="561"/>
      <c r="G17" s="561"/>
      <c r="H17" s="561"/>
      <c r="I17" s="561"/>
      <c r="J17" s="561"/>
      <c r="K17" s="561"/>
      <c r="L17" s="561"/>
      <c r="M17" s="561"/>
      <c r="N17" s="561"/>
      <c r="O17" s="561"/>
      <c r="P17" s="561"/>
      <c r="Q17" s="499"/>
      <c r="S17" s="499"/>
    </row>
    <row r="18" spans="1:19" x14ac:dyDescent="0.2">
      <c r="A18" s="571" t="s">
        <v>684</v>
      </c>
      <c r="B18" s="494">
        <v>239968</v>
      </c>
      <c r="C18" s="495" t="s">
        <v>626</v>
      </c>
      <c r="D18" s="495" t="s">
        <v>623</v>
      </c>
      <c r="E18" s="496"/>
      <c r="F18" s="497"/>
      <c r="G18" s="497"/>
      <c r="H18" s="497"/>
      <c r="I18" s="497"/>
      <c r="J18" s="497"/>
      <c r="K18" s="496"/>
      <c r="L18" s="497"/>
      <c r="M18" s="497"/>
      <c r="N18" s="497"/>
      <c r="O18" s="497"/>
      <c r="P18" s="497"/>
      <c r="Q18" s="499"/>
      <c r="S18" s="499"/>
    </row>
    <row r="19" spans="1:19" x14ac:dyDescent="0.2">
      <c r="A19" s="552"/>
      <c r="B19" s="553"/>
      <c r="C19" s="509" t="s">
        <v>144</v>
      </c>
      <c r="D19" s="509"/>
      <c r="E19" s="554"/>
      <c r="F19" s="554">
        <v>-45000</v>
      </c>
      <c r="G19" s="554">
        <v>-40000</v>
      </c>
      <c r="H19" s="554">
        <v>-5000</v>
      </c>
      <c r="I19" s="555">
        <v>-5000</v>
      </c>
      <c r="J19" s="555">
        <v>50000</v>
      </c>
      <c r="K19" s="554">
        <v>-35000</v>
      </c>
      <c r="L19" s="554">
        <v>-80000</v>
      </c>
      <c r="M19" s="554">
        <v>-120000</v>
      </c>
      <c r="N19" s="554">
        <v>5000</v>
      </c>
      <c r="O19" s="554">
        <v>-90000</v>
      </c>
      <c r="P19" s="554">
        <v>-150000</v>
      </c>
      <c r="Q19" s="499"/>
      <c r="S19" s="499"/>
    </row>
    <row r="20" spans="1:19" x14ac:dyDescent="0.2">
      <c r="A20" s="526"/>
      <c r="B20" s="553"/>
      <c r="C20" s="509" t="s">
        <v>145</v>
      </c>
      <c r="D20" s="556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557"/>
      <c r="P20" s="557"/>
      <c r="Q20" s="499"/>
      <c r="S20" s="499"/>
    </row>
    <row r="21" spans="1:19" x14ac:dyDescent="0.2">
      <c r="A21" s="526"/>
      <c r="B21" s="526"/>
      <c r="C21" s="526" t="s">
        <v>146</v>
      </c>
      <c r="D21" s="526"/>
      <c r="E21" s="559"/>
      <c r="F21" s="559"/>
      <c r="G21" s="559"/>
      <c r="H21" s="559"/>
      <c r="I21" s="559"/>
      <c r="J21" s="559"/>
      <c r="K21" s="559"/>
      <c r="L21" s="559"/>
      <c r="M21" s="559"/>
      <c r="N21" s="559"/>
      <c r="O21" s="559"/>
      <c r="P21" s="559"/>
      <c r="Q21" s="499"/>
      <c r="S21" s="499"/>
    </row>
    <row r="22" spans="1:19" x14ac:dyDescent="0.2">
      <c r="A22" s="526"/>
      <c r="B22" s="526"/>
      <c r="C22" s="526"/>
      <c r="D22" s="526"/>
      <c r="E22" s="561"/>
      <c r="F22" s="561"/>
      <c r="G22" s="561"/>
      <c r="H22" s="561"/>
      <c r="I22" s="561"/>
      <c r="J22" s="561"/>
      <c r="K22" s="561"/>
      <c r="L22" s="561"/>
      <c r="M22" s="561"/>
      <c r="N22" s="561"/>
      <c r="O22" s="561"/>
      <c r="P22" s="561"/>
      <c r="Q22" s="499"/>
      <c r="S22" s="499"/>
    </row>
    <row r="23" spans="1:19" x14ac:dyDescent="0.2">
      <c r="A23" s="526"/>
      <c r="B23" s="526"/>
      <c r="C23" s="526"/>
      <c r="D23" s="526"/>
      <c r="E23" s="561"/>
      <c r="F23" s="561"/>
      <c r="G23" s="561"/>
      <c r="H23" s="561"/>
      <c r="I23" s="561"/>
      <c r="J23" s="561"/>
      <c r="K23" s="561"/>
      <c r="L23" s="561"/>
      <c r="M23" s="561"/>
      <c r="N23" s="561"/>
      <c r="O23" s="561"/>
      <c r="P23" s="561"/>
      <c r="Q23" s="499"/>
      <c r="S23" s="499"/>
    </row>
    <row r="24" spans="1:19" x14ac:dyDescent="0.2">
      <c r="A24" s="571" t="s">
        <v>685</v>
      </c>
      <c r="B24" s="494">
        <v>316087</v>
      </c>
      <c r="C24" s="495" t="s">
        <v>671</v>
      </c>
      <c r="D24" s="495" t="s">
        <v>623</v>
      </c>
      <c r="E24" s="496"/>
      <c r="F24" s="497"/>
      <c r="G24" s="497"/>
      <c r="H24" s="497"/>
      <c r="I24" s="497"/>
      <c r="J24" s="497"/>
      <c r="K24" s="496"/>
      <c r="L24" s="497"/>
      <c r="M24" s="497"/>
      <c r="N24" s="497"/>
      <c r="O24" s="497"/>
      <c r="P24" s="497"/>
      <c r="Q24" s="499"/>
      <c r="S24" s="499"/>
    </row>
    <row r="25" spans="1:19" x14ac:dyDescent="0.2">
      <c r="A25" s="552"/>
      <c r="B25" s="553"/>
      <c r="C25" s="509" t="s">
        <v>144</v>
      </c>
      <c r="D25" s="509"/>
      <c r="E25" s="554">
        <v>5000</v>
      </c>
      <c r="F25" s="554">
        <v>5000</v>
      </c>
      <c r="G25" s="554">
        <v>5000</v>
      </c>
      <c r="H25" s="554">
        <v>5000</v>
      </c>
      <c r="I25" s="555"/>
      <c r="J25" s="554">
        <v>5000</v>
      </c>
      <c r="K25" s="554">
        <v>5000</v>
      </c>
      <c r="L25" s="554">
        <v>5000</v>
      </c>
      <c r="M25" s="554">
        <v>5000</v>
      </c>
      <c r="N25" s="554">
        <v>5000</v>
      </c>
      <c r="O25" s="554">
        <v>5000</v>
      </c>
      <c r="P25" s="554"/>
    </row>
    <row r="26" spans="1:19" x14ac:dyDescent="0.2">
      <c r="A26" s="526"/>
      <c r="B26" s="553"/>
      <c r="C26" s="509" t="s">
        <v>145</v>
      </c>
      <c r="D26" s="556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S26" s="501"/>
    </row>
    <row r="27" spans="1:19" x14ac:dyDescent="0.2">
      <c r="A27" s="526"/>
      <c r="B27" s="526"/>
      <c r="C27" s="526" t="s">
        <v>146</v>
      </c>
      <c r="D27" s="526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</row>
    <row r="28" spans="1:19" x14ac:dyDescent="0.2">
      <c r="A28" s="526"/>
      <c r="B28" s="526"/>
      <c r="C28" s="526"/>
      <c r="D28" s="526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</row>
    <row r="29" spans="1:19" x14ac:dyDescent="0.2">
      <c r="A29" s="526"/>
      <c r="B29" s="526"/>
      <c r="C29" s="526"/>
      <c r="D29" s="526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</row>
    <row r="30" spans="1:19" x14ac:dyDescent="0.2">
      <c r="A30" s="571" t="s">
        <v>686</v>
      </c>
      <c r="B30" s="494">
        <v>233461</v>
      </c>
      <c r="C30" s="495" t="s">
        <v>626</v>
      </c>
      <c r="D30" s="495" t="s">
        <v>623</v>
      </c>
      <c r="E30" s="496"/>
      <c r="F30" s="497"/>
      <c r="G30" s="497"/>
      <c r="H30" s="497"/>
      <c r="I30" s="497"/>
      <c r="J30" s="497"/>
      <c r="K30" s="496"/>
      <c r="L30" s="497"/>
      <c r="M30" s="497"/>
      <c r="N30" s="497"/>
      <c r="O30" s="497"/>
      <c r="P30" s="497"/>
      <c r="Q30" s="499"/>
      <c r="S30" s="499"/>
    </row>
    <row r="31" spans="1:19" x14ac:dyDescent="0.2">
      <c r="A31" s="552"/>
      <c r="B31" s="553"/>
      <c r="C31" s="509" t="s">
        <v>144</v>
      </c>
      <c r="D31" s="509"/>
      <c r="E31" s="554">
        <v>-30000</v>
      </c>
      <c r="F31" s="554">
        <v>-30000</v>
      </c>
      <c r="G31" s="554">
        <v>-30000</v>
      </c>
      <c r="H31" s="554">
        <v>-35000</v>
      </c>
      <c r="I31" s="555">
        <v>-35000</v>
      </c>
      <c r="J31" s="554">
        <v>-30000</v>
      </c>
      <c r="K31" s="554">
        <v>-30000</v>
      </c>
      <c r="L31" s="554">
        <v>-30000</v>
      </c>
      <c r="M31" s="554">
        <v>-30000</v>
      </c>
      <c r="N31" s="554">
        <v>-30000</v>
      </c>
      <c r="O31" s="554">
        <v>-30000</v>
      </c>
      <c r="P31" s="554">
        <v>-30000</v>
      </c>
    </row>
    <row r="32" spans="1:19" x14ac:dyDescent="0.2">
      <c r="A32" s="526"/>
      <c r="B32" s="553"/>
      <c r="C32" s="509" t="s">
        <v>145</v>
      </c>
      <c r="D32" s="556"/>
      <c r="E32" s="557"/>
      <c r="F32" s="557"/>
      <c r="G32" s="557"/>
      <c r="H32" s="557"/>
      <c r="I32" s="557"/>
      <c r="J32" s="557"/>
      <c r="K32" s="557"/>
      <c r="L32" s="557"/>
      <c r="M32" s="557"/>
      <c r="N32" s="557"/>
      <c r="O32" s="557"/>
      <c r="P32" s="557"/>
      <c r="S32" s="501"/>
    </row>
    <row r="33" spans="1:16" x14ac:dyDescent="0.2">
      <c r="A33" s="526"/>
      <c r="B33" s="526"/>
      <c r="C33" s="526" t="s">
        <v>146</v>
      </c>
      <c r="D33" s="526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1:16" x14ac:dyDescent="0.2">
      <c r="A34" s="526"/>
      <c r="B34" s="526"/>
      <c r="C34" s="526"/>
      <c r="D34" s="526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</row>
    <row r="35" spans="1:16" x14ac:dyDescent="0.2">
      <c r="A35" s="526"/>
      <c r="B35" s="526"/>
      <c r="C35" s="526"/>
      <c r="D35" s="526"/>
      <c r="E35" s="561"/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</row>
    <row r="36" spans="1:16" x14ac:dyDescent="0.2">
      <c r="A36" s="571" t="s">
        <v>687</v>
      </c>
      <c r="B36" s="494">
        <v>170391</v>
      </c>
      <c r="C36" s="495" t="s">
        <v>652</v>
      </c>
      <c r="D36" s="495" t="s">
        <v>625</v>
      </c>
      <c r="E36" s="496"/>
      <c r="F36" s="497"/>
      <c r="G36" s="497"/>
      <c r="H36" s="497"/>
      <c r="I36" s="497"/>
      <c r="J36" s="497"/>
      <c r="K36" s="496"/>
      <c r="L36" s="497"/>
      <c r="M36" s="497"/>
      <c r="N36" s="497"/>
      <c r="O36" s="497"/>
      <c r="P36" s="497"/>
    </row>
    <row r="37" spans="1:16" x14ac:dyDescent="0.2">
      <c r="A37" s="526"/>
      <c r="B37" s="553"/>
      <c r="C37" s="509" t="s">
        <v>147</v>
      </c>
      <c r="D37" s="509"/>
      <c r="E37" s="561">
        <v>1</v>
      </c>
      <c r="F37" s="561">
        <v>1</v>
      </c>
      <c r="G37" s="561">
        <v>1</v>
      </c>
      <c r="H37" s="561">
        <v>1</v>
      </c>
      <c r="I37" s="561">
        <v>1</v>
      </c>
      <c r="J37" s="561">
        <v>1</v>
      </c>
      <c r="K37" s="561">
        <v>1</v>
      </c>
      <c r="L37" s="561">
        <v>1</v>
      </c>
      <c r="M37" s="561">
        <v>1</v>
      </c>
      <c r="N37" s="561">
        <v>1</v>
      </c>
      <c r="O37" s="561">
        <v>1</v>
      </c>
      <c r="P37" s="561">
        <v>1</v>
      </c>
    </row>
    <row r="38" spans="1:16" x14ac:dyDescent="0.2">
      <c r="A38" s="526"/>
      <c r="B38" s="553"/>
      <c r="C38" s="509" t="s">
        <v>142</v>
      </c>
      <c r="D38" s="556"/>
      <c r="E38" s="561">
        <v>3389</v>
      </c>
      <c r="F38" s="561">
        <v>5569</v>
      </c>
      <c r="G38" s="561">
        <v>8847</v>
      </c>
      <c r="H38" s="561">
        <v>6802</v>
      </c>
      <c r="I38" s="561">
        <v>9910</v>
      </c>
      <c r="J38" s="561">
        <v>11771</v>
      </c>
      <c r="K38" s="561">
        <v>8077</v>
      </c>
      <c r="L38" s="561">
        <v>5484</v>
      </c>
      <c r="M38" s="561">
        <v>5202</v>
      </c>
      <c r="N38" s="561">
        <v>5364</v>
      </c>
      <c r="O38" s="561">
        <v>914</v>
      </c>
      <c r="P38" s="561">
        <v>993</v>
      </c>
    </row>
    <row r="39" spans="1:16" x14ac:dyDescent="0.2">
      <c r="A39" s="526"/>
      <c r="B39" s="526"/>
      <c r="C39" s="526" t="s">
        <v>143</v>
      </c>
      <c r="D39" s="526"/>
      <c r="E39" s="559"/>
      <c r="F39" s="559"/>
      <c r="G39" s="559"/>
      <c r="H39" s="559"/>
      <c r="I39" s="560"/>
      <c r="J39" s="560"/>
      <c r="K39" s="559"/>
      <c r="L39" s="559"/>
      <c r="M39" s="559"/>
      <c r="N39" s="559"/>
      <c r="O39" s="559"/>
      <c r="P39" s="559"/>
    </row>
    <row r="40" spans="1:16" x14ac:dyDescent="0.2">
      <c r="A40" s="526"/>
      <c r="B40" s="526"/>
      <c r="C40" s="526"/>
      <c r="D40" s="526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</row>
    <row r="41" spans="1:16" x14ac:dyDescent="0.2">
      <c r="A41" s="526"/>
      <c r="B41" s="526"/>
      <c r="C41" s="526"/>
      <c r="D41" s="526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1:16" x14ac:dyDescent="0.2">
      <c r="A42" s="571" t="s">
        <v>688</v>
      </c>
      <c r="B42" s="494">
        <v>233469</v>
      </c>
      <c r="C42" s="495" t="s">
        <v>652</v>
      </c>
      <c r="D42" s="495" t="s">
        <v>625</v>
      </c>
      <c r="E42" s="496"/>
      <c r="F42" s="497"/>
      <c r="G42" s="497"/>
      <c r="H42" s="497"/>
      <c r="I42" s="497"/>
      <c r="J42" s="497"/>
      <c r="K42" s="496"/>
      <c r="L42" s="497"/>
      <c r="M42" s="497"/>
      <c r="N42" s="497"/>
      <c r="O42" s="497"/>
      <c r="P42" s="497"/>
    </row>
    <row r="43" spans="1:16" x14ac:dyDescent="0.2">
      <c r="A43" s="526"/>
      <c r="B43" s="553"/>
      <c r="C43" s="509" t="s">
        <v>147</v>
      </c>
      <c r="D43" s="509"/>
      <c r="E43" s="561">
        <v>1</v>
      </c>
      <c r="F43" s="561">
        <v>1</v>
      </c>
      <c r="G43" s="561">
        <v>1</v>
      </c>
      <c r="H43" s="561">
        <v>1</v>
      </c>
      <c r="I43" s="561">
        <v>1</v>
      </c>
      <c r="J43" s="561">
        <v>1</v>
      </c>
      <c r="K43" s="561">
        <v>1</v>
      </c>
      <c r="L43" s="561">
        <v>1</v>
      </c>
      <c r="M43" s="561">
        <v>1</v>
      </c>
      <c r="N43" s="561">
        <v>1</v>
      </c>
      <c r="O43" s="561">
        <v>1</v>
      </c>
      <c r="P43" s="561">
        <v>1</v>
      </c>
    </row>
    <row r="44" spans="1:16" x14ac:dyDescent="0.2">
      <c r="A44" s="526"/>
      <c r="B44" s="553"/>
      <c r="C44" s="509" t="s">
        <v>142</v>
      </c>
      <c r="D44" s="556"/>
      <c r="E44" s="561">
        <v>14288</v>
      </c>
      <c r="F44" s="561">
        <v>15000</v>
      </c>
      <c r="G44" s="561">
        <v>14919</v>
      </c>
      <c r="H44" s="561">
        <v>13869</v>
      </c>
      <c r="I44" s="561">
        <v>15000</v>
      </c>
      <c r="J44" s="561">
        <v>15000</v>
      </c>
      <c r="K44" s="561">
        <v>15000</v>
      </c>
      <c r="L44" s="561">
        <v>14517</v>
      </c>
      <c r="M44" s="561">
        <v>10715</v>
      </c>
      <c r="N44" s="561">
        <v>13052</v>
      </c>
      <c r="O44" s="561">
        <v>13378</v>
      </c>
      <c r="P44" s="561">
        <v>14568</v>
      </c>
    </row>
    <row r="45" spans="1:16" x14ac:dyDescent="0.2">
      <c r="A45" s="526"/>
      <c r="B45" s="526"/>
      <c r="C45" s="526" t="s">
        <v>143</v>
      </c>
      <c r="D45" s="526"/>
      <c r="E45" s="561"/>
      <c r="F45" s="561">
        <v>7</v>
      </c>
      <c r="G45" s="561"/>
      <c r="H45" s="561"/>
      <c r="I45" s="561">
        <v>864</v>
      </c>
      <c r="J45" s="561">
        <v>2136</v>
      </c>
      <c r="K45" s="561">
        <v>2277</v>
      </c>
      <c r="L45" s="561"/>
      <c r="M45" s="561"/>
      <c r="N45" s="561"/>
      <c r="O45" s="561"/>
      <c r="P45" s="561"/>
    </row>
    <row r="46" spans="1:16" x14ac:dyDescent="0.2">
      <c r="A46" s="526"/>
      <c r="B46" s="526"/>
      <c r="C46" s="526"/>
      <c r="D46" s="526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</row>
    <row r="47" spans="1:16" x14ac:dyDescent="0.2">
      <c r="A47" s="526"/>
      <c r="B47" s="526"/>
      <c r="C47" s="526"/>
      <c r="D47" s="526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</row>
    <row r="48" spans="1:16" x14ac:dyDescent="0.2">
      <c r="A48" s="571" t="s">
        <v>689</v>
      </c>
      <c r="B48" s="494">
        <v>89522</v>
      </c>
      <c r="C48" s="495" t="s">
        <v>622</v>
      </c>
      <c r="D48" s="495" t="s">
        <v>625</v>
      </c>
      <c r="E48" s="496"/>
      <c r="F48" s="497"/>
      <c r="G48" s="497"/>
      <c r="H48" s="497"/>
      <c r="I48" s="497"/>
      <c r="J48" s="497"/>
      <c r="K48" s="496"/>
      <c r="L48" s="497"/>
      <c r="M48" s="497"/>
      <c r="N48" s="497"/>
      <c r="O48" s="497"/>
      <c r="P48" s="497"/>
    </row>
    <row r="49" spans="1:16" x14ac:dyDescent="0.2">
      <c r="A49" s="552"/>
      <c r="B49" s="553"/>
      <c r="C49" s="509" t="s">
        <v>147</v>
      </c>
      <c r="D49" s="509"/>
      <c r="E49" s="561"/>
      <c r="F49" s="561"/>
      <c r="G49" s="561"/>
      <c r="H49" s="561"/>
      <c r="I49" s="561"/>
      <c r="J49" s="555"/>
      <c r="K49" s="554"/>
      <c r="L49" s="554"/>
      <c r="M49" s="554"/>
      <c r="N49" s="554"/>
      <c r="O49" s="554"/>
      <c r="P49" s="554"/>
    </row>
    <row r="50" spans="1:16" x14ac:dyDescent="0.2">
      <c r="A50" s="526"/>
      <c r="B50" s="553"/>
      <c r="C50" s="509" t="s">
        <v>142</v>
      </c>
      <c r="D50" s="556"/>
      <c r="E50" s="561"/>
      <c r="F50" s="561"/>
      <c r="G50" s="561"/>
      <c r="H50" s="561"/>
      <c r="I50" s="561"/>
      <c r="J50" s="558"/>
      <c r="K50" s="557"/>
      <c r="L50" s="557"/>
      <c r="M50" s="557"/>
      <c r="N50" s="557"/>
      <c r="O50" s="557"/>
      <c r="P50" s="557"/>
    </row>
    <row r="51" spans="1:16" x14ac:dyDescent="0.2">
      <c r="A51" s="526"/>
      <c r="B51" s="526"/>
      <c r="C51" s="526" t="s">
        <v>143</v>
      </c>
      <c r="D51" s="526"/>
      <c r="E51" s="561">
        <v>4000</v>
      </c>
      <c r="F51" s="561">
        <v>4000</v>
      </c>
      <c r="G51" s="561">
        <v>4000</v>
      </c>
      <c r="H51" s="561">
        <v>4000</v>
      </c>
      <c r="I51" s="561">
        <v>4000</v>
      </c>
      <c r="J51" s="561">
        <v>4000</v>
      </c>
      <c r="K51" s="561">
        <v>4000</v>
      </c>
      <c r="L51" s="561">
        <v>4000</v>
      </c>
      <c r="M51" s="561">
        <v>4000</v>
      </c>
      <c r="N51" s="561">
        <v>4000</v>
      </c>
      <c r="O51" s="561">
        <v>4000</v>
      </c>
      <c r="P51" s="561">
        <v>4000</v>
      </c>
    </row>
    <row r="52" spans="1:16" x14ac:dyDescent="0.2">
      <c r="A52" s="526"/>
      <c r="B52" s="526"/>
      <c r="C52" s="526"/>
      <c r="D52" s="526"/>
      <c r="E52" s="526"/>
      <c r="F52" s="526"/>
      <c r="G52" s="526"/>
      <c r="H52" s="526"/>
      <c r="I52" s="526"/>
      <c r="J52" s="526"/>
      <c r="K52" s="526"/>
      <c r="L52" s="526"/>
      <c r="M52" s="526"/>
      <c r="N52" s="526"/>
      <c r="O52" s="526"/>
      <c r="P52" s="526"/>
    </row>
    <row r="53" spans="1:16" x14ac:dyDescent="0.2">
      <c r="A53" s="526"/>
      <c r="B53" s="526"/>
      <c r="C53" s="526"/>
      <c r="D53" s="526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</row>
    <row r="54" spans="1:16" x14ac:dyDescent="0.2">
      <c r="A54" s="571" t="s">
        <v>690</v>
      </c>
      <c r="B54" s="494">
        <v>359260</v>
      </c>
      <c r="C54" s="495" t="s">
        <v>653</v>
      </c>
      <c r="D54" s="495" t="s">
        <v>627</v>
      </c>
      <c r="E54" s="496"/>
      <c r="F54" s="497"/>
      <c r="G54" s="497"/>
      <c r="H54" s="497"/>
      <c r="I54" s="497"/>
      <c r="J54" s="497"/>
      <c r="K54" s="496"/>
      <c r="L54" s="497"/>
      <c r="M54" s="497"/>
      <c r="N54" s="497"/>
      <c r="O54" s="497"/>
      <c r="P54" s="497"/>
    </row>
    <row r="55" spans="1:16" x14ac:dyDescent="0.2">
      <c r="A55" s="552"/>
      <c r="B55" s="553"/>
      <c r="C55" s="509" t="s">
        <v>138</v>
      </c>
      <c r="D55" s="509"/>
      <c r="E55" s="561"/>
      <c r="F55" s="561"/>
      <c r="G55" s="561"/>
      <c r="H55" s="561"/>
      <c r="I55" s="561"/>
      <c r="J55" s="555"/>
      <c r="K55" s="554"/>
      <c r="L55" s="554"/>
      <c r="M55" s="554"/>
      <c r="N55" s="554"/>
      <c r="O55" s="554"/>
      <c r="P55" s="554"/>
    </row>
    <row r="56" spans="1:16" x14ac:dyDescent="0.2">
      <c r="A56" s="526"/>
      <c r="B56" s="553"/>
      <c r="C56" s="509" t="s">
        <v>139</v>
      </c>
      <c r="D56" s="556"/>
      <c r="E56" s="561"/>
      <c r="F56" s="561"/>
      <c r="G56" s="561"/>
      <c r="H56" s="561"/>
      <c r="I56" s="561"/>
      <c r="J56" s="558"/>
      <c r="K56" s="557"/>
      <c r="L56" s="557"/>
      <c r="M56" s="557"/>
      <c r="N56" s="557"/>
      <c r="O56" s="557"/>
      <c r="P56" s="557"/>
    </row>
    <row r="57" spans="1:16" x14ac:dyDescent="0.2">
      <c r="A57" s="526"/>
      <c r="B57" s="526"/>
      <c r="C57" s="526" t="s">
        <v>140</v>
      </c>
      <c r="D57" s="526"/>
      <c r="E57" s="559"/>
      <c r="F57" s="559"/>
      <c r="G57" s="559"/>
      <c r="H57" s="559"/>
      <c r="I57" s="560"/>
      <c r="J57" s="560"/>
      <c r="K57" s="559"/>
      <c r="L57" s="559"/>
      <c r="M57" s="559"/>
      <c r="N57" s="559"/>
      <c r="O57" s="559"/>
      <c r="P57" s="559"/>
    </row>
    <row r="58" spans="1:16" x14ac:dyDescent="0.2">
      <c r="A58" s="526"/>
      <c r="B58" s="526"/>
      <c r="C58" s="526" t="s">
        <v>141</v>
      </c>
      <c r="D58" s="526"/>
      <c r="E58" s="561">
        <v>-8932</v>
      </c>
      <c r="F58" s="561">
        <v>-9935</v>
      </c>
      <c r="G58" s="561">
        <v>-10649</v>
      </c>
      <c r="H58" s="561">
        <v>-7357</v>
      </c>
      <c r="I58" s="561"/>
      <c r="J58" s="561"/>
      <c r="K58" s="561"/>
      <c r="L58" s="561"/>
      <c r="M58" s="561"/>
      <c r="N58" s="561"/>
      <c r="O58" s="561"/>
      <c r="P58" s="561"/>
    </row>
    <row r="59" spans="1:16" x14ac:dyDescent="0.2">
      <c r="A59" s="526"/>
      <c r="B59" s="526"/>
      <c r="C59" s="526"/>
      <c r="D59" s="526"/>
      <c r="E59" s="526"/>
      <c r="F59" s="526"/>
      <c r="G59" s="526"/>
      <c r="H59" s="526"/>
      <c r="I59" s="526"/>
      <c r="J59" s="526"/>
      <c r="K59" s="526"/>
      <c r="L59" s="526"/>
      <c r="M59" s="526"/>
      <c r="N59" s="526"/>
      <c r="O59" s="526"/>
      <c r="P59" s="526"/>
    </row>
    <row r="60" spans="1:16" x14ac:dyDescent="0.2">
      <c r="A60" s="571" t="s">
        <v>690</v>
      </c>
      <c r="B60" s="494">
        <v>359260</v>
      </c>
      <c r="C60" s="495" t="s">
        <v>622</v>
      </c>
      <c r="D60" s="495" t="s">
        <v>654</v>
      </c>
      <c r="E60" s="496"/>
      <c r="F60" s="497"/>
      <c r="G60" s="497"/>
      <c r="H60" s="497"/>
      <c r="I60" s="497"/>
      <c r="J60" s="497"/>
      <c r="K60" s="496"/>
      <c r="L60" s="497"/>
      <c r="M60" s="497"/>
      <c r="N60" s="497"/>
      <c r="O60" s="497"/>
      <c r="P60" s="497"/>
    </row>
    <row r="61" spans="1:16" x14ac:dyDescent="0.2">
      <c r="A61" s="552"/>
      <c r="B61" s="553"/>
      <c r="C61" s="509" t="s">
        <v>656</v>
      </c>
      <c r="D61" s="509"/>
      <c r="E61" s="561"/>
      <c r="F61" s="561"/>
      <c r="G61" s="561"/>
      <c r="H61" s="561"/>
      <c r="I61" s="561"/>
      <c r="J61" s="555"/>
      <c r="K61" s="554"/>
      <c r="L61" s="554"/>
      <c r="M61" s="554"/>
      <c r="N61" s="554"/>
      <c r="O61" s="554"/>
      <c r="P61" s="554"/>
    </row>
    <row r="62" spans="1:16" x14ac:dyDescent="0.2">
      <c r="A62" s="526"/>
      <c r="B62" s="553"/>
      <c r="C62" s="509" t="s">
        <v>657</v>
      </c>
      <c r="D62" s="556"/>
      <c r="E62" s="561"/>
      <c r="F62" s="561"/>
      <c r="G62" s="561"/>
      <c r="H62" s="561"/>
      <c r="I62" s="561"/>
      <c r="J62" s="558"/>
      <c r="K62" s="557"/>
      <c r="L62" s="557"/>
      <c r="M62" s="557"/>
      <c r="N62" s="557"/>
      <c r="O62" s="557"/>
      <c r="P62" s="557"/>
    </row>
    <row r="63" spans="1:16" x14ac:dyDescent="0.2">
      <c r="A63" s="526"/>
      <c r="B63" s="526"/>
      <c r="C63" s="526" t="s">
        <v>658</v>
      </c>
      <c r="D63" s="526"/>
      <c r="E63" s="559"/>
      <c r="F63" s="559"/>
      <c r="G63" s="559"/>
      <c r="H63" s="559"/>
      <c r="I63" s="560"/>
      <c r="J63" s="560"/>
      <c r="K63" s="559"/>
      <c r="L63" s="559"/>
      <c r="M63" s="559"/>
      <c r="N63" s="559"/>
      <c r="O63" s="559"/>
      <c r="P63" s="559"/>
    </row>
    <row r="64" spans="1:16" x14ac:dyDescent="0.2">
      <c r="A64" s="526"/>
      <c r="B64" s="526"/>
      <c r="C64" s="526" t="s">
        <v>659</v>
      </c>
      <c r="D64" s="526"/>
      <c r="E64" s="561">
        <f>-E58+4000</f>
        <v>12932</v>
      </c>
      <c r="F64" s="561">
        <f t="shared" ref="F64:P64" si="0">-F58+4000</f>
        <v>13935</v>
      </c>
      <c r="G64" s="561">
        <f t="shared" si="0"/>
        <v>14649</v>
      </c>
      <c r="H64" s="561">
        <f t="shared" si="0"/>
        <v>11357</v>
      </c>
      <c r="I64" s="561">
        <f t="shared" si="0"/>
        <v>4000</v>
      </c>
      <c r="J64" s="561">
        <f t="shared" si="0"/>
        <v>4000</v>
      </c>
      <c r="K64" s="561">
        <f t="shared" si="0"/>
        <v>4000</v>
      </c>
      <c r="L64" s="561">
        <f t="shared" si="0"/>
        <v>4000</v>
      </c>
      <c r="M64" s="561">
        <f t="shared" si="0"/>
        <v>4000</v>
      </c>
      <c r="N64" s="561">
        <f t="shared" si="0"/>
        <v>4000</v>
      </c>
      <c r="O64" s="561">
        <f t="shared" si="0"/>
        <v>4000</v>
      </c>
      <c r="P64" s="561">
        <f t="shared" si="0"/>
        <v>4000</v>
      </c>
    </row>
    <row r="65" spans="1:16" x14ac:dyDescent="0.2">
      <c r="A65" s="526"/>
      <c r="B65" s="526"/>
      <c r="C65" s="526"/>
      <c r="D65" s="526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</row>
    <row r="66" spans="1:16" x14ac:dyDescent="0.2">
      <c r="A66" s="571" t="s">
        <v>691</v>
      </c>
      <c r="B66" s="494" t="s">
        <v>655</v>
      </c>
      <c r="C66" s="495" t="s">
        <v>653</v>
      </c>
      <c r="D66" s="495" t="s">
        <v>627</v>
      </c>
      <c r="E66" s="496"/>
      <c r="F66" s="497"/>
      <c r="G66" s="497"/>
      <c r="H66" s="497"/>
      <c r="I66" s="497"/>
      <c r="J66" s="497"/>
      <c r="K66" s="496"/>
      <c r="L66" s="497"/>
      <c r="M66" s="497"/>
      <c r="N66" s="497"/>
      <c r="O66" s="497"/>
      <c r="P66" s="497"/>
    </row>
    <row r="67" spans="1:16" x14ac:dyDescent="0.2">
      <c r="A67" s="552"/>
      <c r="B67" s="553"/>
      <c r="C67" s="509" t="s">
        <v>138</v>
      </c>
      <c r="D67" s="509"/>
      <c r="E67" s="561"/>
      <c r="F67" s="561"/>
      <c r="G67" s="561"/>
      <c r="H67" s="561"/>
      <c r="I67" s="561"/>
      <c r="J67" s="555"/>
      <c r="K67" s="554"/>
      <c r="L67" s="554"/>
      <c r="M67" s="554"/>
      <c r="N67" s="554"/>
      <c r="O67" s="554"/>
      <c r="P67" s="554"/>
    </row>
    <row r="68" spans="1:16" x14ac:dyDescent="0.2">
      <c r="A68" s="526"/>
      <c r="B68" s="553"/>
      <c r="C68" s="509" t="s">
        <v>139</v>
      </c>
      <c r="D68" s="556"/>
      <c r="E68" s="561"/>
      <c r="F68" s="561"/>
      <c r="G68" s="561"/>
      <c r="H68" s="561"/>
      <c r="I68" s="561"/>
      <c r="J68" s="558"/>
      <c r="K68" s="557"/>
      <c r="L68" s="557"/>
      <c r="M68" s="557"/>
      <c r="N68" s="557"/>
      <c r="O68" s="557"/>
      <c r="P68" s="557"/>
    </row>
    <row r="69" spans="1:16" x14ac:dyDescent="0.2">
      <c r="A69" s="526"/>
      <c r="B69" s="526"/>
      <c r="C69" s="526" t="s">
        <v>140</v>
      </c>
      <c r="D69" s="526"/>
      <c r="E69" s="559"/>
      <c r="F69" s="559"/>
      <c r="G69" s="561">
        <v>-2728</v>
      </c>
      <c r="H69" s="561">
        <v>-2728</v>
      </c>
      <c r="I69" s="561">
        <v>-2728</v>
      </c>
      <c r="J69" s="561">
        <v>-2728</v>
      </c>
      <c r="K69" s="561">
        <v>-2342</v>
      </c>
      <c r="L69" s="559"/>
      <c r="M69" s="559"/>
      <c r="N69" s="559"/>
      <c r="O69" s="559"/>
      <c r="P69" s="559"/>
    </row>
    <row r="70" spans="1:16" x14ac:dyDescent="0.2">
      <c r="A70" s="526"/>
      <c r="B70" s="526"/>
      <c r="C70" s="526" t="s">
        <v>141</v>
      </c>
      <c r="D70" s="526"/>
      <c r="E70" s="561"/>
      <c r="F70" s="561"/>
      <c r="G70" s="561">
        <v>-1447</v>
      </c>
      <c r="H70" s="561">
        <v>-1511</v>
      </c>
      <c r="I70" s="561">
        <v>-4899</v>
      </c>
      <c r="J70" s="561">
        <v>-5011</v>
      </c>
      <c r="K70" s="561"/>
      <c r="L70" s="561"/>
      <c r="M70" s="561"/>
      <c r="N70" s="561"/>
      <c r="O70" s="561"/>
      <c r="P70" s="561"/>
    </row>
    <row r="71" spans="1:16" x14ac:dyDescent="0.2">
      <c r="A71" s="526"/>
      <c r="B71" s="526"/>
      <c r="C71" s="526"/>
      <c r="D71" s="526"/>
      <c r="E71" s="526"/>
      <c r="F71" s="526"/>
      <c r="G71" s="526"/>
      <c r="H71" s="526"/>
      <c r="I71" s="526"/>
      <c r="J71" s="526"/>
      <c r="K71" s="526"/>
      <c r="L71" s="526"/>
      <c r="M71" s="526"/>
      <c r="N71" s="526"/>
      <c r="O71" s="526"/>
      <c r="P71" s="526"/>
    </row>
    <row r="72" spans="1:16" x14ac:dyDescent="0.2">
      <c r="A72" s="571" t="s">
        <v>691</v>
      </c>
      <c r="B72" s="494" t="s">
        <v>655</v>
      </c>
      <c r="C72" s="495" t="s">
        <v>622</v>
      </c>
      <c r="D72" s="495" t="s">
        <v>654</v>
      </c>
      <c r="E72" s="496"/>
      <c r="F72" s="497"/>
      <c r="G72" s="497"/>
      <c r="H72" s="497"/>
      <c r="I72" s="497"/>
      <c r="J72" s="497"/>
      <c r="K72" s="496"/>
      <c r="L72" s="497"/>
      <c r="M72" s="497"/>
      <c r="N72" s="497"/>
      <c r="O72" s="497"/>
      <c r="P72" s="497"/>
    </row>
    <row r="73" spans="1:16" x14ac:dyDescent="0.2">
      <c r="A73" s="552"/>
      <c r="B73" s="553"/>
      <c r="C73" s="509" t="s">
        <v>656</v>
      </c>
      <c r="D73" s="509"/>
      <c r="E73" s="561"/>
      <c r="F73" s="561"/>
      <c r="G73" s="561"/>
      <c r="H73" s="561"/>
      <c r="I73" s="561"/>
      <c r="J73" s="555"/>
      <c r="K73" s="554"/>
      <c r="L73" s="554"/>
      <c r="M73" s="554"/>
      <c r="N73" s="554"/>
      <c r="O73" s="554"/>
      <c r="P73" s="554"/>
    </row>
    <row r="74" spans="1:16" x14ac:dyDescent="0.2">
      <c r="A74" s="526"/>
      <c r="B74" s="553"/>
      <c r="C74" s="509" t="s">
        <v>657</v>
      </c>
      <c r="D74" s="556"/>
      <c r="E74" s="561"/>
      <c r="F74" s="561"/>
      <c r="G74" s="561"/>
      <c r="H74" s="561"/>
      <c r="I74" s="561"/>
      <c r="J74" s="558"/>
      <c r="K74" s="557"/>
      <c r="L74" s="557"/>
      <c r="M74" s="557"/>
      <c r="N74" s="557"/>
      <c r="O74" s="557"/>
      <c r="P74" s="557"/>
    </row>
    <row r="75" spans="1:16" x14ac:dyDescent="0.2">
      <c r="A75" s="526"/>
      <c r="B75" s="526"/>
      <c r="C75" s="526" t="s">
        <v>658</v>
      </c>
      <c r="D75" s="526"/>
      <c r="E75" s="559"/>
      <c r="F75" s="559"/>
      <c r="G75" s="561">
        <f>-G69</f>
        <v>2728</v>
      </c>
      <c r="H75" s="561">
        <f t="shared" ref="H75:K75" si="1">-H69</f>
        <v>2728</v>
      </c>
      <c r="I75" s="561">
        <f t="shared" si="1"/>
        <v>2728</v>
      </c>
      <c r="J75" s="561">
        <f t="shared" si="1"/>
        <v>2728</v>
      </c>
      <c r="K75" s="561">
        <f t="shared" si="1"/>
        <v>2342</v>
      </c>
      <c r="L75" s="559"/>
      <c r="M75" s="559"/>
      <c r="N75" s="559"/>
      <c r="O75" s="559"/>
      <c r="P75" s="559"/>
    </row>
    <row r="76" spans="1:16" x14ac:dyDescent="0.2">
      <c r="A76" s="526"/>
      <c r="B76" s="526"/>
      <c r="C76" s="526" t="s">
        <v>659</v>
      </c>
      <c r="D76" s="526"/>
      <c r="E76" s="561"/>
      <c r="F76" s="561"/>
      <c r="G76" s="561">
        <f>-G70</f>
        <v>1447</v>
      </c>
      <c r="H76" s="561">
        <f t="shared" ref="H76:J76" si="2">-H70</f>
        <v>1511</v>
      </c>
      <c r="I76" s="561">
        <f t="shared" si="2"/>
        <v>4899</v>
      </c>
      <c r="J76" s="561">
        <f t="shared" si="2"/>
        <v>5011</v>
      </c>
      <c r="K76" s="561"/>
      <c r="L76" s="561"/>
      <c r="M76" s="561"/>
      <c r="N76" s="561"/>
      <c r="O76" s="561"/>
      <c r="P76" s="561"/>
    </row>
    <row r="77" spans="1:16" x14ac:dyDescent="0.2">
      <c r="A77" s="526"/>
      <c r="B77" s="526"/>
      <c r="C77" s="526"/>
      <c r="D77" s="526"/>
      <c r="E77" s="526"/>
      <c r="F77" s="526"/>
      <c r="G77" s="526"/>
      <c r="H77" s="526"/>
      <c r="I77" s="526"/>
      <c r="J77" s="526"/>
      <c r="K77" s="526"/>
      <c r="L77" s="526"/>
      <c r="M77" s="526"/>
      <c r="N77" s="526"/>
      <c r="O77" s="526"/>
      <c r="P77" s="526"/>
    </row>
    <row r="78" spans="1:16" x14ac:dyDescent="0.2">
      <c r="A78" s="571" t="s">
        <v>692</v>
      </c>
      <c r="B78" s="494" t="s">
        <v>643</v>
      </c>
      <c r="C78" s="495" t="s">
        <v>644</v>
      </c>
      <c r="D78" s="495" t="s">
        <v>633</v>
      </c>
      <c r="E78" s="496"/>
      <c r="F78" s="497"/>
      <c r="G78" s="497"/>
      <c r="H78" s="497"/>
      <c r="I78" s="497"/>
      <c r="J78" s="497"/>
      <c r="K78" s="496"/>
      <c r="L78" s="497"/>
      <c r="M78" s="497"/>
      <c r="N78" s="497"/>
      <c r="O78" s="497"/>
      <c r="P78" s="497"/>
    </row>
    <row r="79" spans="1:16" x14ac:dyDescent="0.2">
      <c r="A79" s="552"/>
      <c r="B79" s="553"/>
      <c r="C79" s="509" t="s">
        <v>507</v>
      </c>
      <c r="D79" s="509"/>
      <c r="E79" s="561"/>
      <c r="F79" s="561"/>
      <c r="G79" s="561"/>
      <c r="H79" s="561"/>
      <c r="I79" s="561"/>
      <c r="J79" s="555"/>
      <c r="K79" s="554"/>
      <c r="L79" s="554"/>
      <c r="M79" s="554"/>
      <c r="N79" s="554"/>
      <c r="O79" s="554"/>
      <c r="P79" s="554"/>
    </row>
    <row r="80" spans="1:16" x14ac:dyDescent="0.2">
      <c r="A80" s="526"/>
      <c r="B80" s="553"/>
      <c r="C80" s="509" t="s">
        <v>151</v>
      </c>
      <c r="D80" s="556"/>
      <c r="E80" s="561">
        <v>-3864</v>
      </c>
      <c r="F80" s="561">
        <v>-3552</v>
      </c>
      <c r="G80" s="561">
        <v>-3399</v>
      </c>
      <c r="H80" s="561"/>
      <c r="I80" s="561"/>
      <c r="J80" s="561">
        <v>-990</v>
      </c>
      <c r="K80" s="561">
        <v>-1311</v>
      </c>
      <c r="L80" s="561">
        <v>-677</v>
      </c>
      <c r="M80" s="561"/>
      <c r="N80" s="561">
        <v>-1898</v>
      </c>
      <c r="O80" s="561">
        <v>-3703</v>
      </c>
      <c r="P80" s="561">
        <v>-4000</v>
      </c>
    </row>
    <row r="81" spans="1:17" x14ac:dyDescent="0.2">
      <c r="A81" s="526"/>
      <c r="B81" s="526"/>
      <c r="C81" s="526" t="s">
        <v>152</v>
      </c>
      <c r="D81" s="526"/>
      <c r="E81" s="561">
        <v>-7136</v>
      </c>
      <c r="F81" s="561">
        <v>-8448</v>
      </c>
      <c r="G81" s="561">
        <v>-8601</v>
      </c>
      <c r="H81" s="561">
        <v>-17000</v>
      </c>
      <c r="I81" s="561">
        <v>-18000</v>
      </c>
      <c r="J81" s="561">
        <v>-14010</v>
      </c>
      <c r="K81" s="561">
        <v>-11689</v>
      </c>
      <c r="L81" s="561">
        <v>-13323</v>
      </c>
      <c r="M81" s="561">
        <v>-16000</v>
      </c>
      <c r="N81" s="561">
        <v>-11102</v>
      </c>
      <c r="O81" s="561">
        <v>-7297</v>
      </c>
      <c r="P81" s="561"/>
    </row>
    <row r="82" spans="1:17" x14ac:dyDescent="0.2">
      <c r="A82" s="526"/>
      <c r="B82" s="526"/>
      <c r="C82" s="526"/>
      <c r="D82" s="526"/>
      <c r="E82" s="526"/>
      <c r="F82" s="526"/>
      <c r="G82" s="526"/>
      <c r="H82" s="526"/>
      <c r="I82" s="526"/>
      <c r="J82" s="526"/>
      <c r="K82" s="526"/>
      <c r="L82" s="526"/>
      <c r="M82" s="526"/>
      <c r="N82" s="526"/>
      <c r="O82" s="526"/>
      <c r="P82" s="526"/>
    </row>
    <row r="83" spans="1:17" x14ac:dyDescent="0.2">
      <c r="A83" s="526"/>
      <c r="B83" s="526"/>
      <c r="C83" s="526"/>
      <c r="D83" s="526"/>
      <c r="E83" s="526"/>
      <c r="F83" s="526"/>
      <c r="G83" s="526"/>
      <c r="H83" s="526"/>
      <c r="I83" s="526"/>
      <c r="J83" s="526"/>
      <c r="K83" s="526"/>
      <c r="L83" s="526"/>
      <c r="M83" s="526"/>
      <c r="N83" s="526"/>
      <c r="O83" s="526"/>
      <c r="P83" s="526"/>
    </row>
    <row r="84" spans="1:17" x14ac:dyDescent="0.2">
      <c r="A84" s="571" t="s">
        <v>693</v>
      </c>
      <c r="B84" s="494">
        <v>8000031684</v>
      </c>
      <c r="C84" s="495" t="s">
        <v>622</v>
      </c>
      <c r="D84" s="495" t="s">
        <v>625</v>
      </c>
      <c r="E84" s="496"/>
      <c r="F84" s="497"/>
      <c r="G84" s="497"/>
      <c r="H84" s="497"/>
      <c r="I84" s="497"/>
      <c r="J84" s="497"/>
      <c r="K84" s="496"/>
      <c r="L84" s="497"/>
      <c r="M84" s="497"/>
      <c r="N84" s="497"/>
      <c r="O84" s="497"/>
      <c r="P84" s="497"/>
    </row>
    <row r="85" spans="1:17" x14ac:dyDescent="0.2">
      <c r="A85" s="552"/>
      <c r="B85" s="553"/>
      <c r="C85" s="509" t="s">
        <v>147</v>
      </c>
      <c r="D85" s="509"/>
      <c r="E85" s="561"/>
      <c r="F85" s="561"/>
      <c r="G85" s="561"/>
      <c r="H85" s="561"/>
      <c r="I85" s="561"/>
      <c r="J85" s="555"/>
      <c r="K85" s="554"/>
      <c r="L85" s="554"/>
      <c r="M85" s="554"/>
      <c r="N85" s="554"/>
      <c r="O85" s="554"/>
      <c r="P85" s="554"/>
    </row>
    <row r="86" spans="1:17" x14ac:dyDescent="0.2">
      <c r="A86" s="526"/>
      <c r="B86" s="553"/>
      <c r="C86" s="509" t="s">
        <v>142</v>
      </c>
      <c r="D86" s="556"/>
      <c r="E86" s="561"/>
      <c r="F86" s="561"/>
      <c r="G86" s="561"/>
      <c r="H86" s="561"/>
      <c r="I86" s="561"/>
      <c r="J86" s="558"/>
      <c r="K86" s="557"/>
      <c r="L86" s="557"/>
      <c r="M86" s="557"/>
      <c r="N86" s="557"/>
      <c r="O86" s="557"/>
      <c r="P86" s="557"/>
    </row>
    <row r="87" spans="1:17" x14ac:dyDescent="0.2">
      <c r="A87" s="526"/>
      <c r="B87" s="526"/>
      <c r="C87" s="526" t="s">
        <v>143</v>
      </c>
      <c r="D87" s="526"/>
      <c r="E87" s="561">
        <v>11000</v>
      </c>
      <c r="F87" s="563"/>
      <c r="G87" s="563"/>
      <c r="H87" s="563"/>
      <c r="I87" s="564"/>
      <c r="J87" s="564"/>
      <c r="K87" s="563"/>
      <c r="L87" s="563"/>
      <c r="M87" s="563"/>
      <c r="N87" s="563"/>
      <c r="O87" s="563"/>
      <c r="P87" s="563"/>
    </row>
    <row r="88" spans="1:17" x14ac:dyDescent="0.2">
      <c r="A88" s="526"/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</row>
    <row r="89" spans="1:17" x14ac:dyDescent="0.2">
      <c r="A89" s="526"/>
      <c r="B89" s="526"/>
      <c r="C89" s="526"/>
      <c r="D89" s="526"/>
      <c r="E89" s="565"/>
      <c r="F89" s="565"/>
      <c r="G89" s="565"/>
      <c r="H89" s="565"/>
      <c r="I89" s="565"/>
      <c r="J89" s="565"/>
      <c r="K89" s="565"/>
      <c r="L89" s="565"/>
      <c r="M89" s="565"/>
      <c r="N89" s="565"/>
      <c r="O89" s="565"/>
      <c r="P89" s="565"/>
    </row>
    <row r="90" spans="1:17" x14ac:dyDescent="0.2">
      <c r="A90" s="571" t="s">
        <v>694</v>
      </c>
      <c r="B90" s="494">
        <v>111784</v>
      </c>
      <c r="C90" s="495" t="s">
        <v>645</v>
      </c>
      <c r="D90" s="495" t="s">
        <v>627</v>
      </c>
      <c r="E90" s="496"/>
      <c r="F90" s="497"/>
      <c r="G90" s="497"/>
      <c r="H90" s="497"/>
      <c r="I90" s="497"/>
      <c r="J90" s="497"/>
      <c r="K90" s="496"/>
      <c r="L90" s="497"/>
      <c r="M90" s="497"/>
      <c r="N90" s="497"/>
      <c r="O90" s="497"/>
      <c r="P90" s="497"/>
    </row>
    <row r="91" spans="1:17" x14ac:dyDescent="0.2">
      <c r="A91" s="552"/>
      <c r="B91" s="553"/>
      <c r="C91" s="509" t="s">
        <v>138</v>
      </c>
      <c r="D91" s="509"/>
      <c r="E91" s="561">
        <v>-1</v>
      </c>
      <c r="F91" s="561">
        <v>-1</v>
      </c>
      <c r="G91" s="561">
        <v>-1</v>
      </c>
      <c r="H91" s="561">
        <v>-1</v>
      </c>
      <c r="I91" s="561">
        <v>-1</v>
      </c>
      <c r="J91" s="561">
        <v>-1</v>
      </c>
      <c r="K91" s="561">
        <v>-1</v>
      </c>
      <c r="L91" s="561">
        <v>-1</v>
      </c>
      <c r="M91" s="561">
        <v>-1</v>
      </c>
      <c r="N91" s="561">
        <v>-1</v>
      </c>
      <c r="O91" s="561">
        <v>-1</v>
      </c>
      <c r="P91" s="561">
        <v>-1</v>
      </c>
    </row>
    <row r="92" spans="1:17" x14ac:dyDescent="0.2">
      <c r="A92" s="526"/>
      <c r="B92" s="553"/>
      <c r="C92" s="509" t="s">
        <v>139</v>
      </c>
      <c r="D92" s="556"/>
      <c r="E92" s="561">
        <v>-300</v>
      </c>
      <c r="F92" s="561">
        <v>-300</v>
      </c>
      <c r="G92" s="561">
        <v>-300</v>
      </c>
      <c r="H92" s="561">
        <v>-300</v>
      </c>
      <c r="I92" s="561">
        <v>-300</v>
      </c>
      <c r="J92" s="566">
        <v>-300</v>
      </c>
      <c r="K92" s="567">
        <v>-300</v>
      </c>
      <c r="L92" s="567">
        <v>-300</v>
      </c>
      <c r="M92" s="567">
        <v>-300</v>
      </c>
      <c r="N92" s="567">
        <v>-300</v>
      </c>
      <c r="O92" s="567">
        <v>-300</v>
      </c>
      <c r="P92" s="567">
        <v>-13</v>
      </c>
      <c r="Q92" s="502"/>
    </row>
    <row r="93" spans="1:17" x14ac:dyDescent="0.2">
      <c r="A93" s="526"/>
      <c r="B93" s="526"/>
      <c r="C93" s="526" t="s">
        <v>140</v>
      </c>
      <c r="D93" s="526"/>
      <c r="E93" s="561">
        <v>-1520</v>
      </c>
      <c r="F93" s="561">
        <v>-2717</v>
      </c>
      <c r="G93" s="561">
        <v>-3973</v>
      </c>
      <c r="H93" s="561">
        <v>-2357</v>
      </c>
      <c r="I93" s="561">
        <v>-4407</v>
      </c>
      <c r="J93" s="561">
        <v>-4873</v>
      </c>
      <c r="K93" s="561">
        <v>-3858</v>
      </c>
      <c r="L93" s="561">
        <v>-2067</v>
      </c>
      <c r="M93" s="561">
        <v>-1304</v>
      </c>
      <c r="N93" s="561">
        <v>-1587</v>
      </c>
      <c r="O93" s="561">
        <v>-372</v>
      </c>
      <c r="P93" s="561">
        <v>0</v>
      </c>
      <c r="Q93" s="502"/>
    </row>
    <row r="94" spans="1:17" x14ac:dyDescent="0.2">
      <c r="A94" s="526"/>
      <c r="B94" s="526"/>
      <c r="C94" s="526" t="s">
        <v>141</v>
      </c>
      <c r="D94" s="526"/>
      <c r="E94" s="563"/>
      <c r="F94" s="563"/>
      <c r="G94" s="563"/>
      <c r="H94" s="563"/>
      <c r="I94" s="563"/>
      <c r="J94" s="563"/>
      <c r="K94" s="563"/>
      <c r="L94" s="563"/>
      <c r="M94" s="563"/>
      <c r="N94" s="563"/>
      <c r="O94" s="563"/>
      <c r="P94" s="563"/>
    </row>
    <row r="95" spans="1:17" x14ac:dyDescent="0.2">
      <c r="A95" s="526"/>
      <c r="B95" s="526"/>
      <c r="C95" s="526"/>
      <c r="D95" s="526"/>
      <c r="E95" s="526"/>
      <c r="F95" s="526"/>
      <c r="G95" s="526"/>
      <c r="H95" s="526"/>
      <c r="I95" s="526"/>
      <c r="J95" s="526"/>
      <c r="K95" s="526"/>
      <c r="L95" s="526"/>
      <c r="M95" s="526"/>
      <c r="N95" s="526"/>
      <c r="O95" s="526"/>
      <c r="P95" s="526"/>
    </row>
    <row r="96" spans="1:17" x14ac:dyDescent="0.2">
      <c r="A96" s="571" t="s">
        <v>695</v>
      </c>
      <c r="B96" s="494">
        <v>199578</v>
      </c>
      <c r="C96" s="495" t="s">
        <v>629</v>
      </c>
      <c r="D96" s="495" t="s">
        <v>625</v>
      </c>
      <c r="E96" s="496"/>
      <c r="F96" s="497"/>
      <c r="G96" s="497"/>
      <c r="H96" s="497"/>
      <c r="I96" s="497"/>
      <c r="J96" s="497"/>
      <c r="K96" s="496"/>
      <c r="L96" s="497"/>
      <c r="M96" s="497"/>
      <c r="N96" s="497"/>
      <c r="O96" s="497"/>
      <c r="P96" s="497"/>
    </row>
    <row r="97" spans="1:16" x14ac:dyDescent="0.2">
      <c r="A97" s="552"/>
      <c r="B97" s="553"/>
      <c r="C97" s="509" t="s">
        <v>147</v>
      </c>
      <c r="D97" s="509"/>
      <c r="E97" s="561">
        <v>-1</v>
      </c>
      <c r="F97" s="561">
        <v>-1</v>
      </c>
      <c r="G97" s="561">
        <v>-1</v>
      </c>
      <c r="H97" s="561">
        <v>-1</v>
      </c>
      <c r="I97" s="561">
        <v>-1</v>
      </c>
      <c r="J97" s="561">
        <v>-1</v>
      </c>
      <c r="K97" s="561">
        <v>-1</v>
      </c>
      <c r="L97" s="561">
        <v>-1</v>
      </c>
      <c r="M97" s="561">
        <v>-1</v>
      </c>
      <c r="N97" s="561">
        <v>-1</v>
      </c>
      <c r="O97" s="561">
        <v>-1</v>
      </c>
      <c r="P97" s="561">
        <v>-1</v>
      </c>
    </row>
    <row r="98" spans="1:16" x14ac:dyDescent="0.2">
      <c r="A98" s="526"/>
      <c r="B98" s="553"/>
      <c r="C98" s="509" t="s">
        <v>142</v>
      </c>
      <c r="D98" s="556"/>
      <c r="E98" s="561"/>
      <c r="F98" s="561"/>
      <c r="G98" s="561">
        <v>-246</v>
      </c>
      <c r="H98" s="561">
        <v>-645</v>
      </c>
      <c r="I98" s="561">
        <v>-2671</v>
      </c>
      <c r="J98" s="561">
        <v>-2155</v>
      </c>
      <c r="K98" s="561">
        <v>-957</v>
      </c>
      <c r="L98" s="561">
        <v>-24</v>
      </c>
      <c r="M98" s="561">
        <v>-5</v>
      </c>
      <c r="N98" s="561">
        <v>-1</v>
      </c>
      <c r="O98" s="563"/>
      <c r="P98" s="563"/>
    </row>
    <row r="99" spans="1:16" x14ac:dyDescent="0.2">
      <c r="A99" s="526"/>
      <c r="B99" s="526"/>
      <c r="C99" s="526" t="s">
        <v>143</v>
      </c>
      <c r="D99" s="526"/>
      <c r="E99" s="563"/>
      <c r="F99" s="563"/>
      <c r="G99" s="563"/>
      <c r="H99" s="563"/>
      <c r="I99" s="564"/>
      <c r="J99" s="564"/>
      <c r="K99" s="563"/>
      <c r="L99" s="563"/>
      <c r="M99" s="563"/>
      <c r="N99" s="563"/>
      <c r="O99" s="563"/>
      <c r="P99" s="563"/>
    </row>
    <row r="100" spans="1:16" x14ac:dyDescent="0.2">
      <c r="A100" s="526"/>
      <c r="B100" s="526"/>
      <c r="C100" s="526"/>
      <c r="D100" s="526"/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</row>
    <row r="101" spans="1:16" x14ac:dyDescent="0.2">
      <c r="A101" s="526"/>
      <c r="B101" s="526"/>
      <c r="C101" s="526"/>
      <c r="D101" s="526"/>
      <c r="E101" s="526"/>
      <c r="F101" s="526"/>
      <c r="G101" s="526"/>
      <c r="H101" s="526"/>
      <c r="I101" s="526"/>
      <c r="J101" s="526"/>
      <c r="K101" s="526"/>
      <c r="L101" s="526"/>
      <c r="M101" s="526"/>
      <c r="N101" s="526"/>
      <c r="O101" s="526"/>
      <c r="P101" s="526"/>
    </row>
    <row r="102" spans="1:16" x14ac:dyDescent="0.2">
      <c r="A102" s="571" t="s">
        <v>696</v>
      </c>
      <c r="B102" s="494">
        <v>400109627</v>
      </c>
      <c r="C102" s="495" t="s">
        <v>624</v>
      </c>
      <c r="D102" s="495" t="s">
        <v>627</v>
      </c>
      <c r="E102" s="496"/>
      <c r="F102" s="497"/>
      <c r="G102" s="497"/>
      <c r="H102" s="497"/>
      <c r="I102" s="497"/>
      <c r="J102" s="497"/>
      <c r="K102" s="496"/>
      <c r="L102" s="497"/>
      <c r="M102" s="497"/>
      <c r="N102" s="497"/>
      <c r="O102" s="497"/>
      <c r="P102" s="497"/>
    </row>
    <row r="103" spans="1:16" x14ac:dyDescent="0.2">
      <c r="A103" s="552"/>
      <c r="B103" s="553"/>
      <c r="C103" s="509" t="s">
        <v>138</v>
      </c>
      <c r="D103" s="509"/>
      <c r="E103" s="561">
        <v>1</v>
      </c>
      <c r="F103" s="561">
        <v>1</v>
      </c>
      <c r="G103" s="561">
        <v>1</v>
      </c>
      <c r="H103" s="561">
        <v>1</v>
      </c>
      <c r="I103" s="561">
        <v>1</v>
      </c>
      <c r="J103" s="561">
        <v>1</v>
      </c>
      <c r="K103" s="561">
        <v>1</v>
      </c>
      <c r="L103" s="561">
        <v>1</v>
      </c>
      <c r="M103" s="561">
        <v>1</v>
      </c>
      <c r="N103" s="561">
        <v>1</v>
      </c>
      <c r="O103" s="561">
        <v>1</v>
      </c>
      <c r="P103" s="561"/>
    </row>
    <row r="104" spans="1:16" x14ac:dyDescent="0.2">
      <c r="A104" s="526"/>
      <c r="B104" s="553"/>
      <c r="C104" s="509" t="s">
        <v>139</v>
      </c>
      <c r="D104" s="556"/>
      <c r="E104" s="561">
        <v>300</v>
      </c>
      <c r="F104" s="561">
        <v>300</v>
      </c>
      <c r="G104" s="561">
        <v>300</v>
      </c>
      <c r="H104" s="561">
        <v>300</v>
      </c>
      <c r="I104" s="561">
        <v>300</v>
      </c>
      <c r="J104" s="561">
        <v>300</v>
      </c>
      <c r="K104" s="561">
        <v>300</v>
      </c>
      <c r="L104" s="561">
        <v>300</v>
      </c>
      <c r="M104" s="561">
        <v>300</v>
      </c>
      <c r="N104" s="561">
        <v>300</v>
      </c>
      <c r="O104" s="561">
        <v>300</v>
      </c>
      <c r="P104" s="568"/>
    </row>
    <row r="105" spans="1:16" x14ac:dyDescent="0.2">
      <c r="A105" s="526"/>
      <c r="B105" s="526"/>
      <c r="C105" s="526" t="s">
        <v>140</v>
      </c>
      <c r="D105" s="526"/>
      <c r="E105" s="561">
        <v>700</v>
      </c>
      <c r="F105" s="561">
        <v>700</v>
      </c>
      <c r="G105" s="561">
        <v>700</v>
      </c>
      <c r="H105" s="561">
        <v>700</v>
      </c>
      <c r="I105" s="561">
        <v>700</v>
      </c>
      <c r="J105" s="561">
        <v>700</v>
      </c>
      <c r="K105" s="561">
        <v>700</v>
      </c>
      <c r="L105" s="561">
        <v>700</v>
      </c>
      <c r="M105" s="561">
        <v>700</v>
      </c>
      <c r="N105" s="561">
        <v>700</v>
      </c>
      <c r="O105" s="561">
        <v>700</v>
      </c>
      <c r="P105" s="563"/>
    </row>
    <row r="106" spans="1:16" x14ac:dyDescent="0.2">
      <c r="A106" s="526"/>
      <c r="B106" s="526"/>
      <c r="C106" s="526" t="s">
        <v>141</v>
      </c>
      <c r="D106" s="526"/>
      <c r="E106" s="563"/>
      <c r="F106" s="563"/>
      <c r="G106" s="563"/>
      <c r="H106" s="563"/>
      <c r="I106" s="563"/>
      <c r="J106" s="563"/>
      <c r="K106" s="563"/>
      <c r="L106" s="563"/>
      <c r="M106" s="563"/>
      <c r="N106" s="563"/>
      <c r="O106" s="563"/>
      <c r="P106" s="563"/>
    </row>
    <row r="107" spans="1:16" x14ac:dyDescent="0.2">
      <c r="A107" s="526"/>
      <c r="B107" s="526"/>
      <c r="C107" s="526"/>
      <c r="D107" s="526"/>
      <c r="E107" s="526"/>
      <c r="F107" s="526"/>
      <c r="G107" s="526"/>
      <c r="H107" s="526"/>
      <c r="I107" s="526"/>
      <c r="J107" s="526"/>
      <c r="K107" s="526"/>
      <c r="L107" s="526"/>
      <c r="M107" s="526"/>
      <c r="N107" s="526"/>
      <c r="O107" s="526"/>
      <c r="P107" s="526"/>
    </row>
    <row r="108" spans="1:16" x14ac:dyDescent="0.2">
      <c r="A108" s="571" t="s">
        <v>697</v>
      </c>
      <c r="B108" s="494">
        <v>197176</v>
      </c>
      <c r="C108" s="495" t="s">
        <v>630</v>
      </c>
      <c r="D108" s="495" t="s">
        <v>625</v>
      </c>
      <c r="E108" s="496"/>
      <c r="F108" s="497"/>
      <c r="G108" s="497"/>
      <c r="H108" s="497"/>
      <c r="I108" s="497"/>
      <c r="J108" s="497"/>
      <c r="K108" s="496"/>
      <c r="L108" s="497"/>
      <c r="M108" s="497"/>
      <c r="N108" s="497"/>
      <c r="O108" s="497"/>
      <c r="P108" s="497"/>
    </row>
    <row r="109" spans="1:16" x14ac:dyDescent="0.2">
      <c r="A109" s="552"/>
      <c r="B109" s="553"/>
      <c r="C109" s="509" t="s">
        <v>147</v>
      </c>
      <c r="D109" s="509"/>
      <c r="E109" s="561">
        <v>-1</v>
      </c>
      <c r="F109" s="561">
        <v>-1</v>
      </c>
      <c r="G109" s="561">
        <v>-1</v>
      </c>
      <c r="H109" s="561">
        <v>-1</v>
      </c>
      <c r="I109" s="561">
        <v>-1</v>
      </c>
      <c r="J109" s="561">
        <v>-1</v>
      </c>
      <c r="K109" s="561">
        <v>-1</v>
      </c>
      <c r="L109" s="561">
        <v>-1</v>
      </c>
      <c r="M109" s="561">
        <v>-1</v>
      </c>
      <c r="N109" s="561"/>
      <c r="O109" s="561"/>
      <c r="P109" s="561"/>
    </row>
    <row r="110" spans="1:16" x14ac:dyDescent="0.2">
      <c r="A110" s="526"/>
      <c r="B110" s="553"/>
      <c r="C110" s="509" t="s">
        <v>142</v>
      </c>
      <c r="D110" s="556"/>
      <c r="E110" s="561"/>
      <c r="F110" s="561"/>
      <c r="G110" s="563"/>
      <c r="H110" s="563"/>
      <c r="I110" s="563"/>
      <c r="J110" s="563"/>
      <c r="K110" s="563"/>
      <c r="L110" s="563"/>
      <c r="M110" s="563"/>
      <c r="N110" s="563"/>
      <c r="O110" s="563"/>
      <c r="P110" s="563"/>
    </row>
    <row r="111" spans="1:16" x14ac:dyDescent="0.2">
      <c r="A111" s="526"/>
      <c r="B111" s="526"/>
      <c r="C111" s="526" t="s">
        <v>143</v>
      </c>
      <c r="D111" s="526"/>
      <c r="E111" s="563"/>
      <c r="F111" s="563"/>
      <c r="G111" s="563"/>
      <c r="H111" s="563"/>
      <c r="I111" s="564"/>
      <c r="J111" s="564"/>
      <c r="K111" s="563"/>
      <c r="L111" s="563"/>
      <c r="M111" s="563"/>
      <c r="N111" s="563"/>
      <c r="O111" s="563"/>
      <c r="P111" s="563"/>
    </row>
    <row r="112" spans="1:16" x14ac:dyDescent="0.2">
      <c r="A112" s="526"/>
      <c r="B112" s="526"/>
      <c r="C112" s="526"/>
      <c r="D112" s="526"/>
      <c r="E112" s="526"/>
      <c r="F112" s="526"/>
      <c r="G112" s="526"/>
      <c r="H112" s="526"/>
      <c r="I112" s="526"/>
      <c r="J112" s="526"/>
      <c r="K112" s="526"/>
      <c r="L112" s="526"/>
      <c r="M112" s="526"/>
      <c r="N112" s="526"/>
      <c r="O112" s="526"/>
      <c r="P112" s="526"/>
    </row>
    <row r="113" spans="1:16" x14ac:dyDescent="0.2">
      <c r="A113" s="526"/>
      <c r="B113" s="526"/>
      <c r="C113" s="526"/>
      <c r="D113" s="526"/>
      <c r="E113" s="526"/>
      <c r="F113" s="526"/>
      <c r="G113" s="526"/>
      <c r="H113" s="526"/>
      <c r="I113" s="526"/>
      <c r="J113" s="526"/>
      <c r="K113" s="526"/>
      <c r="L113" s="526"/>
      <c r="M113" s="526"/>
      <c r="N113" s="526"/>
      <c r="O113" s="526"/>
      <c r="P113" s="526"/>
    </row>
    <row r="114" spans="1:16" x14ac:dyDescent="0.2">
      <c r="A114" s="571" t="s">
        <v>698</v>
      </c>
      <c r="B114" s="494" t="s">
        <v>631</v>
      </c>
      <c r="C114" s="495" t="s">
        <v>632</v>
      </c>
      <c r="D114" s="495" t="s">
        <v>628</v>
      </c>
      <c r="E114" s="496"/>
      <c r="F114" s="497"/>
      <c r="G114" s="497"/>
      <c r="H114" s="497"/>
      <c r="I114" s="497"/>
      <c r="J114" s="497"/>
      <c r="K114" s="496"/>
      <c r="L114" s="497"/>
      <c r="M114" s="497"/>
      <c r="N114" s="497"/>
      <c r="O114" s="497"/>
      <c r="P114" s="497"/>
    </row>
    <row r="115" spans="1:16" x14ac:dyDescent="0.2">
      <c r="A115" s="552"/>
      <c r="B115" s="553"/>
      <c r="C115" s="509" t="s">
        <v>506</v>
      </c>
      <c r="D115" s="509"/>
      <c r="E115" s="561">
        <v>-1</v>
      </c>
      <c r="F115" s="561">
        <v>-1</v>
      </c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</row>
    <row r="116" spans="1:16" x14ac:dyDescent="0.2">
      <c r="A116" s="526"/>
      <c r="B116" s="553"/>
      <c r="C116" s="509" t="s">
        <v>148</v>
      </c>
      <c r="D116" s="556"/>
      <c r="E116" s="561">
        <v>-300</v>
      </c>
      <c r="F116" s="561">
        <v>-300</v>
      </c>
      <c r="G116" s="563"/>
      <c r="H116" s="563"/>
      <c r="I116" s="563"/>
      <c r="J116" s="569"/>
      <c r="K116" s="568"/>
      <c r="L116" s="568"/>
      <c r="M116" s="568"/>
      <c r="N116" s="568"/>
      <c r="O116" s="568"/>
      <c r="P116" s="568"/>
    </row>
    <row r="117" spans="1:16" x14ac:dyDescent="0.2">
      <c r="A117" s="526"/>
      <c r="B117" s="526"/>
      <c r="C117" s="526" t="s">
        <v>149</v>
      </c>
      <c r="D117" s="526"/>
      <c r="E117" s="561">
        <v>-294.39999999999998</v>
      </c>
      <c r="F117" s="561">
        <v>-187.7</v>
      </c>
      <c r="G117" s="563"/>
      <c r="H117" s="563"/>
      <c r="I117" s="563"/>
      <c r="J117" s="563"/>
      <c r="K117" s="563"/>
      <c r="L117" s="563"/>
      <c r="M117" s="563"/>
      <c r="N117" s="563"/>
      <c r="O117" s="563"/>
      <c r="P117" s="563"/>
    </row>
    <row r="118" spans="1:16" x14ac:dyDescent="0.2">
      <c r="A118" s="526"/>
      <c r="B118" s="526"/>
      <c r="C118" s="526" t="s">
        <v>150</v>
      </c>
      <c r="D118" s="526"/>
      <c r="E118" s="563"/>
      <c r="F118" s="563"/>
      <c r="G118" s="563"/>
      <c r="H118" s="563"/>
      <c r="I118" s="563"/>
      <c r="J118" s="563"/>
      <c r="K118" s="563"/>
      <c r="L118" s="563"/>
      <c r="M118" s="563"/>
      <c r="N118" s="563"/>
      <c r="O118" s="563"/>
      <c r="P118" s="563"/>
    </row>
    <row r="119" spans="1:16" x14ac:dyDescent="0.2">
      <c r="A119" s="526"/>
      <c r="B119" s="526"/>
      <c r="C119" s="526"/>
      <c r="D119" s="526"/>
      <c r="E119" s="570"/>
      <c r="F119" s="570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</row>
    <row r="120" spans="1:16" x14ac:dyDescent="0.2">
      <c r="A120" s="571" t="s">
        <v>698</v>
      </c>
      <c r="B120" s="494">
        <v>400122742</v>
      </c>
      <c r="C120" s="495" t="s">
        <v>632</v>
      </c>
      <c r="D120" s="495" t="s">
        <v>627</v>
      </c>
      <c r="E120" s="496"/>
      <c r="F120" s="497"/>
      <c r="G120" s="497"/>
      <c r="H120" s="497"/>
      <c r="I120" s="497"/>
      <c r="J120" s="497"/>
      <c r="K120" s="496"/>
      <c r="L120" s="497"/>
      <c r="M120" s="497"/>
      <c r="N120" s="497"/>
      <c r="O120" s="497"/>
      <c r="P120" s="497"/>
    </row>
    <row r="121" spans="1:16" x14ac:dyDescent="0.2">
      <c r="A121" s="552"/>
      <c r="B121" s="553"/>
      <c r="C121" s="509" t="s">
        <v>138</v>
      </c>
      <c r="D121" s="509"/>
      <c r="E121" s="561">
        <f>-E115</f>
        <v>1</v>
      </c>
      <c r="F121" s="561">
        <f>-F115</f>
        <v>1</v>
      </c>
      <c r="G121" s="561"/>
      <c r="H121" s="561"/>
      <c r="I121" s="561"/>
      <c r="J121" s="561"/>
      <c r="K121" s="561"/>
      <c r="L121" s="561"/>
      <c r="M121" s="561"/>
      <c r="N121" s="561"/>
      <c r="O121" s="561"/>
      <c r="P121" s="561"/>
    </row>
    <row r="122" spans="1:16" x14ac:dyDescent="0.2">
      <c r="A122" s="526"/>
      <c r="B122" s="553"/>
      <c r="C122" s="509" t="s">
        <v>139</v>
      </c>
      <c r="D122" s="556"/>
      <c r="E122" s="561">
        <f t="shared" ref="E122:F123" si="3">-E116</f>
        <v>300</v>
      </c>
      <c r="F122" s="561">
        <f t="shared" si="3"/>
        <v>300</v>
      </c>
      <c r="G122" s="563"/>
      <c r="H122" s="563"/>
      <c r="I122" s="563"/>
      <c r="J122" s="563"/>
      <c r="K122" s="563"/>
      <c r="L122" s="563"/>
      <c r="M122" s="563"/>
      <c r="N122" s="563"/>
      <c r="O122" s="563"/>
      <c r="P122" s="568"/>
    </row>
    <row r="123" spans="1:16" x14ac:dyDescent="0.2">
      <c r="A123" s="526"/>
      <c r="B123" s="526"/>
      <c r="C123" s="526" t="s">
        <v>140</v>
      </c>
      <c r="D123" s="526"/>
      <c r="E123" s="561">
        <f t="shared" si="3"/>
        <v>294.39999999999998</v>
      </c>
      <c r="F123" s="561">
        <f t="shared" si="3"/>
        <v>187.7</v>
      </c>
      <c r="G123" s="563"/>
      <c r="H123" s="563"/>
      <c r="I123" s="563"/>
      <c r="J123" s="563"/>
      <c r="K123" s="563"/>
      <c r="L123" s="563"/>
      <c r="M123" s="563"/>
      <c r="N123" s="563"/>
      <c r="O123" s="563"/>
      <c r="P123" s="563"/>
    </row>
    <row r="124" spans="1:16" x14ac:dyDescent="0.2">
      <c r="A124" s="526"/>
      <c r="B124" s="526"/>
      <c r="C124" s="526" t="s">
        <v>141</v>
      </c>
      <c r="D124" s="526"/>
      <c r="E124" s="563"/>
      <c r="F124" s="563"/>
      <c r="G124" s="563"/>
      <c r="H124" s="563"/>
      <c r="I124" s="563"/>
      <c r="J124" s="563"/>
      <c r="K124" s="563"/>
      <c r="L124" s="563"/>
      <c r="M124" s="563"/>
      <c r="N124" s="563"/>
      <c r="O124" s="563"/>
      <c r="P124" s="563"/>
    </row>
    <row r="125" spans="1:16" x14ac:dyDescent="0.2">
      <c r="A125" s="526"/>
      <c r="B125" s="526"/>
      <c r="C125" s="526"/>
      <c r="D125" s="526"/>
      <c r="E125" s="526"/>
      <c r="F125" s="526"/>
      <c r="G125" s="526"/>
      <c r="H125" s="526"/>
      <c r="I125" s="526"/>
      <c r="J125" s="526"/>
      <c r="K125" s="526"/>
      <c r="L125" s="526"/>
      <c r="M125" s="526"/>
      <c r="N125" s="526"/>
      <c r="O125" s="526"/>
      <c r="P125" s="526"/>
    </row>
    <row r="126" spans="1:16" x14ac:dyDescent="0.2">
      <c r="A126" s="571" t="s">
        <v>699</v>
      </c>
      <c r="B126" s="494">
        <v>8000108646</v>
      </c>
      <c r="C126" s="495" t="s">
        <v>624</v>
      </c>
      <c r="D126" s="495" t="s">
        <v>625</v>
      </c>
      <c r="E126" s="496"/>
      <c r="F126" s="497"/>
      <c r="G126" s="497"/>
      <c r="H126" s="497"/>
      <c r="I126" s="497"/>
      <c r="J126" s="497"/>
      <c r="K126" s="496"/>
      <c r="L126" s="497"/>
      <c r="M126" s="497"/>
      <c r="N126" s="497"/>
      <c r="O126" s="497"/>
      <c r="P126" s="497"/>
    </row>
    <row r="127" spans="1:16" x14ac:dyDescent="0.2">
      <c r="A127" s="552"/>
      <c r="B127" s="553"/>
      <c r="C127" s="509" t="s">
        <v>147</v>
      </c>
      <c r="D127" s="509"/>
      <c r="E127" s="561">
        <v>1</v>
      </c>
      <c r="F127" s="561">
        <v>1</v>
      </c>
      <c r="G127" s="561">
        <v>1</v>
      </c>
      <c r="H127" s="561">
        <v>1</v>
      </c>
      <c r="I127" s="561">
        <v>1</v>
      </c>
      <c r="J127" s="561">
        <v>1</v>
      </c>
      <c r="K127" s="561">
        <v>1</v>
      </c>
      <c r="L127" s="561">
        <v>1</v>
      </c>
      <c r="M127" s="561">
        <v>1</v>
      </c>
      <c r="N127" s="561">
        <v>1</v>
      </c>
      <c r="O127" s="561">
        <v>1</v>
      </c>
      <c r="P127" s="561"/>
    </row>
    <row r="128" spans="1:16" x14ac:dyDescent="0.2">
      <c r="A128" s="526"/>
      <c r="B128" s="553"/>
      <c r="C128" s="509" t="s">
        <v>142</v>
      </c>
      <c r="D128" s="556"/>
      <c r="E128" s="561">
        <v>4000</v>
      </c>
      <c r="F128" s="561">
        <v>4000</v>
      </c>
      <c r="G128" s="561">
        <v>2000</v>
      </c>
      <c r="H128" s="561"/>
      <c r="I128" s="561"/>
      <c r="J128" s="561"/>
      <c r="K128" s="561"/>
      <c r="L128" s="561">
        <v>3000</v>
      </c>
      <c r="M128" s="561">
        <v>4000</v>
      </c>
      <c r="N128" s="561">
        <v>5000</v>
      </c>
      <c r="O128" s="561">
        <v>5000</v>
      </c>
      <c r="P128" s="563"/>
    </row>
    <row r="129" spans="1:19" x14ac:dyDescent="0.2">
      <c r="A129" s="526"/>
      <c r="B129" s="526"/>
      <c r="C129" s="526" t="s">
        <v>143</v>
      </c>
      <c r="D129" s="526"/>
      <c r="E129" s="563"/>
      <c r="F129" s="563"/>
      <c r="G129" s="563"/>
      <c r="H129" s="563"/>
      <c r="I129" s="564"/>
      <c r="J129" s="564"/>
      <c r="K129" s="563"/>
      <c r="L129" s="563"/>
      <c r="M129" s="563"/>
      <c r="N129" s="563"/>
      <c r="O129" s="563"/>
      <c r="P129" s="563"/>
    </row>
    <row r="130" spans="1:19" x14ac:dyDescent="0.2">
      <c r="A130" s="526"/>
      <c r="B130" s="526"/>
      <c r="C130" s="526"/>
      <c r="D130" s="526"/>
      <c r="E130" s="526"/>
      <c r="F130" s="526"/>
      <c r="G130" s="526"/>
      <c r="H130" s="526"/>
      <c r="I130" s="526"/>
      <c r="J130" s="526"/>
      <c r="K130" s="526"/>
      <c r="L130" s="526"/>
      <c r="M130" s="526"/>
      <c r="N130" s="526"/>
      <c r="O130" s="526"/>
      <c r="P130" s="526"/>
    </row>
    <row r="131" spans="1:19" x14ac:dyDescent="0.2">
      <c r="A131" s="526"/>
      <c r="B131" s="526"/>
      <c r="C131" s="526"/>
      <c r="D131" s="526"/>
      <c r="E131" s="526"/>
      <c r="F131" s="526"/>
      <c r="G131" s="526"/>
      <c r="H131" s="526"/>
      <c r="I131" s="526"/>
      <c r="J131" s="526"/>
      <c r="K131" s="526"/>
      <c r="L131" s="526"/>
      <c r="M131" s="526"/>
      <c r="N131" s="526"/>
      <c r="O131" s="526"/>
      <c r="P131" s="526"/>
    </row>
    <row r="132" spans="1:19" x14ac:dyDescent="0.2">
      <c r="A132" s="571" t="s">
        <v>700</v>
      </c>
      <c r="B132" s="494"/>
      <c r="C132" s="495" t="s">
        <v>624</v>
      </c>
      <c r="D132" s="495" t="s">
        <v>627</v>
      </c>
      <c r="E132" s="496"/>
      <c r="F132" s="497"/>
      <c r="G132" s="497"/>
      <c r="H132" s="497"/>
      <c r="I132" s="497"/>
      <c r="J132" s="497"/>
      <c r="K132" s="496"/>
      <c r="L132" s="497"/>
      <c r="M132" s="497"/>
      <c r="N132" s="497"/>
      <c r="O132" s="497"/>
      <c r="P132" s="497"/>
    </row>
    <row r="133" spans="1:19" x14ac:dyDescent="0.2">
      <c r="A133" s="552"/>
      <c r="B133" s="553"/>
      <c r="C133" s="509" t="s">
        <v>138</v>
      </c>
      <c r="D133" s="509"/>
      <c r="E133" s="561">
        <v>1</v>
      </c>
      <c r="F133" s="561">
        <v>1</v>
      </c>
      <c r="G133" s="561">
        <v>1</v>
      </c>
      <c r="H133" s="561">
        <v>1</v>
      </c>
      <c r="I133" s="561">
        <v>1</v>
      </c>
      <c r="J133" s="561">
        <v>1</v>
      </c>
      <c r="K133" s="561">
        <v>1</v>
      </c>
      <c r="L133" s="561">
        <v>1</v>
      </c>
      <c r="M133" s="561">
        <v>1</v>
      </c>
      <c r="N133" s="561">
        <v>1</v>
      </c>
      <c r="O133" s="561">
        <v>1</v>
      </c>
      <c r="P133" s="561">
        <v>1</v>
      </c>
      <c r="S133" s="503"/>
    </row>
    <row r="134" spans="1:19" x14ac:dyDescent="0.2">
      <c r="A134" s="526"/>
      <c r="B134" s="553"/>
      <c r="C134" s="509" t="s">
        <v>139</v>
      </c>
      <c r="D134" s="556"/>
      <c r="E134" s="561">
        <v>300</v>
      </c>
      <c r="F134" s="561">
        <v>300</v>
      </c>
      <c r="G134" s="561">
        <v>300</v>
      </c>
      <c r="H134" s="561">
        <v>300</v>
      </c>
      <c r="I134" s="561">
        <v>300</v>
      </c>
      <c r="J134" s="561">
        <v>300</v>
      </c>
      <c r="K134" s="561">
        <v>300</v>
      </c>
      <c r="L134" s="561">
        <v>300</v>
      </c>
      <c r="M134" s="561">
        <v>300</v>
      </c>
      <c r="N134" s="561">
        <v>300</v>
      </c>
      <c r="O134" s="561">
        <v>300</v>
      </c>
      <c r="P134" s="561">
        <v>300</v>
      </c>
      <c r="S134" s="503"/>
    </row>
    <row r="135" spans="1:19" x14ac:dyDescent="0.2">
      <c r="A135" s="526"/>
      <c r="B135" s="526"/>
      <c r="C135" s="526" t="s">
        <v>140</v>
      </c>
      <c r="D135" s="526"/>
      <c r="E135" s="561">
        <v>3700</v>
      </c>
      <c r="F135" s="561">
        <v>3700</v>
      </c>
      <c r="G135" s="561">
        <v>3700</v>
      </c>
      <c r="H135" s="561">
        <v>3700</v>
      </c>
      <c r="I135" s="561">
        <v>3700</v>
      </c>
      <c r="J135" s="561">
        <v>3700</v>
      </c>
      <c r="K135" s="561">
        <v>3700</v>
      </c>
      <c r="L135" s="561">
        <v>3700</v>
      </c>
      <c r="M135" s="561">
        <v>3700</v>
      </c>
      <c r="N135" s="561">
        <v>3700</v>
      </c>
      <c r="O135" s="561">
        <v>3700</v>
      </c>
      <c r="P135" s="561">
        <v>3700</v>
      </c>
      <c r="Q135" s="502"/>
      <c r="S135" s="503"/>
    </row>
    <row r="136" spans="1:19" x14ac:dyDescent="0.2">
      <c r="A136" s="526"/>
      <c r="B136" s="526"/>
      <c r="C136" s="526" t="s">
        <v>141</v>
      </c>
      <c r="D136" s="526"/>
      <c r="E136" s="563"/>
      <c r="F136" s="563"/>
      <c r="G136" s="563"/>
      <c r="H136" s="563"/>
      <c r="I136" s="563"/>
      <c r="J136" s="563"/>
      <c r="K136" s="563"/>
      <c r="L136" s="563"/>
      <c r="M136" s="563"/>
      <c r="N136" s="563"/>
      <c r="O136" s="563"/>
      <c r="P136" s="563"/>
      <c r="S136" s="503"/>
    </row>
    <row r="137" spans="1:19" x14ac:dyDescent="0.2">
      <c r="A137" s="526"/>
      <c r="B137" s="526"/>
      <c r="C137" s="526"/>
      <c r="D137" s="526"/>
      <c r="E137" s="526"/>
      <c r="F137" s="526"/>
      <c r="G137" s="526"/>
      <c r="H137" s="526"/>
      <c r="I137" s="526"/>
      <c r="J137" s="526"/>
      <c r="K137" s="526"/>
      <c r="L137" s="526"/>
      <c r="M137" s="526"/>
      <c r="N137" s="526"/>
      <c r="O137" s="526"/>
      <c r="P137" s="526"/>
      <c r="S137" s="503"/>
    </row>
    <row r="138" spans="1:19" x14ac:dyDescent="0.2">
      <c r="A138" s="571" t="s">
        <v>701</v>
      </c>
      <c r="B138" s="494"/>
      <c r="C138" s="495" t="s">
        <v>624</v>
      </c>
      <c r="D138" s="495" t="s">
        <v>627</v>
      </c>
      <c r="E138" s="496"/>
      <c r="F138" s="497"/>
      <c r="G138" s="497"/>
      <c r="H138" s="497"/>
      <c r="I138" s="497"/>
      <c r="J138" s="497"/>
      <c r="K138" s="496"/>
      <c r="L138" s="497"/>
      <c r="M138" s="497"/>
      <c r="N138" s="497"/>
      <c r="O138" s="497"/>
      <c r="P138" s="497"/>
      <c r="S138" s="503"/>
    </row>
    <row r="139" spans="1:19" x14ac:dyDescent="0.2">
      <c r="A139" s="552"/>
      <c r="B139" s="553"/>
      <c r="C139" s="509" t="s">
        <v>138</v>
      </c>
      <c r="D139" s="509"/>
      <c r="E139" s="561">
        <v>1</v>
      </c>
      <c r="F139" s="561">
        <v>1</v>
      </c>
      <c r="G139" s="561">
        <v>1</v>
      </c>
      <c r="H139" s="561">
        <v>1</v>
      </c>
      <c r="I139" s="561">
        <v>1</v>
      </c>
      <c r="J139" s="561">
        <v>1</v>
      </c>
      <c r="K139" s="561">
        <v>1</v>
      </c>
      <c r="L139" s="561">
        <v>1</v>
      </c>
      <c r="M139" s="561">
        <v>1</v>
      </c>
      <c r="N139" s="561">
        <v>1</v>
      </c>
      <c r="O139" s="561">
        <v>1</v>
      </c>
      <c r="P139" s="561">
        <v>1</v>
      </c>
      <c r="S139" s="503"/>
    </row>
    <row r="140" spans="1:19" x14ac:dyDescent="0.2">
      <c r="A140" s="526"/>
      <c r="B140" s="553"/>
      <c r="C140" s="509" t="s">
        <v>139</v>
      </c>
      <c r="D140" s="556"/>
      <c r="E140" s="561">
        <v>300</v>
      </c>
      <c r="F140" s="561">
        <v>300</v>
      </c>
      <c r="G140" s="561">
        <v>300</v>
      </c>
      <c r="H140" s="561">
        <v>300</v>
      </c>
      <c r="I140" s="561">
        <v>300</v>
      </c>
      <c r="J140" s="561">
        <v>300</v>
      </c>
      <c r="K140" s="561">
        <v>300</v>
      </c>
      <c r="L140" s="561">
        <v>300</v>
      </c>
      <c r="M140" s="561">
        <v>300</v>
      </c>
      <c r="N140" s="561">
        <v>300</v>
      </c>
      <c r="O140" s="561">
        <v>300</v>
      </c>
      <c r="P140" s="561">
        <v>300</v>
      </c>
      <c r="Q140" s="504"/>
      <c r="S140" s="503"/>
    </row>
    <row r="141" spans="1:19" x14ac:dyDescent="0.2">
      <c r="A141" s="526"/>
      <c r="B141" s="526"/>
      <c r="C141" s="526" t="s">
        <v>140</v>
      </c>
      <c r="D141" s="526"/>
      <c r="E141" s="561">
        <v>12000</v>
      </c>
      <c r="F141" s="561">
        <v>12000</v>
      </c>
      <c r="G141" s="561">
        <v>12000</v>
      </c>
      <c r="H141" s="561">
        <v>12000</v>
      </c>
      <c r="I141" s="561">
        <v>12000</v>
      </c>
      <c r="J141" s="561">
        <v>12000</v>
      </c>
      <c r="K141" s="561">
        <v>12000</v>
      </c>
      <c r="L141" s="561">
        <v>12000</v>
      </c>
      <c r="M141" s="561">
        <v>12000</v>
      </c>
      <c r="N141" s="561">
        <v>12000</v>
      </c>
      <c r="O141" s="561">
        <v>12000</v>
      </c>
      <c r="P141" s="561">
        <v>12000</v>
      </c>
      <c r="Q141" s="504"/>
      <c r="S141" s="503"/>
    </row>
    <row r="142" spans="1:19" x14ac:dyDescent="0.2">
      <c r="A142" s="526"/>
      <c r="B142" s="526"/>
      <c r="C142" s="526" t="s">
        <v>141</v>
      </c>
      <c r="D142" s="526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  <c r="O142" s="563"/>
      <c r="P142" s="563"/>
      <c r="Q142" s="502"/>
      <c r="S142" s="503"/>
    </row>
    <row r="143" spans="1:19" x14ac:dyDescent="0.2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S143" s="503"/>
    </row>
    <row r="144" spans="1:19" x14ac:dyDescent="0.2">
      <c r="A144" s="571" t="s">
        <v>702</v>
      </c>
      <c r="B144" s="494"/>
      <c r="C144" s="495" t="s">
        <v>624</v>
      </c>
      <c r="D144" s="495" t="s">
        <v>633</v>
      </c>
      <c r="E144" s="496"/>
      <c r="F144" s="497"/>
      <c r="G144" s="497"/>
      <c r="H144" s="497"/>
      <c r="I144" s="497"/>
      <c r="J144" s="497"/>
      <c r="K144" s="496"/>
      <c r="L144" s="497"/>
      <c r="M144" s="497"/>
      <c r="N144" s="497"/>
      <c r="O144" s="497"/>
      <c r="P144" s="497"/>
    </row>
    <row r="145" spans="1:17" x14ac:dyDescent="0.2">
      <c r="A145" s="552"/>
      <c r="B145" s="553"/>
      <c r="C145" s="509" t="s">
        <v>507</v>
      </c>
      <c r="D145" s="509"/>
      <c r="E145" s="561">
        <v>1</v>
      </c>
      <c r="F145" s="561">
        <v>1</v>
      </c>
      <c r="G145" s="561">
        <v>1</v>
      </c>
      <c r="H145" s="561">
        <v>1</v>
      </c>
      <c r="I145" s="561">
        <v>1</v>
      </c>
      <c r="J145" s="561">
        <v>1</v>
      </c>
      <c r="K145" s="561">
        <v>1</v>
      </c>
      <c r="L145" s="561">
        <v>1</v>
      </c>
      <c r="M145" s="561">
        <v>1</v>
      </c>
      <c r="N145" s="561">
        <v>1</v>
      </c>
      <c r="O145" s="561">
        <v>1</v>
      </c>
      <c r="P145" s="561">
        <v>1</v>
      </c>
    </row>
    <row r="146" spans="1:17" x14ac:dyDescent="0.2">
      <c r="A146" s="526"/>
      <c r="B146" s="553"/>
      <c r="C146" s="509" t="s">
        <v>151</v>
      </c>
      <c r="D146" s="556"/>
      <c r="E146" s="561"/>
      <c r="F146" s="561"/>
      <c r="G146" s="563"/>
      <c r="H146" s="563"/>
      <c r="I146" s="563"/>
      <c r="J146" s="563"/>
      <c r="K146" s="563"/>
      <c r="L146" s="563"/>
      <c r="M146" s="561">
        <v>3000</v>
      </c>
      <c r="N146" s="561">
        <v>3000</v>
      </c>
      <c r="O146" s="561">
        <v>3000</v>
      </c>
      <c r="P146" s="561">
        <v>3000</v>
      </c>
    </row>
    <row r="147" spans="1:17" x14ac:dyDescent="0.2">
      <c r="A147" s="526"/>
      <c r="B147" s="526"/>
      <c r="C147" s="526" t="s">
        <v>152</v>
      </c>
      <c r="D147" s="526"/>
      <c r="E147" s="563"/>
      <c r="F147" s="563"/>
      <c r="G147" s="563"/>
      <c r="H147" s="563"/>
      <c r="I147" s="564"/>
      <c r="J147" s="564"/>
      <c r="K147" s="563"/>
      <c r="L147" s="563"/>
      <c r="M147" s="563"/>
      <c r="N147" s="563"/>
      <c r="O147" s="563"/>
      <c r="P147" s="563"/>
    </row>
    <row r="148" spans="1:17" x14ac:dyDescent="0.2">
      <c r="A148" s="526"/>
      <c r="B148" s="526"/>
      <c r="C148" s="526"/>
      <c r="D148" s="526"/>
      <c r="E148" s="526"/>
      <c r="F148" s="526"/>
      <c r="G148" s="526"/>
      <c r="H148" s="526"/>
      <c r="I148" s="526"/>
      <c r="J148" s="526"/>
      <c r="K148" s="526"/>
      <c r="L148" s="526"/>
      <c r="M148" s="526"/>
      <c r="N148" s="526"/>
      <c r="O148" s="526"/>
      <c r="P148" s="526"/>
    </row>
    <row r="149" spans="1:17" x14ac:dyDescent="0.2">
      <c r="A149" s="505" t="s">
        <v>634</v>
      </c>
      <c r="B149" s="494"/>
      <c r="C149" s="506"/>
      <c r="D149" s="495"/>
      <c r="E149" s="496"/>
      <c r="F149" s="497"/>
      <c r="G149" s="497"/>
      <c r="H149" s="497"/>
      <c r="I149" s="497"/>
      <c r="J149" s="497"/>
      <c r="K149" s="496"/>
      <c r="L149" s="497"/>
      <c r="M149" s="497"/>
      <c r="N149" s="497"/>
      <c r="O149" s="497"/>
      <c r="P149" s="497"/>
      <c r="Q149" s="503"/>
    </row>
    <row r="150" spans="1:17" x14ac:dyDescent="0.2">
      <c r="C150" s="507"/>
      <c r="E150" s="508"/>
      <c r="F150" s="508"/>
      <c r="G150" s="508"/>
      <c r="H150" s="508"/>
      <c r="I150" s="508"/>
      <c r="J150" s="508"/>
      <c r="K150" s="508"/>
      <c r="L150" s="508"/>
      <c r="M150" s="508"/>
      <c r="N150" s="508"/>
      <c r="O150" s="508"/>
      <c r="P150" s="508"/>
      <c r="Q150" s="503"/>
    </row>
    <row r="151" spans="1:17" x14ac:dyDescent="0.2">
      <c r="C151" s="509" t="s">
        <v>506</v>
      </c>
      <c r="E151" s="503">
        <f t="shared" ref="E151:P154" si="4">SUMIF($C$6:$C$147,$C151,E$6:E$147)</f>
        <v>-1</v>
      </c>
      <c r="F151" s="503">
        <f t="shared" si="4"/>
        <v>-1</v>
      </c>
      <c r="G151" s="503">
        <f t="shared" si="4"/>
        <v>0</v>
      </c>
      <c r="H151" s="503">
        <f t="shared" si="4"/>
        <v>0</v>
      </c>
      <c r="I151" s="503">
        <f t="shared" si="4"/>
        <v>0</v>
      </c>
      <c r="J151" s="503">
        <f t="shared" si="4"/>
        <v>0</v>
      </c>
      <c r="K151" s="503">
        <f t="shared" si="4"/>
        <v>0</v>
      </c>
      <c r="L151" s="503">
        <f t="shared" si="4"/>
        <v>0</v>
      </c>
      <c r="M151" s="503">
        <f t="shared" si="4"/>
        <v>0</v>
      </c>
      <c r="N151" s="503">
        <f t="shared" si="4"/>
        <v>0</v>
      </c>
      <c r="O151" s="503">
        <f t="shared" si="4"/>
        <v>0</v>
      </c>
      <c r="P151" s="503">
        <f t="shared" si="4"/>
        <v>0</v>
      </c>
      <c r="Q151" s="503"/>
    </row>
    <row r="152" spans="1:17" x14ac:dyDescent="0.2">
      <c r="C152" s="509" t="s">
        <v>148</v>
      </c>
      <c r="E152" s="503">
        <f t="shared" si="4"/>
        <v>-300</v>
      </c>
      <c r="F152" s="503">
        <f t="shared" si="4"/>
        <v>-300</v>
      </c>
      <c r="G152" s="503">
        <f t="shared" si="4"/>
        <v>0</v>
      </c>
      <c r="H152" s="503">
        <f t="shared" si="4"/>
        <v>0</v>
      </c>
      <c r="I152" s="503">
        <f t="shared" si="4"/>
        <v>0</v>
      </c>
      <c r="J152" s="503">
        <f t="shared" si="4"/>
        <v>0</v>
      </c>
      <c r="K152" s="503">
        <f t="shared" si="4"/>
        <v>0</v>
      </c>
      <c r="L152" s="503">
        <f t="shared" si="4"/>
        <v>0</v>
      </c>
      <c r="M152" s="503">
        <f t="shared" si="4"/>
        <v>0</v>
      </c>
      <c r="N152" s="503">
        <f t="shared" si="4"/>
        <v>0</v>
      </c>
      <c r="O152" s="503">
        <f t="shared" si="4"/>
        <v>0</v>
      </c>
      <c r="P152" s="503">
        <f t="shared" si="4"/>
        <v>0</v>
      </c>
      <c r="Q152" s="503"/>
    </row>
    <row r="153" spans="1:17" x14ac:dyDescent="0.2">
      <c r="C153" s="489" t="s">
        <v>149</v>
      </c>
      <c r="E153" s="503">
        <f t="shared" si="4"/>
        <v>-294.39999999999998</v>
      </c>
      <c r="F153" s="503">
        <f t="shared" si="4"/>
        <v>-187.7</v>
      </c>
      <c r="G153" s="503">
        <f t="shared" si="4"/>
        <v>0</v>
      </c>
      <c r="H153" s="503">
        <f t="shared" si="4"/>
        <v>0</v>
      </c>
      <c r="I153" s="503">
        <f t="shared" si="4"/>
        <v>0</v>
      </c>
      <c r="J153" s="503">
        <f t="shared" si="4"/>
        <v>0</v>
      </c>
      <c r="K153" s="503">
        <f t="shared" si="4"/>
        <v>0</v>
      </c>
      <c r="L153" s="503">
        <f t="shared" si="4"/>
        <v>0</v>
      </c>
      <c r="M153" s="503">
        <f t="shared" si="4"/>
        <v>0</v>
      </c>
      <c r="N153" s="503">
        <f t="shared" si="4"/>
        <v>0</v>
      </c>
      <c r="O153" s="503">
        <f t="shared" si="4"/>
        <v>0</v>
      </c>
      <c r="P153" s="503">
        <f t="shared" si="4"/>
        <v>0</v>
      </c>
    </row>
    <row r="154" spans="1:17" x14ac:dyDescent="0.2">
      <c r="C154" s="489" t="s">
        <v>150</v>
      </c>
      <c r="E154" s="503">
        <f t="shared" si="4"/>
        <v>0</v>
      </c>
      <c r="F154" s="503">
        <f t="shared" si="4"/>
        <v>0</v>
      </c>
      <c r="G154" s="503">
        <f t="shared" si="4"/>
        <v>0</v>
      </c>
      <c r="H154" s="503">
        <f t="shared" si="4"/>
        <v>0</v>
      </c>
      <c r="I154" s="503">
        <f t="shared" si="4"/>
        <v>0</v>
      </c>
      <c r="J154" s="503">
        <f t="shared" si="4"/>
        <v>0</v>
      </c>
      <c r="K154" s="503">
        <f t="shared" si="4"/>
        <v>0</v>
      </c>
      <c r="L154" s="503">
        <f t="shared" si="4"/>
        <v>0</v>
      </c>
      <c r="M154" s="503">
        <f t="shared" si="4"/>
        <v>0</v>
      </c>
      <c r="N154" s="503">
        <f t="shared" si="4"/>
        <v>0</v>
      </c>
      <c r="O154" s="503">
        <f t="shared" si="4"/>
        <v>0</v>
      </c>
      <c r="P154" s="503">
        <f t="shared" si="4"/>
        <v>0</v>
      </c>
    </row>
    <row r="155" spans="1:17" x14ac:dyDescent="0.2">
      <c r="C155" s="509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</row>
    <row r="156" spans="1:17" x14ac:dyDescent="0.2">
      <c r="C156" s="509" t="s">
        <v>507</v>
      </c>
      <c r="E156" s="503">
        <f t="shared" ref="E156:P158" si="5">SUMIF($C$6:$C$147,$C156,E$6:E$147)</f>
        <v>1</v>
      </c>
      <c r="F156" s="503">
        <f t="shared" si="5"/>
        <v>1</v>
      </c>
      <c r="G156" s="503">
        <f t="shared" si="5"/>
        <v>1</v>
      </c>
      <c r="H156" s="503">
        <f t="shared" si="5"/>
        <v>1</v>
      </c>
      <c r="I156" s="503">
        <f t="shared" si="5"/>
        <v>1</v>
      </c>
      <c r="J156" s="503">
        <f t="shared" si="5"/>
        <v>1</v>
      </c>
      <c r="K156" s="503">
        <f t="shared" si="5"/>
        <v>1</v>
      </c>
      <c r="L156" s="503">
        <f t="shared" si="5"/>
        <v>1</v>
      </c>
      <c r="M156" s="503">
        <f t="shared" si="5"/>
        <v>1</v>
      </c>
      <c r="N156" s="503">
        <f t="shared" si="5"/>
        <v>1</v>
      </c>
      <c r="O156" s="503">
        <f t="shared" si="5"/>
        <v>1</v>
      </c>
      <c r="P156" s="503">
        <f t="shared" si="5"/>
        <v>1</v>
      </c>
    </row>
    <row r="157" spans="1:17" x14ac:dyDescent="0.2">
      <c r="C157" s="509" t="s">
        <v>151</v>
      </c>
      <c r="E157" s="503">
        <f t="shared" si="5"/>
        <v>-3864</v>
      </c>
      <c r="F157" s="503">
        <f t="shared" si="5"/>
        <v>-3552</v>
      </c>
      <c r="G157" s="503">
        <f t="shared" si="5"/>
        <v>-3399</v>
      </c>
      <c r="H157" s="503">
        <f t="shared" si="5"/>
        <v>0</v>
      </c>
      <c r="I157" s="503">
        <f t="shared" si="5"/>
        <v>0</v>
      </c>
      <c r="J157" s="503">
        <f t="shared" si="5"/>
        <v>-990</v>
      </c>
      <c r="K157" s="503">
        <f t="shared" si="5"/>
        <v>-1311</v>
      </c>
      <c r="L157" s="503">
        <f t="shared" si="5"/>
        <v>-677</v>
      </c>
      <c r="M157" s="503">
        <f t="shared" si="5"/>
        <v>3000</v>
      </c>
      <c r="N157" s="503">
        <f t="shared" si="5"/>
        <v>1102</v>
      </c>
      <c r="O157" s="503">
        <f t="shared" si="5"/>
        <v>-703</v>
      </c>
      <c r="P157" s="503">
        <f t="shared" si="5"/>
        <v>-1000</v>
      </c>
    </row>
    <row r="158" spans="1:17" x14ac:dyDescent="0.2">
      <c r="C158" s="489" t="s">
        <v>152</v>
      </c>
      <c r="E158" s="503">
        <f t="shared" si="5"/>
        <v>-7136</v>
      </c>
      <c r="F158" s="503">
        <f t="shared" si="5"/>
        <v>-8448</v>
      </c>
      <c r="G158" s="503">
        <f t="shared" si="5"/>
        <v>-8601</v>
      </c>
      <c r="H158" s="503">
        <f t="shared" si="5"/>
        <v>-17000</v>
      </c>
      <c r="I158" s="503">
        <f t="shared" si="5"/>
        <v>-18000</v>
      </c>
      <c r="J158" s="503">
        <f t="shared" si="5"/>
        <v>-14010</v>
      </c>
      <c r="K158" s="503">
        <f t="shared" si="5"/>
        <v>-11689</v>
      </c>
      <c r="L158" s="503">
        <f t="shared" si="5"/>
        <v>-13323</v>
      </c>
      <c r="M158" s="503">
        <f t="shared" si="5"/>
        <v>-16000</v>
      </c>
      <c r="N158" s="503">
        <f t="shared" si="5"/>
        <v>-11102</v>
      </c>
      <c r="O158" s="503">
        <f t="shared" si="5"/>
        <v>-7297</v>
      </c>
      <c r="P158" s="503">
        <f t="shared" si="5"/>
        <v>0</v>
      </c>
    </row>
    <row r="159" spans="1:17" x14ac:dyDescent="0.2"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</row>
    <row r="160" spans="1:17" x14ac:dyDescent="0.2">
      <c r="C160" s="509" t="s">
        <v>147</v>
      </c>
      <c r="E160" s="503">
        <f t="shared" ref="E160:P162" si="6">SUMIF($C$6:$C$147,$C160,E$6:E$147)</f>
        <v>2</v>
      </c>
      <c r="F160" s="503">
        <f t="shared" si="6"/>
        <v>2</v>
      </c>
      <c r="G160" s="503">
        <f t="shared" si="6"/>
        <v>2</v>
      </c>
      <c r="H160" s="503">
        <f t="shared" si="6"/>
        <v>2</v>
      </c>
      <c r="I160" s="503">
        <f t="shared" si="6"/>
        <v>2</v>
      </c>
      <c r="J160" s="503">
        <f t="shared" si="6"/>
        <v>1</v>
      </c>
      <c r="K160" s="503">
        <f t="shared" si="6"/>
        <v>1</v>
      </c>
      <c r="L160" s="503">
        <f t="shared" si="6"/>
        <v>1</v>
      </c>
      <c r="M160" s="503">
        <f t="shared" si="6"/>
        <v>1</v>
      </c>
      <c r="N160" s="503">
        <f t="shared" si="6"/>
        <v>2</v>
      </c>
      <c r="O160" s="503">
        <f t="shared" si="6"/>
        <v>2</v>
      </c>
      <c r="P160" s="503">
        <f t="shared" si="6"/>
        <v>1</v>
      </c>
    </row>
    <row r="161" spans="3:16" x14ac:dyDescent="0.2">
      <c r="C161" s="509" t="s">
        <v>142</v>
      </c>
      <c r="E161" s="503">
        <f t="shared" si="6"/>
        <v>25677</v>
      </c>
      <c r="F161" s="503">
        <f t="shared" si="6"/>
        <v>28569</v>
      </c>
      <c r="G161" s="503">
        <f t="shared" si="6"/>
        <v>30520</v>
      </c>
      <c r="H161" s="503">
        <f t="shared" si="6"/>
        <v>25026</v>
      </c>
      <c r="I161" s="503">
        <f t="shared" si="6"/>
        <v>27239</v>
      </c>
      <c r="J161" s="503">
        <f t="shared" si="6"/>
        <v>27316</v>
      </c>
      <c r="K161" s="503">
        <f t="shared" si="6"/>
        <v>22120</v>
      </c>
      <c r="L161" s="503">
        <f t="shared" si="6"/>
        <v>22977</v>
      </c>
      <c r="M161" s="503">
        <f t="shared" si="6"/>
        <v>19912</v>
      </c>
      <c r="N161" s="503">
        <f t="shared" si="6"/>
        <v>23415</v>
      </c>
      <c r="O161" s="503">
        <f t="shared" si="6"/>
        <v>19292</v>
      </c>
      <c r="P161" s="503">
        <f t="shared" si="6"/>
        <v>15561</v>
      </c>
    </row>
    <row r="162" spans="3:16" x14ac:dyDescent="0.2">
      <c r="C162" s="489" t="s">
        <v>143</v>
      </c>
      <c r="E162" s="503">
        <f t="shared" si="6"/>
        <v>15000</v>
      </c>
      <c r="F162" s="503">
        <f t="shared" si="6"/>
        <v>4007</v>
      </c>
      <c r="G162" s="503">
        <f t="shared" si="6"/>
        <v>4000</v>
      </c>
      <c r="H162" s="503">
        <f t="shared" si="6"/>
        <v>4000</v>
      </c>
      <c r="I162" s="503">
        <f t="shared" si="6"/>
        <v>4864</v>
      </c>
      <c r="J162" s="503">
        <f t="shared" si="6"/>
        <v>6136</v>
      </c>
      <c r="K162" s="503">
        <f t="shared" si="6"/>
        <v>6277</v>
      </c>
      <c r="L162" s="503">
        <f t="shared" si="6"/>
        <v>4000</v>
      </c>
      <c r="M162" s="503">
        <f t="shared" si="6"/>
        <v>4000</v>
      </c>
      <c r="N162" s="503">
        <f t="shared" si="6"/>
        <v>4000</v>
      </c>
      <c r="O162" s="503">
        <f t="shared" si="6"/>
        <v>4000</v>
      </c>
      <c r="P162" s="503">
        <f t="shared" si="6"/>
        <v>4000</v>
      </c>
    </row>
    <row r="163" spans="3:16" x14ac:dyDescent="0.2"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</row>
    <row r="164" spans="3:16" x14ac:dyDescent="0.2">
      <c r="C164" s="509" t="s">
        <v>138</v>
      </c>
      <c r="E164" s="503">
        <f t="shared" ref="E164:P167" si="7">SUMIF($C$6:$C$147,$C164,E$6:E$147)</f>
        <v>3</v>
      </c>
      <c r="F164" s="503">
        <f t="shared" si="7"/>
        <v>3</v>
      </c>
      <c r="G164" s="503">
        <f t="shared" si="7"/>
        <v>2</v>
      </c>
      <c r="H164" s="503">
        <f t="shared" si="7"/>
        <v>2</v>
      </c>
      <c r="I164" s="503">
        <f t="shared" si="7"/>
        <v>2</v>
      </c>
      <c r="J164" s="503">
        <f t="shared" si="7"/>
        <v>2</v>
      </c>
      <c r="K164" s="503">
        <f t="shared" si="7"/>
        <v>2</v>
      </c>
      <c r="L164" s="503">
        <f t="shared" si="7"/>
        <v>2</v>
      </c>
      <c r="M164" s="503">
        <f t="shared" si="7"/>
        <v>2</v>
      </c>
      <c r="N164" s="503">
        <f t="shared" si="7"/>
        <v>2</v>
      </c>
      <c r="O164" s="503">
        <f t="shared" si="7"/>
        <v>2</v>
      </c>
      <c r="P164" s="503">
        <f t="shared" si="7"/>
        <v>1</v>
      </c>
    </row>
    <row r="165" spans="3:16" x14ac:dyDescent="0.2">
      <c r="C165" s="509" t="s">
        <v>139</v>
      </c>
      <c r="E165" s="503">
        <f t="shared" si="7"/>
        <v>900</v>
      </c>
      <c r="F165" s="503">
        <f t="shared" si="7"/>
        <v>900</v>
      </c>
      <c r="G165" s="503">
        <f t="shared" si="7"/>
        <v>600</v>
      </c>
      <c r="H165" s="503">
        <f t="shared" si="7"/>
        <v>600</v>
      </c>
      <c r="I165" s="503">
        <f t="shared" si="7"/>
        <v>600</v>
      </c>
      <c r="J165" s="503">
        <f t="shared" si="7"/>
        <v>600</v>
      </c>
      <c r="K165" s="503">
        <f t="shared" si="7"/>
        <v>600</v>
      </c>
      <c r="L165" s="503">
        <f t="shared" si="7"/>
        <v>600</v>
      </c>
      <c r="M165" s="503">
        <f t="shared" si="7"/>
        <v>600</v>
      </c>
      <c r="N165" s="503">
        <f t="shared" si="7"/>
        <v>600</v>
      </c>
      <c r="O165" s="503">
        <f t="shared" si="7"/>
        <v>600</v>
      </c>
      <c r="P165" s="503">
        <f t="shared" si="7"/>
        <v>587</v>
      </c>
    </row>
    <row r="166" spans="3:16" x14ac:dyDescent="0.2">
      <c r="C166" s="489" t="s">
        <v>140</v>
      </c>
      <c r="E166" s="503">
        <f t="shared" si="7"/>
        <v>15174.4</v>
      </c>
      <c r="F166" s="503">
        <f t="shared" si="7"/>
        <v>13870.7</v>
      </c>
      <c r="G166" s="503">
        <f t="shared" si="7"/>
        <v>9699</v>
      </c>
      <c r="H166" s="503">
        <f t="shared" si="7"/>
        <v>11315</v>
      </c>
      <c r="I166" s="503">
        <f t="shared" si="7"/>
        <v>9265</v>
      </c>
      <c r="J166" s="503">
        <f t="shared" si="7"/>
        <v>8799</v>
      </c>
      <c r="K166" s="503">
        <f t="shared" si="7"/>
        <v>10200</v>
      </c>
      <c r="L166" s="503">
        <f t="shared" si="7"/>
        <v>14333</v>
      </c>
      <c r="M166" s="503">
        <f t="shared" si="7"/>
        <v>15096</v>
      </c>
      <c r="N166" s="503">
        <f t="shared" si="7"/>
        <v>14813</v>
      </c>
      <c r="O166" s="503">
        <f t="shared" si="7"/>
        <v>16028</v>
      </c>
      <c r="P166" s="503">
        <f t="shared" si="7"/>
        <v>15700</v>
      </c>
    </row>
    <row r="167" spans="3:16" x14ac:dyDescent="0.2">
      <c r="C167" s="489" t="s">
        <v>141</v>
      </c>
      <c r="E167" s="503">
        <f t="shared" si="7"/>
        <v>-8932</v>
      </c>
      <c r="F167" s="503">
        <f t="shared" si="7"/>
        <v>-9935</v>
      </c>
      <c r="G167" s="503">
        <f t="shared" si="7"/>
        <v>-12096</v>
      </c>
      <c r="H167" s="503">
        <f t="shared" si="7"/>
        <v>-8868</v>
      </c>
      <c r="I167" s="503">
        <f t="shared" si="7"/>
        <v>-4899</v>
      </c>
      <c r="J167" s="503">
        <f t="shared" si="7"/>
        <v>-5011</v>
      </c>
      <c r="K167" s="503">
        <f t="shared" si="7"/>
        <v>0</v>
      </c>
      <c r="L167" s="503">
        <f t="shared" si="7"/>
        <v>0</v>
      </c>
      <c r="M167" s="503">
        <f t="shared" si="7"/>
        <v>0</v>
      </c>
      <c r="N167" s="503">
        <f t="shared" si="7"/>
        <v>0</v>
      </c>
      <c r="O167" s="503">
        <f t="shared" si="7"/>
        <v>0</v>
      </c>
      <c r="P167" s="503">
        <f t="shared" si="7"/>
        <v>0</v>
      </c>
    </row>
    <row r="168" spans="3:16" x14ac:dyDescent="0.2"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</row>
    <row r="169" spans="3:16" x14ac:dyDescent="0.2">
      <c r="C169" s="509" t="s">
        <v>656</v>
      </c>
      <c r="E169" s="503">
        <f t="shared" ref="E169:P172" si="8">SUMIF($C$6:$C$147,$C169,E$6:E$147)</f>
        <v>0</v>
      </c>
      <c r="F169" s="503">
        <f t="shared" si="8"/>
        <v>0</v>
      </c>
      <c r="G169" s="503">
        <f t="shared" si="8"/>
        <v>0</v>
      </c>
      <c r="H169" s="503">
        <f t="shared" si="8"/>
        <v>0</v>
      </c>
      <c r="I169" s="503">
        <f t="shared" si="8"/>
        <v>0</v>
      </c>
      <c r="J169" s="503">
        <f t="shared" si="8"/>
        <v>0</v>
      </c>
      <c r="K169" s="503">
        <f t="shared" si="8"/>
        <v>0</v>
      </c>
      <c r="L169" s="503">
        <f t="shared" si="8"/>
        <v>0</v>
      </c>
      <c r="M169" s="503">
        <f t="shared" si="8"/>
        <v>0</v>
      </c>
      <c r="N169" s="503">
        <f t="shared" si="8"/>
        <v>0</v>
      </c>
      <c r="O169" s="503">
        <f t="shared" si="8"/>
        <v>0</v>
      </c>
      <c r="P169" s="503">
        <f t="shared" si="8"/>
        <v>0</v>
      </c>
    </row>
    <row r="170" spans="3:16" x14ac:dyDescent="0.2">
      <c r="C170" s="509" t="s">
        <v>657</v>
      </c>
      <c r="E170" s="503">
        <f t="shared" si="8"/>
        <v>0</v>
      </c>
      <c r="F170" s="503">
        <f t="shared" si="8"/>
        <v>0</v>
      </c>
      <c r="G170" s="503">
        <f t="shared" si="8"/>
        <v>0</v>
      </c>
      <c r="H170" s="503">
        <f t="shared" si="8"/>
        <v>0</v>
      </c>
      <c r="I170" s="503">
        <f t="shared" si="8"/>
        <v>0</v>
      </c>
      <c r="J170" s="503">
        <f t="shared" si="8"/>
        <v>0</v>
      </c>
      <c r="K170" s="503">
        <f t="shared" si="8"/>
        <v>0</v>
      </c>
      <c r="L170" s="503">
        <f t="shared" si="8"/>
        <v>0</v>
      </c>
      <c r="M170" s="503">
        <f t="shared" si="8"/>
        <v>0</v>
      </c>
      <c r="N170" s="503">
        <f t="shared" si="8"/>
        <v>0</v>
      </c>
      <c r="O170" s="503">
        <f t="shared" si="8"/>
        <v>0</v>
      </c>
      <c r="P170" s="503">
        <f t="shared" si="8"/>
        <v>0</v>
      </c>
    </row>
    <row r="171" spans="3:16" x14ac:dyDescent="0.2">
      <c r="C171" s="526" t="s">
        <v>658</v>
      </c>
      <c r="E171" s="503">
        <f t="shared" si="8"/>
        <v>0</v>
      </c>
      <c r="F171" s="503">
        <f t="shared" si="8"/>
        <v>0</v>
      </c>
      <c r="G171" s="503">
        <f t="shared" si="8"/>
        <v>2728</v>
      </c>
      <c r="H171" s="503">
        <f t="shared" si="8"/>
        <v>2728</v>
      </c>
      <c r="I171" s="503">
        <f t="shared" si="8"/>
        <v>2728</v>
      </c>
      <c r="J171" s="503">
        <f t="shared" si="8"/>
        <v>2728</v>
      </c>
      <c r="K171" s="503">
        <f t="shared" si="8"/>
        <v>2342</v>
      </c>
      <c r="L171" s="503">
        <f t="shared" si="8"/>
        <v>0</v>
      </c>
      <c r="M171" s="503">
        <f t="shared" si="8"/>
        <v>0</v>
      </c>
      <c r="N171" s="503">
        <f t="shared" si="8"/>
        <v>0</v>
      </c>
      <c r="O171" s="503">
        <f t="shared" si="8"/>
        <v>0</v>
      </c>
      <c r="P171" s="503">
        <f t="shared" si="8"/>
        <v>0</v>
      </c>
    </row>
    <row r="172" spans="3:16" x14ac:dyDescent="0.2">
      <c r="C172" s="526" t="s">
        <v>659</v>
      </c>
      <c r="E172" s="503">
        <f t="shared" si="8"/>
        <v>12932</v>
      </c>
      <c r="F172" s="503">
        <f t="shared" si="8"/>
        <v>13935</v>
      </c>
      <c r="G172" s="503">
        <f t="shared" si="8"/>
        <v>16096</v>
      </c>
      <c r="H172" s="503">
        <f t="shared" si="8"/>
        <v>12868</v>
      </c>
      <c r="I172" s="503">
        <f t="shared" si="8"/>
        <v>8899</v>
      </c>
      <c r="J172" s="503">
        <f t="shared" si="8"/>
        <v>9011</v>
      </c>
      <c r="K172" s="503">
        <f t="shared" si="8"/>
        <v>4000</v>
      </c>
      <c r="L172" s="503">
        <f t="shared" si="8"/>
        <v>4000</v>
      </c>
      <c r="M172" s="503">
        <f t="shared" si="8"/>
        <v>4000</v>
      </c>
      <c r="N172" s="503">
        <f t="shared" si="8"/>
        <v>4000</v>
      </c>
      <c r="O172" s="503">
        <f t="shared" si="8"/>
        <v>4000</v>
      </c>
      <c r="P172" s="503">
        <f t="shared" si="8"/>
        <v>4000</v>
      </c>
    </row>
    <row r="173" spans="3:16" x14ac:dyDescent="0.2">
      <c r="E173" s="503"/>
      <c r="F173" s="503"/>
      <c r="G173" s="503"/>
      <c r="H173" s="503"/>
      <c r="I173" s="503"/>
      <c r="J173" s="503"/>
      <c r="K173" s="503"/>
      <c r="L173" s="503"/>
      <c r="M173" s="503"/>
      <c r="N173" s="503"/>
      <c r="O173" s="503"/>
      <c r="P173" s="503"/>
    </row>
    <row r="174" spans="3:16" x14ac:dyDescent="0.2">
      <c r="C174" s="489" t="s">
        <v>635</v>
      </c>
      <c r="E174" s="503">
        <v>-2</v>
      </c>
      <c r="F174" s="503">
        <v>-2</v>
      </c>
      <c r="G174" s="503">
        <v>-2</v>
      </c>
      <c r="H174" s="503">
        <v>-2</v>
      </c>
      <c r="I174" s="503">
        <v>-2</v>
      </c>
      <c r="J174" s="503">
        <v>-2</v>
      </c>
      <c r="K174" s="503">
        <v>-2</v>
      </c>
      <c r="L174" s="503">
        <v>-2</v>
      </c>
      <c r="M174" s="503">
        <v>-2</v>
      </c>
      <c r="N174" s="503">
        <v>-2</v>
      </c>
      <c r="O174" s="503">
        <v>-2</v>
      </c>
      <c r="P174" s="503">
        <v>-2</v>
      </c>
    </row>
    <row r="175" spans="3:16" x14ac:dyDescent="0.2">
      <c r="C175" s="509" t="s">
        <v>144</v>
      </c>
      <c r="E175" s="503">
        <f>SUMIF($C$6:$C$147,$C175,E$6:E$147)-E38-E44</f>
        <v>-42677</v>
      </c>
      <c r="F175" s="503">
        <f t="shared" ref="F175:P175" si="9">SUMIF($C$6:$C$147,$C175,F$6:F$147)-F38-F44</f>
        <v>-90569</v>
      </c>
      <c r="G175" s="503">
        <f t="shared" si="9"/>
        <v>-88766</v>
      </c>
      <c r="H175" s="503">
        <f t="shared" si="9"/>
        <v>-55671</v>
      </c>
      <c r="I175" s="503">
        <f t="shared" si="9"/>
        <v>-24910</v>
      </c>
      <c r="J175" s="503">
        <f t="shared" si="9"/>
        <v>38229</v>
      </c>
      <c r="K175" s="503">
        <f t="shared" si="9"/>
        <v>-83077</v>
      </c>
      <c r="L175" s="503">
        <f t="shared" si="9"/>
        <v>-125001</v>
      </c>
      <c r="M175" s="503">
        <f t="shared" si="9"/>
        <v>-160917</v>
      </c>
      <c r="N175" s="503">
        <f t="shared" si="9"/>
        <v>-38416</v>
      </c>
      <c r="O175" s="503">
        <f t="shared" si="9"/>
        <v>-129292</v>
      </c>
      <c r="P175" s="503">
        <f t="shared" si="9"/>
        <v>-195561</v>
      </c>
    </row>
    <row r="176" spans="3:16" x14ac:dyDescent="0.2">
      <c r="C176" s="509" t="s">
        <v>145</v>
      </c>
      <c r="E176" s="503"/>
      <c r="F176" s="503"/>
      <c r="G176" s="503"/>
      <c r="H176" s="503"/>
      <c r="I176" s="503"/>
      <c r="J176" s="503"/>
      <c r="K176" s="503"/>
      <c r="L176" s="503"/>
      <c r="M176" s="503"/>
      <c r="N176" s="503"/>
      <c r="O176" s="503"/>
      <c r="P176" s="503"/>
    </row>
    <row r="177" spans="2:17" x14ac:dyDescent="0.2">
      <c r="C177" s="489" t="s">
        <v>146</v>
      </c>
      <c r="E177" s="503">
        <f>E178+E179</f>
        <v>71947.665000000008</v>
      </c>
      <c r="F177" s="503">
        <f t="shared" ref="F177:P177" si="10">F178+F179</f>
        <v>81004.602500000023</v>
      </c>
      <c r="G177" s="503">
        <f t="shared" si="10"/>
        <v>79498.522500000021</v>
      </c>
      <c r="H177" s="503">
        <f t="shared" si="10"/>
        <v>87613.022499999977</v>
      </c>
      <c r="I177" s="503">
        <f t="shared" si="10"/>
        <v>97348.557499999995</v>
      </c>
      <c r="J177" s="503">
        <f t="shared" si="10"/>
        <v>93847.512499999953</v>
      </c>
      <c r="K177" s="503">
        <f t="shared" si="10"/>
        <v>79766.254999999976</v>
      </c>
      <c r="L177" s="503">
        <f t="shared" si="10"/>
        <v>75807.440000000046</v>
      </c>
      <c r="M177" s="503">
        <f t="shared" si="10"/>
        <v>68238.58249999996</v>
      </c>
      <c r="N177" s="503">
        <f t="shared" si="10"/>
        <v>70441.477500000037</v>
      </c>
      <c r="O177" s="503">
        <f t="shared" si="10"/>
        <v>68484.067500000034</v>
      </c>
      <c r="P177" s="503">
        <f t="shared" si="10"/>
        <v>69085.752500000002</v>
      </c>
      <c r="Q177" s="499">
        <f>SUM(E177:P177)</f>
        <v>943083.45750000002</v>
      </c>
    </row>
    <row r="178" spans="2:17" x14ac:dyDescent="0.2">
      <c r="C178" s="489" t="s">
        <v>670</v>
      </c>
      <c r="E178" s="503">
        <f>+[2]Summary!C105</f>
        <v>-2587.8700000000008</v>
      </c>
      <c r="F178" s="503">
        <f>+[2]Summary!D105</f>
        <v>-4459.4400000000005</v>
      </c>
      <c r="G178" s="503">
        <f>+[2]Summary!E105</f>
        <v>-4067.0299999999988</v>
      </c>
      <c r="H178" s="503">
        <f>+[2]Summary!F105</f>
        <v>-4649.9999999999982</v>
      </c>
      <c r="I178" s="503">
        <f>+[2]Summary!G105</f>
        <v>-550</v>
      </c>
      <c r="J178" s="503">
        <f>+[2]Summary!H105</f>
        <v>446.90000000000146</v>
      </c>
      <c r="K178" s="503">
        <f>+[2]Summary!I105</f>
        <v>-2171.0799999999981</v>
      </c>
      <c r="L178" s="503">
        <f>+[2]Summary!J105</f>
        <v>-4515.3199999999979</v>
      </c>
      <c r="M178" s="503">
        <f>+[2]Summary!K105</f>
        <v>-7367.2199999999975</v>
      </c>
      <c r="N178" s="503">
        <f>+[2]Summary!L105</f>
        <v>-3129.0700000000015</v>
      </c>
      <c r="O178" s="503">
        <f>+[2]Summary!M105</f>
        <v>-5631.8199999999979</v>
      </c>
      <c r="P178" s="503">
        <f>+[2]Summary!N105</f>
        <v>-7880.5500000000011</v>
      </c>
      <c r="Q178" s="499">
        <f>SUM(E178:P178)</f>
        <v>-46562.5</v>
      </c>
    </row>
    <row r="179" spans="2:17" x14ac:dyDescent="0.2">
      <c r="C179" s="489" t="s">
        <v>665</v>
      </c>
      <c r="E179" s="551">
        <f>+[2]Summary!C90</f>
        <v>74535.535000000003</v>
      </c>
      <c r="F179" s="551">
        <f>+[2]Summary!D90</f>
        <v>85464.042500000025</v>
      </c>
      <c r="G179" s="551">
        <f>+[2]Summary!E90</f>
        <v>83565.55250000002</v>
      </c>
      <c r="H179" s="551">
        <f>+[2]Summary!F90</f>
        <v>92263.022499999977</v>
      </c>
      <c r="I179" s="551">
        <f>+[2]Summary!G90</f>
        <v>97898.557499999995</v>
      </c>
      <c r="J179" s="551">
        <f>+[2]Summary!H90</f>
        <v>93400.612499999959</v>
      </c>
      <c r="K179" s="551">
        <f>+[2]Summary!I90</f>
        <v>81937.334999999977</v>
      </c>
      <c r="L179" s="551">
        <f>+[2]Summary!J90</f>
        <v>80322.760000000038</v>
      </c>
      <c r="M179" s="551">
        <f>+[2]Summary!K90</f>
        <v>75605.802499999962</v>
      </c>
      <c r="N179" s="551">
        <f>+[2]Summary!L90</f>
        <v>73570.547500000044</v>
      </c>
      <c r="O179" s="551">
        <f>+[2]Summary!M90</f>
        <v>74115.887500000026</v>
      </c>
      <c r="P179" s="551">
        <f>+[2]Summary!N90</f>
        <v>76966.302500000005</v>
      </c>
      <c r="Q179" s="529">
        <f>'Test Year Revenue Present'!P39</f>
        <v>989645.95750000002</v>
      </c>
    </row>
    <row r="180" spans="2:17" x14ac:dyDescent="0.2">
      <c r="Q180" s="499">
        <f>SUM(E179:P179)</f>
        <v>989645.95750000014</v>
      </c>
    </row>
    <row r="182" spans="2:17" x14ac:dyDescent="0.2">
      <c r="B182" s="489">
        <v>5</v>
      </c>
      <c r="C182" s="489" t="s">
        <v>646</v>
      </c>
    </row>
    <row r="183" spans="2:17" x14ac:dyDescent="0.2">
      <c r="B183" s="489">
        <v>3</v>
      </c>
      <c r="C183" s="489" t="s">
        <v>647</v>
      </c>
    </row>
    <row r="184" spans="2:17" x14ac:dyDescent="0.2">
      <c r="B184" s="489">
        <v>6</v>
      </c>
      <c r="C184" s="489" t="s">
        <v>648</v>
      </c>
    </row>
    <row r="185" spans="2:17" x14ac:dyDescent="0.2">
      <c r="B185" s="489">
        <v>3</v>
      </c>
      <c r="C185" s="489" t="s">
        <v>649</v>
      </c>
    </row>
    <row r="186" spans="2:17" x14ac:dyDescent="0.2">
      <c r="B186" s="489">
        <v>3</v>
      </c>
      <c r="C186" s="489" t="s">
        <v>650</v>
      </c>
    </row>
  </sheetData>
  <pageMargins left="0.7" right="0.7" top="0.75" bottom="0.75" header="0.3" footer="0.3"/>
  <pageSetup scale="4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  <pageSetUpPr fitToPage="1"/>
  </sheetPr>
  <dimension ref="A2:O36"/>
  <sheetViews>
    <sheetView view="pageBreakPreview" zoomScale="60" zoomScaleNormal="100" workbookViewId="0">
      <selection activeCell="C5" sqref="C5"/>
    </sheetView>
  </sheetViews>
  <sheetFormatPr defaultColWidth="9.140625" defaultRowHeight="12.75" x14ac:dyDescent="0.2"/>
  <cols>
    <col min="1" max="1" width="4" style="204" customWidth="1"/>
    <col min="2" max="2" width="10.42578125" style="204" customWidth="1"/>
    <col min="3" max="8" width="10.5703125" style="204" customWidth="1"/>
    <col min="9" max="9" width="12.42578125" style="204" customWidth="1"/>
    <col min="10" max="14" width="10.5703125" style="204" customWidth="1"/>
    <col min="15" max="15" width="10.5703125" style="204" bestFit="1" customWidth="1"/>
    <col min="16" max="16384" width="9.140625" style="204"/>
  </cols>
  <sheetData>
    <row r="2" spans="1:15" x14ac:dyDescent="0.2">
      <c r="A2" s="210" t="s">
        <v>162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x14ac:dyDescent="0.2">
      <c r="A3" s="210"/>
      <c r="B3" s="210"/>
      <c r="C3" s="711">
        <f>'Monthly Forecast'!Y8</f>
        <v>42551</v>
      </c>
      <c r="D3" s="711">
        <f>'Monthly Forecast'!Z8</f>
        <v>42582</v>
      </c>
      <c r="E3" s="711">
        <f>'Monthly Forecast'!AA8</f>
        <v>42613</v>
      </c>
      <c r="F3" s="711">
        <f>'Monthly Forecast'!AB8</f>
        <v>42643</v>
      </c>
      <c r="G3" s="711">
        <f>'Monthly Forecast'!AC8</f>
        <v>42674</v>
      </c>
      <c r="H3" s="711">
        <f>'Monthly Forecast'!AD8</f>
        <v>42704</v>
      </c>
      <c r="I3" s="711">
        <f>'Monthly Forecast'!AE8</f>
        <v>42735</v>
      </c>
      <c r="J3" s="711">
        <f>'Monthly Forecast'!AF8</f>
        <v>42766</v>
      </c>
      <c r="K3" s="711">
        <f>'Monthly Forecast'!AG8</f>
        <v>42794</v>
      </c>
      <c r="L3" s="711">
        <f>'Monthly Forecast'!AH8</f>
        <v>42825</v>
      </c>
      <c r="M3" s="711">
        <f>'Monthly Forecast'!AI8</f>
        <v>42855</v>
      </c>
      <c r="N3" s="711">
        <f>'Monthly Forecast'!AJ8</f>
        <v>42886</v>
      </c>
      <c r="O3" s="711" t="s">
        <v>19</v>
      </c>
    </row>
    <row r="4" spans="1:15" x14ac:dyDescent="0.2">
      <c r="A4" s="210" t="s">
        <v>94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x14ac:dyDescent="0.2">
      <c r="A5" s="210"/>
      <c r="B5" s="210" t="s">
        <v>95</v>
      </c>
      <c r="C5" s="209">
        <f>+'Monthly Forecast'!Y12</f>
        <v>156693</v>
      </c>
      <c r="D5" s="209">
        <f>+'Monthly Forecast'!Z12</f>
        <v>154693</v>
      </c>
      <c r="E5" s="209">
        <f>+'Monthly Forecast'!AA12</f>
        <v>152235</v>
      </c>
      <c r="F5" s="209">
        <f>+'Monthly Forecast'!AB12</f>
        <v>151812</v>
      </c>
      <c r="G5" s="209">
        <f>+'Monthly Forecast'!AC12</f>
        <v>153319</v>
      </c>
      <c r="H5" s="209">
        <f>+'Monthly Forecast'!AD12</f>
        <v>153194</v>
      </c>
      <c r="I5" s="209">
        <f>+'Monthly Forecast'!AE12</f>
        <v>158720</v>
      </c>
      <c r="J5" s="209">
        <f>+'Monthly Forecast'!AF12</f>
        <v>158673</v>
      </c>
      <c r="K5" s="209">
        <f>+'Monthly Forecast'!AG12</f>
        <v>141981</v>
      </c>
      <c r="L5" s="209">
        <f>+'Monthly Forecast'!AH12</f>
        <v>176169</v>
      </c>
      <c r="M5" s="209">
        <f>+'Monthly Forecast'!AI12</f>
        <v>159039</v>
      </c>
      <c r="N5" s="209">
        <f>+'Monthly Forecast'!AJ12</f>
        <v>157509</v>
      </c>
      <c r="O5" s="209">
        <f>SUM(C5:N5)</f>
        <v>1874037</v>
      </c>
    </row>
    <row r="6" spans="1:15" x14ac:dyDescent="0.2">
      <c r="A6" s="210"/>
      <c r="B6" s="210" t="s">
        <v>21</v>
      </c>
      <c r="C6" s="209">
        <f>+'Monthly Forecast'!Y16</f>
        <v>216974.44491325098</v>
      </c>
      <c r="D6" s="209">
        <f>+'Monthly Forecast'!Z16</f>
        <v>168354.01868087237</v>
      </c>
      <c r="E6" s="209">
        <f>+'Monthly Forecast'!AA16</f>
        <v>165678.95143207905</v>
      </c>
      <c r="F6" s="209">
        <f>+'Monthly Forecast'!AB16</f>
        <v>171093.72048373095</v>
      </c>
      <c r="G6" s="209">
        <f>+'Monthly Forecast'!AC16</f>
        <v>338775.27473162819</v>
      </c>
      <c r="H6" s="209">
        <f>+'Monthly Forecast'!AD16</f>
        <v>934791.39901710465</v>
      </c>
      <c r="I6" s="209">
        <f>+'Monthly Forecast'!AE16</f>
        <v>1621088.3891295667</v>
      </c>
      <c r="J6" s="209">
        <f>+'Monthly Forecast'!AF16</f>
        <v>1904886.9009353057</v>
      </c>
      <c r="K6" s="209">
        <f>+'Monthly Forecast'!AG16</f>
        <v>1861869.3365990738</v>
      </c>
      <c r="L6" s="209">
        <f>+'Monthly Forecast'!AH16</f>
        <v>1629018.978726554</v>
      </c>
      <c r="M6" s="209">
        <f>+'Monthly Forecast'!AI16</f>
        <v>906921.56998423114</v>
      </c>
      <c r="N6" s="209">
        <f>+'Monthly Forecast'!AJ16</f>
        <v>417053.98659446143</v>
      </c>
      <c r="O6" s="209">
        <f>SUM(C6:N6)</f>
        <v>10336506.97122786</v>
      </c>
    </row>
    <row r="7" spans="1:15" x14ac:dyDescent="0.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x14ac:dyDescent="0.2">
      <c r="A8" s="210" t="s">
        <v>488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x14ac:dyDescent="0.2">
      <c r="A9" s="210"/>
      <c r="B9" s="210" t="s">
        <v>95</v>
      </c>
      <c r="C9" s="209">
        <f>'Monthly Forecast'!Y21+'Monthly Forecast'!Y39</f>
        <v>18802</v>
      </c>
      <c r="D9" s="209">
        <f>'Monthly Forecast'!Z21+'Monthly Forecast'!Z39</f>
        <v>18662</v>
      </c>
      <c r="E9" s="209">
        <f>'Monthly Forecast'!AA21+'Monthly Forecast'!AA39</f>
        <v>18275</v>
      </c>
      <c r="F9" s="209">
        <f>'Monthly Forecast'!AB21+'Monthly Forecast'!AB39</f>
        <v>18307</v>
      </c>
      <c r="G9" s="209">
        <f>'Monthly Forecast'!AC21+'Monthly Forecast'!AC39</f>
        <v>18472</v>
      </c>
      <c r="H9" s="209">
        <f>'Monthly Forecast'!AD21+'Monthly Forecast'!AD39</f>
        <v>18440</v>
      </c>
      <c r="I9" s="209">
        <f>'Monthly Forecast'!AE21+'Monthly Forecast'!AE39</f>
        <v>19257</v>
      </c>
      <c r="J9" s="209">
        <f>'Monthly Forecast'!AF21+'Monthly Forecast'!AF39</f>
        <v>19376</v>
      </c>
      <c r="K9" s="209">
        <f>'Monthly Forecast'!AG21+'Monthly Forecast'!AG39</f>
        <v>17708</v>
      </c>
      <c r="L9" s="209">
        <f>'Monthly Forecast'!AH21+'Monthly Forecast'!AH39</f>
        <v>20982</v>
      </c>
      <c r="M9" s="209">
        <f>'Monthly Forecast'!AI21+'Monthly Forecast'!AI39</f>
        <v>19300</v>
      </c>
      <c r="N9" s="209">
        <f>'Monthly Forecast'!AJ21+'Monthly Forecast'!AJ39</f>
        <v>18922</v>
      </c>
      <c r="O9" s="209">
        <f>SUM(C9:N9)</f>
        <v>226503</v>
      </c>
    </row>
    <row r="10" spans="1:15" x14ac:dyDescent="0.2">
      <c r="A10" s="210"/>
      <c r="B10" s="210" t="s">
        <v>21</v>
      </c>
      <c r="C10" s="209">
        <f>'Monthly Forecast'!Y25+'Monthly Forecast'!Y43</f>
        <v>203664.38920000001</v>
      </c>
      <c r="D10" s="209">
        <f>'Monthly Forecast'!Z25+'Monthly Forecast'!Z43</f>
        <v>180309.60579999999</v>
      </c>
      <c r="E10" s="209">
        <f>'Monthly Forecast'!AA25+'Monthly Forecast'!AA43</f>
        <v>176358.9993</v>
      </c>
      <c r="F10" s="209">
        <f>'Monthly Forecast'!AB25+'Monthly Forecast'!AB43</f>
        <v>179788.0894</v>
      </c>
      <c r="G10" s="209">
        <f>'Monthly Forecast'!AC25+'Monthly Forecast'!AC43</f>
        <v>261081.9044</v>
      </c>
      <c r="H10" s="209">
        <f>'Monthly Forecast'!AD25+'Monthly Forecast'!AD43</f>
        <v>544266.36259999999</v>
      </c>
      <c r="I10" s="209">
        <f>'Monthly Forecast'!AE25+'Monthly Forecast'!AE43</f>
        <v>880366.06909999996</v>
      </c>
      <c r="J10" s="209">
        <f>'Monthly Forecast'!AF25+'Monthly Forecast'!AF43</f>
        <v>1022940.5885999999</v>
      </c>
      <c r="K10" s="209">
        <f>'Monthly Forecast'!AG25+'Monthly Forecast'!AG43</f>
        <v>1008288.7000999999</v>
      </c>
      <c r="L10" s="209">
        <f>'Monthly Forecast'!AH25+'Monthly Forecast'!AH43</f>
        <v>882928.9301</v>
      </c>
      <c r="M10" s="209">
        <f>'Monthly Forecast'!AI25+'Monthly Forecast'!AI43</f>
        <v>537830.90469999996</v>
      </c>
      <c r="N10" s="209">
        <f>'Monthly Forecast'!AJ25+'Monthly Forecast'!AJ43</f>
        <v>299346.51850000001</v>
      </c>
      <c r="O10" s="209">
        <f>SUM(C10:N10)</f>
        <v>6177171.0617999993</v>
      </c>
    </row>
    <row r="11" spans="1:15" x14ac:dyDescent="0.2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</row>
    <row r="12" spans="1:15" x14ac:dyDescent="0.2">
      <c r="A12" s="210" t="s">
        <v>499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</row>
    <row r="13" spans="1:15" x14ac:dyDescent="0.2">
      <c r="A13" s="210"/>
      <c r="B13" s="210" t="s">
        <v>95</v>
      </c>
      <c r="C13" s="209">
        <f>'Monthly Forecast'!Y30</f>
        <v>205</v>
      </c>
      <c r="D13" s="209">
        <f>'Monthly Forecast'!Z30</f>
        <v>193</v>
      </c>
      <c r="E13" s="209">
        <f>'Monthly Forecast'!AA30</f>
        <v>211</v>
      </c>
      <c r="F13" s="209">
        <f>'Monthly Forecast'!AB30</f>
        <v>188</v>
      </c>
      <c r="G13" s="209">
        <f>'Monthly Forecast'!AC30</f>
        <v>194</v>
      </c>
      <c r="H13" s="209">
        <f>'Monthly Forecast'!AD30</f>
        <v>181</v>
      </c>
      <c r="I13" s="209">
        <f>'Monthly Forecast'!AE30</f>
        <v>200</v>
      </c>
      <c r="J13" s="209">
        <f>'Monthly Forecast'!AF30</f>
        <v>201</v>
      </c>
      <c r="K13" s="209">
        <f>'Monthly Forecast'!AG30</f>
        <v>169</v>
      </c>
      <c r="L13" s="209">
        <f>'Monthly Forecast'!AH30</f>
        <v>234</v>
      </c>
      <c r="M13" s="209">
        <f>'Monthly Forecast'!AI30</f>
        <v>197</v>
      </c>
      <c r="N13" s="209">
        <f>'Monthly Forecast'!AJ30</f>
        <v>193</v>
      </c>
      <c r="O13" s="209">
        <f>SUM(C13:N13)</f>
        <v>2366</v>
      </c>
    </row>
    <row r="14" spans="1:15" x14ac:dyDescent="0.2">
      <c r="A14" s="210"/>
      <c r="B14" s="210" t="s">
        <v>21</v>
      </c>
      <c r="C14" s="209">
        <f>'Monthly Forecast'!Y34</f>
        <v>15219.8799</v>
      </c>
      <c r="D14" s="209">
        <f>'Monthly Forecast'!Z34</f>
        <v>12621.678099999997</v>
      </c>
      <c r="E14" s="209">
        <f>'Monthly Forecast'!AA34</f>
        <v>21603.453300000001</v>
      </c>
      <c r="F14" s="209">
        <f>'Monthly Forecast'!AB34</f>
        <v>19716.883099999999</v>
      </c>
      <c r="G14" s="209">
        <f>'Monthly Forecast'!AC34</f>
        <v>18439.272100000002</v>
      </c>
      <c r="H14" s="209">
        <f>'Monthly Forecast'!AD34</f>
        <v>42338.036599999992</v>
      </c>
      <c r="I14" s="209">
        <f>'Monthly Forecast'!AE34</f>
        <v>82176.154399999999</v>
      </c>
      <c r="J14" s="209">
        <f>'Monthly Forecast'!AF34</f>
        <v>109080.83990000002</v>
      </c>
      <c r="K14" s="209">
        <f>'Monthly Forecast'!AG34</f>
        <v>88900.575099999987</v>
      </c>
      <c r="L14" s="209">
        <f>'Monthly Forecast'!AH34</f>
        <v>132666.98860000001</v>
      </c>
      <c r="M14" s="209">
        <f>'Monthly Forecast'!AI34</f>
        <v>44291.265400000004</v>
      </c>
      <c r="N14" s="209">
        <f>'Monthly Forecast'!AJ34</f>
        <v>18992.643</v>
      </c>
      <c r="O14" s="209">
        <f>SUM(C14:N14)</f>
        <v>606047.66950000008</v>
      </c>
    </row>
    <row r="15" spans="1:15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x14ac:dyDescent="0.2">
      <c r="A16" s="210" t="s">
        <v>489</v>
      </c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</row>
    <row r="17" spans="1:15" x14ac:dyDescent="0.2">
      <c r="A17" s="210"/>
      <c r="B17" s="210" t="s">
        <v>95</v>
      </c>
      <c r="C17" s="209">
        <f>SUM('Monthly Forecast'!Y48,'Monthly Forecast'!Y56,'Monthly Forecast'!Y64,'Monthly Forecast'!Y80,'Monthly Forecast'!Y89)</f>
        <v>219</v>
      </c>
      <c r="D17" s="209">
        <f>SUM('Monthly Forecast'!Z48,'Monthly Forecast'!Z56,'Monthly Forecast'!Z64,'Monthly Forecast'!Z80,'Monthly Forecast'!Z89)</f>
        <v>219</v>
      </c>
      <c r="E17" s="209">
        <f>SUM('Monthly Forecast'!AA48,'Monthly Forecast'!AA56,'Monthly Forecast'!AA64,'Monthly Forecast'!AA80,'Monthly Forecast'!AA89)</f>
        <v>219</v>
      </c>
      <c r="F17" s="209">
        <f>SUM('Monthly Forecast'!AB48,'Monthly Forecast'!AB56,'Monthly Forecast'!AB64,'Monthly Forecast'!AB80,'Monthly Forecast'!AB89)</f>
        <v>218</v>
      </c>
      <c r="G17" s="209">
        <f>SUM('Monthly Forecast'!AC48,'Monthly Forecast'!AC56,'Monthly Forecast'!AC64,'Monthly Forecast'!AC80,'Monthly Forecast'!AC89)</f>
        <v>221</v>
      </c>
      <c r="H17" s="209">
        <f>SUM('Monthly Forecast'!AD48,'Monthly Forecast'!AD56,'Monthly Forecast'!AD64,'Monthly Forecast'!AD80,'Monthly Forecast'!AD89)</f>
        <v>221</v>
      </c>
      <c r="I17" s="209">
        <f>SUM('Monthly Forecast'!AE48,'Monthly Forecast'!AE56,'Monthly Forecast'!AE64,'Monthly Forecast'!AE80,'Monthly Forecast'!AE89)</f>
        <v>220</v>
      </c>
      <c r="J17" s="209">
        <f>SUM('Monthly Forecast'!AF48,'Monthly Forecast'!AF56,'Monthly Forecast'!AF64,'Monthly Forecast'!AF80,'Monthly Forecast'!AF89)</f>
        <v>224</v>
      </c>
      <c r="K17" s="209">
        <f>SUM('Monthly Forecast'!AG48,'Monthly Forecast'!AG56,'Monthly Forecast'!AG64,'Monthly Forecast'!AG80,'Monthly Forecast'!AG89)</f>
        <v>221</v>
      </c>
      <c r="L17" s="209">
        <f>SUM('Monthly Forecast'!AH48,'Monthly Forecast'!AH56,'Monthly Forecast'!AH64,'Monthly Forecast'!AH80,'Monthly Forecast'!AH89)</f>
        <v>221</v>
      </c>
      <c r="M17" s="209">
        <f>SUM('Monthly Forecast'!AI48,'Monthly Forecast'!AI56,'Monthly Forecast'!AI64,'Monthly Forecast'!AI80,'Monthly Forecast'!AI89)</f>
        <v>223</v>
      </c>
      <c r="N17" s="209">
        <f>SUM('Monthly Forecast'!AJ48,'Monthly Forecast'!AJ56,'Monthly Forecast'!AJ64,'Monthly Forecast'!AJ80,'Monthly Forecast'!AJ89)</f>
        <v>219</v>
      </c>
      <c r="O17" s="209">
        <f>SUM(C17:N17)</f>
        <v>2645</v>
      </c>
    </row>
    <row r="18" spans="1:15" x14ac:dyDescent="0.2">
      <c r="A18" s="210"/>
      <c r="B18" s="210" t="s">
        <v>21</v>
      </c>
      <c r="C18" s="209">
        <f>SUM('Monthly Forecast'!Y51,'Monthly Forecast'!Y59,'Monthly Forecast'!Y71,'Monthly Forecast'!Y86,'Monthly Forecast'!Y95,'Monthly Forecast'!Y77)</f>
        <v>2260074.5980000002</v>
      </c>
      <c r="D18" s="209">
        <f>SUM('Monthly Forecast'!Z51,'Monthly Forecast'!Z59,'Monthly Forecast'!Z71,'Monthly Forecast'!Z86,'Monthly Forecast'!Z95,'Monthly Forecast'!Z77)</f>
        <v>2213025.8723999998</v>
      </c>
      <c r="E18" s="209">
        <f>SUM('Monthly Forecast'!AA51,'Monthly Forecast'!AA59,'Monthly Forecast'!AA71,'Monthly Forecast'!AA86,'Monthly Forecast'!AA95,'Monthly Forecast'!AA77)</f>
        <v>2294763.4352000002</v>
      </c>
      <c r="F18" s="209">
        <f>SUM('Monthly Forecast'!AB51,'Monthly Forecast'!AB59,'Monthly Forecast'!AB71,'Monthly Forecast'!AB86,'Monthly Forecast'!AB95,'Monthly Forecast'!AB77)</f>
        <v>2249014.6576</v>
      </c>
      <c r="G18" s="209">
        <f>SUM('Monthly Forecast'!AC51,'Monthly Forecast'!AC59,'Monthly Forecast'!AC71,'Monthly Forecast'!AC86,'Monthly Forecast'!AC95,'Monthly Forecast'!AC77)</f>
        <v>2475795.9262999999</v>
      </c>
      <c r="H18" s="209">
        <f>SUM('Monthly Forecast'!AD51,'Monthly Forecast'!AD59,'Monthly Forecast'!AD71,'Monthly Forecast'!AD86,'Monthly Forecast'!AD95,'Monthly Forecast'!AD77)</f>
        <v>2656242.9665999999</v>
      </c>
      <c r="I18" s="209">
        <f>SUM('Monthly Forecast'!AE51,'Monthly Forecast'!AE59,'Monthly Forecast'!AE71,'Monthly Forecast'!AE86,'Monthly Forecast'!AE95,'Monthly Forecast'!AE77)</f>
        <v>2731243.1694999998</v>
      </c>
      <c r="J18" s="209">
        <f>SUM('Monthly Forecast'!AF51,'Monthly Forecast'!AF59,'Monthly Forecast'!AF71,'Monthly Forecast'!AF86,'Monthly Forecast'!AF95,'Monthly Forecast'!AF77)</f>
        <v>3017622.4882</v>
      </c>
      <c r="K18" s="209">
        <f>SUM('Monthly Forecast'!AG51,'Monthly Forecast'!AG59,'Monthly Forecast'!AG71,'Monthly Forecast'!AG86,'Monthly Forecast'!AG95,'Monthly Forecast'!AG77)</f>
        <v>2905333.6995000001</v>
      </c>
      <c r="L18" s="209">
        <f>SUM('Monthly Forecast'!AH51,'Monthly Forecast'!AH59,'Monthly Forecast'!AH71,'Monthly Forecast'!AH86,'Monthly Forecast'!AH95,'Monthly Forecast'!AH77)</f>
        <v>2795463.2371</v>
      </c>
      <c r="M18" s="209">
        <f>SUM('Monthly Forecast'!AI51,'Monthly Forecast'!AI59,'Monthly Forecast'!AI71,'Monthly Forecast'!AI86,'Monthly Forecast'!AI95,'Monthly Forecast'!AI77)</f>
        <v>2407217.5183999999</v>
      </c>
      <c r="N18" s="209">
        <f>SUM('Monthly Forecast'!AJ51,'Monthly Forecast'!AJ59,'Monthly Forecast'!AJ71,'Monthly Forecast'!AJ86,'Monthly Forecast'!AJ95,'Monthly Forecast'!AJ77)</f>
        <v>2324542.5492000002</v>
      </c>
      <c r="O18" s="209">
        <f>SUM(C18:N18)</f>
        <v>30330340.118000008</v>
      </c>
    </row>
    <row r="19" spans="1:15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</row>
    <row r="20" spans="1:15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</row>
    <row r="21" spans="1:15" x14ac:dyDescent="0.2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</row>
    <row r="22" spans="1:15" ht="38.25" x14ac:dyDescent="0.2">
      <c r="A22" s="210"/>
      <c r="B22" s="210"/>
      <c r="C22" s="210"/>
      <c r="D22" s="210"/>
      <c r="E22" s="210"/>
      <c r="F22" s="696" t="s">
        <v>94</v>
      </c>
      <c r="G22" s="696" t="s">
        <v>488</v>
      </c>
      <c r="H22" s="696" t="s">
        <v>499</v>
      </c>
      <c r="I22" s="696" t="s">
        <v>489</v>
      </c>
      <c r="J22" s="696" t="s">
        <v>19</v>
      </c>
      <c r="K22" s="210"/>
      <c r="L22" s="210"/>
      <c r="M22" s="210"/>
      <c r="N22" s="210"/>
      <c r="O22" s="210"/>
    </row>
    <row r="23" spans="1:15" x14ac:dyDescent="0.2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</row>
    <row r="24" spans="1:15" x14ac:dyDescent="0.2">
      <c r="A24" s="210"/>
      <c r="B24" s="210" t="s">
        <v>490</v>
      </c>
      <c r="C24" s="210"/>
      <c r="D24" s="210"/>
      <c r="E24" s="210"/>
      <c r="F24" s="712">
        <f>SUM(D6:E6)/SUM(D5:E5)</f>
        <v>1.0883105161893063</v>
      </c>
      <c r="G24" s="712">
        <f>SUM(D10:E10)/SUM(D9:E9)</f>
        <v>9.6561335544305162</v>
      </c>
      <c r="H24" s="712">
        <f>SUM(D14:E14)/SUM(D13:E13)</f>
        <v>84.715671782178219</v>
      </c>
      <c r="I24" s="630">
        <f>SUM(D18:E18)/SUM(D17:E17)</f>
        <v>10291.756410045662</v>
      </c>
      <c r="J24" s="210"/>
      <c r="K24" s="210"/>
      <c r="L24" s="210"/>
      <c r="M24" s="210"/>
      <c r="N24" s="210"/>
      <c r="O24" s="210"/>
    </row>
    <row r="25" spans="1:15" x14ac:dyDescent="0.2">
      <c r="A25" s="210"/>
      <c r="B25" s="210" t="s">
        <v>496</v>
      </c>
      <c r="C25" s="210"/>
      <c r="D25" s="210"/>
      <c r="E25" s="210"/>
      <c r="F25" s="630">
        <f>+F24*O5</f>
        <v>2039534.174827859</v>
      </c>
      <c r="G25" s="630">
        <f>+G24*O9</f>
        <v>2187143.2184791751</v>
      </c>
      <c r="H25" s="630">
        <f>+H24*O13</f>
        <v>200437.27943663366</v>
      </c>
      <c r="I25" s="630">
        <f>+I24*O17</f>
        <v>27221695.704570778</v>
      </c>
      <c r="J25" s="210"/>
      <c r="K25" s="210"/>
      <c r="L25" s="210"/>
      <c r="M25" s="210"/>
      <c r="N25" s="210"/>
      <c r="O25" s="210"/>
    </row>
    <row r="26" spans="1:15" x14ac:dyDescent="0.2">
      <c r="A26" s="210"/>
      <c r="B26" s="210" t="s">
        <v>497</v>
      </c>
      <c r="C26" s="210"/>
      <c r="D26" s="210"/>
      <c r="E26" s="210"/>
      <c r="F26" s="713">
        <f>+F25/365/(O5/12)</f>
        <v>3.5780071765127881E-2</v>
      </c>
      <c r="G26" s="713">
        <f>+G25/365/(O9/12)</f>
        <v>0.31746192507716764</v>
      </c>
      <c r="H26" s="713">
        <f>+H25/365/(O13/12)</f>
        <v>2.7851727709209277</v>
      </c>
      <c r="I26" s="713">
        <f>+I25/365/(O17/12)</f>
        <v>338.3591148508163</v>
      </c>
      <c r="J26" s="210"/>
      <c r="K26" s="210"/>
      <c r="L26" s="210"/>
      <c r="M26" s="210"/>
      <c r="N26" s="210"/>
      <c r="O26" s="210"/>
    </row>
    <row r="27" spans="1:15" x14ac:dyDescent="0.2">
      <c r="A27" s="210"/>
      <c r="B27" s="210" t="s">
        <v>491</v>
      </c>
      <c r="C27" s="210"/>
      <c r="D27" s="210"/>
      <c r="E27" s="210"/>
      <c r="F27" s="630">
        <f>+O6-F25</f>
        <v>8296972.7964000013</v>
      </c>
      <c r="G27" s="630">
        <f>+O10-G25</f>
        <v>3990027.8433208242</v>
      </c>
      <c r="H27" s="630">
        <f>+O14-H25</f>
        <v>405610.39006336639</v>
      </c>
      <c r="I27" s="630">
        <f>+O18-I25</f>
        <v>3108644.4134292305</v>
      </c>
      <c r="J27" s="210"/>
      <c r="K27" s="210"/>
      <c r="L27" s="210"/>
      <c r="M27" s="210"/>
      <c r="N27" s="210"/>
      <c r="O27" s="210"/>
    </row>
    <row r="28" spans="1:15" x14ac:dyDescent="0.2">
      <c r="A28" s="210"/>
      <c r="B28" s="210" t="s">
        <v>492</v>
      </c>
      <c r="C28" s="210"/>
      <c r="D28" s="210"/>
      <c r="E28" s="210"/>
      <c r="F28" s="630">
        <f>HDDs!D25</f>
        <v>4102</v>
      </c>
      <c r="G28" s="630">
        <f>+F28</f>
        <v>4102</v>
      </c>
      <c r="H28" s="630">
        <f>+G28</f>
        <v>4102</v>
      </c>
      <c r="I28" s="630">
        <f>+H28</f>
        <v>4102</v>
      </c>
      <c r="J28" s="210"/>
      <c r="K28" s="210"/>
      <c r="L28" s="210"/>
      <c r="M28" s="210"/>
      <c r="N28" s="210"/>
      <c r="O28" s="210"/>
    </row>
    <row r="29" spans="1:15" x14ac:dyDescent="0.2">
      <c r="A29" s="210"/>
      <c r="B29" s="210" t="s">
        <v>493</v>
      </c>
      <c r="C29" s="210"/>
      <c r="D29" s="210"/>
      <c r="E29" s="210"/>
      <c r="F29" s="713">
        <f>+F27/F28/(O5/12)</f>
        <v>1.29517095057935E-2</v>
      </c>
      <c r="G29" s="713">
        <f>+G27/G28/(O9/12)</f>
        <v>5.1533252988784466E-2</v>
      </c>
      <c r="H29" s="713">
        <f>+H27/H28/(O13/12)</f>
        <v>0.50151037396354881</v>
      </c>
      <c r="I29" s="713">
        <f>+I27/I28/(O17/12)</f>
        <v>3.4381986159318076</v>
      </c>
      <c r="J29" s="210"/>
      <c r="K29" s="210"/>
      <c r="L29" s="210"/>
      <c r="M29" s="210"/>
      <c r="N29" s="210"/>
      <c r="O29" s="210"/>
    </row>
    <row r="30" spans="1:15" x14ac:dyDescent="0.2">
      <c r="A30" s="210"/>
      <c r="B30" s="210" t="s">
        <v>494</v>
      </c>
      <c r="C30" s="210"/>
      <c r="D30" s="210"/>
      <c r="E30" s="210"/>
      <c r="F30" s="630">
        <v>60</v>
      </c>
      <c r="G30" s="630">
        <f>+F30</f>
        <v>60</v>
      </c>
      <c r="H30" s="630">
        <f>+G30</f>
        <v>60</v>
      </c>
      <c r="I30" s="630">
        <f>+H30</f>
        <v>60</v>
      </c>
      <c r="J30" s="210"/>
      <c r="K30" s="210"/>
      <c r="L30" s="210"/>
      <c r="M30" s="210"/>
      <c r="N30" s="210"/>
      <c r="O30" s="210"/>
    </row>
    <row r="31" spans="1:15" x14ac:dyDescent="0.2">
      <c r="A31" s="210"/>
      <c r="B31" s="210" t="s">
        <v>495</v>
      </c>
      <c r="C31" s="210"/>
      <c r="D31" s="210"/>
      <c r="E31" s="210"/>
      <c r="F31" s="713">
        <f>+F26+F29*F30</f>
        <v>0.81288264211273786</v>
      </c>
      <c r="G31" s="713">
        <f>+G26+G29*G30</f>
        <v>3.4094571044042357</v>
      </c>
      <c r="H31" s="713">
        <f>+H26+H29*H30</f>
        <v>32.875795208733855</v>
      </c>
      <c r="I31" s="713">
        <f>+I26+I29*I30</f>
        <v>544.65103180672475</v>
      </c>
      <c r="J31" s="210"/>
      <c r="K31" s="210"/>
      <c r="L31" s="210"/>
      <c r="M31" s="210"/>
      <c r="N31" s="210"/>
      <c r="O31" s="210"/>
    </row>
    <row r="32" spans="1:15" x14ac:dyDescent="0.2">
      <c r="A32" s="210"/>
      <c r="B32" s="210"/>
      <c r="C32" s="210"/>
      <c r="D32" s="210"/>
      <c r="E32" s="210"/>
      <c r="F32" s="630"/>
      <c r="G32" s="630"/>
      <c r="H32" s="630"/>
      <c r="I32" s="630"/>
      <c r="J32" s="210"/>
      <c r="K32" s="210"/>
      <c r="L32" s="210"/>
      <c r="M32" s="210"/>
      <c r="N32" s="210"/>
      <c r="O32" s="210"/>
    </row>
    <row r="33" spans="1:15" x14ac:dyDescent="0.2">
      <c r="A33" s="210"/>
      <c r="B33" s="210" t="s">
        <v>498</v>
      </c>
      <c r="C33" s="210"/>
      <c r="D33" s="210"/>
      <c r="E33" s="210"/>
      <c r="F33" s="630">
        <f>+F31*(O5/12)</f>
        <v>126947.67899808574</v>
      </c>
      <c r="G33" s="630">
        <f>+G31*(O9/12)</f>
        <v>64354.355209906047</v>
      </c>
      <c r="H33" s="630">
        <f>+H31*(O13/12)</f>
        <v>6482.0109553220245</v>
      </c>
      <c r="I33" s="630">
        <f>+I31*(O17/12)</f>
        <v>120050.1649273989</v>
      </c>
      <c r="J33" s="630">
        <f>SUM(F33:I33)</f>
        <v>317834.2100907127</v>
      </c>
      <c r="K33" s="210"/>
      <c r="L33" s="210"/>
      <c r="M33" s="210"/>
      <c r="N33" s="210"/>
      <c r="O33" s="210"/>
    </row>
    <row r="34" spans="1:15" x14ac:dyDescent="0.2">
      <c r="F34" s="207"/>
      <c r="G34" s="207"/>
      <c r="H34" s="207"/>
      <c r="I34" s="207"/>
    </row>
    <row r="35" spans="1:15" x14ac:dyDescent="0.2">
      <c r="F35" s="207"/>
      <c r="G35" s="207"/>
      <c r="H35" s="207"/>
      <c r="I35" s="207"/>
    </row>
    <row r="36" spans="1:15" x14ac:dyDescent="0.2">
      <c r="F36" s="410"/>
      <c r="G36" s="207"/>
      <c r="H36" s="207"/>
      <c r="I36" s="207"/>
    </row>
  </sheetData>
  <phoneticPr fontId="4" type="noConversion"/>
  <pageMargins left="0.75" right="0.75" top="1" bottom="1" header="0.5" footer="0.5"/>
  <pageSetup scale="80" orientation="landscape" r:id="rId1"/>
  <headerFooter alignWithMargins="0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6">
    <tabColor rgb="FF00FF00"/>
  </sheetPr>
  <dimension ref="A1:CS4249"/>
  <sheetViews>
    <sheetView showGridLines="0" view="pageBreakPreview" zoomScaleNormal="115" zoomScaleSheetLayoutView="100" workbookViewId="0">
      <pane xSplit="3" ySplit="9" topLeftCell="D10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1" bestFit="1" customWidth="1"/>
    <col min="2" max="2" width="29.5703125" style="1" customWidth="1"/>
    <col min="3" max="3" width="8.5703125" style="1" customWidth="1"/>
    <col min="4" max="20" width="10.5703125" style="1" customWidth="1"/>
    <col min="21" max="50" width="10.5703125" style="16" customWidth="1"/>
    <col min="51" max="63" width="10.5703125" style="1" customWidth="1"/>
    <col min="64" max="67" width="9.5703125" style="1" customWidth="1"/>
    <col min="68" max="87" width="10.5703125" style="1" customWidth="1"/>
    <col min="88" max="16384" width="12.5703125" style="1"/>
  </cols>
  <sheetData>
    <row r="1" spans="1:87" x14ac:dyDescent="0.2">
      <c r="P1" s="70"/>
      <c r="Q1" s="70"/>
      <c r="S1" s="60"/>
      <c r="T1" s="5"/>
    </row>
    <row r="2" spans="1:87" x14ac:dyDescent="0.2">
      <c r="P2" s="70"/>
      <c r="Q2" s="70"/>
      <c r="S2" s="60"/>
      <c r="V2" s="38"/>
    </row>
    <row r="3" spans="1:87" x14ac:dyDescent="0.2">
      <c r="A3" s="7"/>
      <c r="C3" s="19"/>
      <c r="D3" s="18"/>
      <c r="E3" s="18"/>
      <c r="F3" s="18"/>
      <c r="G3" s="18"/>
      <c r="H3" s="18"/>
      <c r="I3" s="18"/>
      <c r="J3" s="4" t="s">
        <v>93</v>
      </c>
      <c r="K3" s="18"/>
      <c r="L3" s="18"/>
      <c r="M3" s="18"/>
      <c r="N3" s="18"/>
      <c r="O3" s="18"/>
      <c r="P3" s="71"/>
      <c r="Q3" s="71"/>
      <c r="R3" s="19"/>
      <c r="S3" s="72"/>
    </row>
    <row r="4" spans="1:87" x14ac:dyDescent="0.2">
      <c r="A4" s="7"/>
      <c r="B4" s="18"/>
      <c r="C4" s="19"/>
      <c r="D4" s="18"/>
      <c r="E4" s="18"/>
      <c r="F4" s="18"/>
      <c r="G4" s="18"/>
      <c r="H4" s="18"/>
      <c r="I4" s="18"/>
      <c r="J4" s="4" t="s">
        <v>189</v>
      </c>
      <c r="K4" s="18"/>
      <c r="L4" s="18"/>
      <c r="M4" s="18"/>
      <c r="N4" s="18"/>
      <c r="O4" s="18"/>
      <c r="P4" s="18"/>
      <c r="Q4" s="18"/>
      <c r="R4" s="19"/>
      <c r="S4" s="18"/>
      <c r="Y4" s="21"/>
    </row>
    <row r="5" spans="1:87" x14ac:dyDescent="0.2">
      <c r="A5" s="7"/>
      <c r="B5" s="18"/>
      <c r="C5" s="73"/>
      <c r="D5" s="18"/>
      <c r="E5" s="18"/>
      <c r="F5" s="18"/>
      <c r="G5" s="18"/>
      <c r="H5" s="18"/>
      <c r="I5" s="18"/>
      <c r="J5" s="4" t="str">
        <f>'Bill Frequency'!I6</f>
        <v>Reference Period - Twelve Months Ending 08/31/2015</v>
      </c>
      <c r="K5" s="18"/>
      <c r="L5" s="18"/>
      <c r="M5" s="18"/>
      <c r="N5" s="18"/>
      <c r="O5" s="18"/>
      <c r="P5" s="18"/>
      <c r="Q5" s="18"/>
      <c r="R5" s="73"/>
      <c r="S5" s="18"/>
      <c r="Y5" s="22"/>
      <c r="AA5" s="22"/>
    </row>
    <row r="7" spans="1:87" x14ac:dyDescent="0.2">
      <c r="A7" s="7" t="s">
        <v>12</v>
      </c>
      <c r="D7" s="699"/>
      <c r="P7" s="4"/>
      <c r="S7" s="4"/>
      <c r="T7" s="15"/>
      <c r="U7" s="15"/>
      <c r="W7" s="15"/>
      <c r="X7" s="15"/>
      <c r="Y7" s="15"/>
      <c r="Z7" s="15"/>
      <c r="AA7" s="15"/>
    </row>
    <row r="8" spans="1:87" x14ac:dyDescent="0.2">
      <c r="A8" s="8" t="s">
        <v>17</v>
      </c>
      <c r="B8" s="9" t="s">
        <v>27</v>
      </c>
      <c r="C8" s="10" t="s">
        <v>6</v>
      </c>
      <c r="D8" s="65">
        <f>'Monthly Forecast'!D8</f>
        <v>41912</v>
      </c>
      <c r="E8" s="65">
        <f>'Monthly Forecast'!E8</f>
        <v>41943</v>
      </c>
      <c r="F8" s="65">
        <f>'Monthly Forecast'!F8</f>
        <v>41973</v>
      </c>
      <c r="G8" s="65">
        <f>'Monthly Forecast'!G8</f>
        <v>42004</v>
      </c>
      <c r="H8" s="65">
        <f>'Monthly Forecast'!H8</f>
        <v>42035</v>
      </c>
      <c r="I8" s="65">
        <f>'Monthly Forecast'!I8</f>
        <v>42063</v>
      </c>
      <c r="J8" s="65">
        <f>'Monthly Forecast'!J8</f>
        <v>42094</v>
      </c>
      <c r="K8" s="65">
        <f>'Monthly Forecast'!K8</f>
        <v>42124</v>
      </c>
      <c r="L8" s="65">
        <f>'Monthly Forecast'!L8</f>
        <v>42155</v>
      </c>
      <c r="M8" s="65">
        <f>'Monthly Forecast'!M8</f>
        <v>42185</v>
      </c>
      <c r="N8" s="65">
        <f>'Monthly Forecast'!N8</f>
        <v>42216</v>
      </c>
      <c r="O8" s="65">
        <f>'Monthly Forecast'!O8</f>
        <v>42247</v>
      </c>
      <c r="P8" s="65">
        <f>'Monthly Forecast'!P8</f>
        <v>42277</v>
      </c>
      <c r="Q8" s="65">
        <f>'Monthly Forecast'!Q8</f>
        <v>42308</v>
      </c>
      <c r="R8" s="65">
        <f>'Monthly Forecast'!R8</f>
        <v>42338</v>
      </c>
      <c r="S8" s="65">
        <f>'Monthly Forecast'!S8</f>
        <v>42369</v>
      </c>
      <c r="T8" s="65">
        <f>'Monthly Forecast'!T8</f>
        <v>42400</v>
      </c>
      <c r="U8" s="65">
        <f>'Monthly Forecast'!U8</f>
        <v>42429</v>
      </c>
      <c r="V8" s="65">
        <f>'Monthly Forecast'!V8</f>
        <v>42460</v>
      </c>
      <c r="W8" s="65">
        <f>'Monthly Forecast'!W8</f>
        <v>42490</v>
      </c>
      <c r="X8" s="65">
        <f>'Monthly Forecast'!X8</f>
        <v>42521</v>
      </c>
      <c r="Y8" s="65">
        <f>'Monthly Forecast'!Y8</f>
        <v>42551</v>
      </c>
      <c r="Z8" s="65">
        <f>'Monthly Forecast'!Z8</f>
        <v>42582</v>
      </c>
      <c r="AA8" s="65">
        <f>'Monthly Forecast'!AA8</f>
        <v>42613</v>
      </c>
      <c r="AB8" s="65">
        <f>'Monthly Forecast'!AB8</f>
        <v>42643</v>
      </c>
      <c r="AC8" s="65">
        <f>'Monthly Forecast'!AC8</f>
        <v>42674</v>
      </c>
      <c r="AD8" s="65">
        <f>'Monthly Forecast'!AD8</f>
        <v>42704</v>
      </c>
      <c r="AE8" s="65">
        <f>'Monthly Forecast'!AE8</f>
        <v>42735</v>
      </c>
      <c r="AF8" s="65">
        <f>'Monthly Forecast'!AF8</f>
        <v>42766</v>
      </c>
      <c r="AG8" s="65">
        <f>'Monthly Forecast'!AG8</f>
        <v>42794</v>
      </c>
      <c r="AH8" s="65">
        <f>'Monthly Forecast'!AH8</f>
        <v>42825</v>
      </c>
      <c r="AI8" s="65">
        <f>'Monthly Forecast'!AI8</f>
        <v>42855</v>
      </c>
      <c r="AJ8" s="65">
        <f>'Monthly Forecast'!AJ8</f>
        <v>42886</v>
      </c>
      <c r="AK8" s="65">
        <f>'Monthly Forecast'!AK8</f>
        <v>42916</v>
      </c>
      <c r="AL8" s="65">
        <f>'Monthly Forecast'!AL8</f>
        <v>42947</v>
      </c>
      <c r="AM8" s="65">
        <f>'Monthly Forecast'!AM8</f>
        <v>42978</v>
      </c>
      <c r="AN8" s="65">
        <f>'Monthly Forecast'!AN8</f>
        <v>43008</v>
      </c>
      <c r="AO8" s="65">
        <f>'Monthly Forecast'!AO8</f>
        <v>43039</v>
      </c>
      <c r="AP8" s="65">
        <f>'Monthly Forecast'!AP8</f>
        <v>43069</v>
      </c>
      <c r="AQ8" s="65">
        <f>'Monthly Forecast'!AQ8</f>
        <v>43100</v>
      </c>
      <c r="AR8" s="65">
        <f>'Monthly Forecast'!AR8</f>
        <v>43131</v>
      </c>
      <c r="AS8" s="65">
        <f>'Monthly Forecast'!AS8</f>
        <v>43159</v>
      </c>
      <c r="AT8" s="65">
        <f>'Monthly Forecast'!AT8</f>
        <v>43190</v>
      </c>
      <c r="AU8" s="65">
        <f>'Monthly Forecast'!AU8</f>
        <v>43220</v>
      </c>
      <c r="AV8" s="65">
        <f>'Monthly Forecast'!AV8</f>
        <v>43251</v>
      </c>
      <c r="AW8" s="65">
        <f>'Monthly Forecast'!AW8</f>
        <v>43281</v>
      </c>
      <c r="AX8" s="65">
        <f>'Monthly Forecast'!AX8</f>
        <v>43312</v>
      </c>
      <c r="AY8" s="65">
        <f>'Monthly Forecast'!AY8</f>
        <v>43343</v>
      </c>
      <c r="AZ8" s="65">
        <f>'Monthly Forecast'!AZ8</f>
        <v>43373</v>
      </c>
      <c r="BA8" s="65">
        <f>'Monthly Forecast'!BA8</f>
        <v>43404</v>
      </c>
      <c r="BB8" s="65">
        <f>'Monthly Forecast'!BB8</f>
        <v>43434</v>
      </c>
      <c r="BC8" s="65">
        <f>'Monthly Forecast'!BC8</f>
        <v>43465</v>
      </c>
      <c r="BD8" s="65">
        <f>'Monthly Forecast'!BD8</f>
        <v>43496</v>
      </c>
      <c r="BE8" s="65">
        <f>'Monthly Forecast'!BE8</f>
        <v>43524</v>
      </c>
      <c r="BF8" s="65">
        <f>'Monthly Forecast'!BF8</f>
        <v>43555</v>
      </c>
      <c r="BG8" s="65">
        <f>'Monthly Forecast'!BG8</f>
        <v>43585</v>
      </c>
      <c r="BH8" s="65">
        <f>'Monthly Forecast'!BH8</f>
        <v>43616</v>
      </c>
      <c r="BI8" s="65">
        <f>'Monthly Forecast'!BI8</f>
        <v>43646</v>
      </c>
      <c r="BJ8" s="65">
        <f>'Monthly Forecast'!BJ8</f>
        <v>43677</v>
      </c>
      <c r="BK8" s="65">
        <f>'Monthly Forecast'!BK8</f>
        <v>43708</v>
      </c>
      <c r="BL8" s="65">
        <f>'Monthly Forecast'!BL8</f>
        <v>43738</v>
      </c>
      <c r="BM8" s="65">
        <f>'Monthly Forecast'!BM8</f>
        <v>43769</v>
      </c>
      <c r="BN8" s="65">
        <f>'Monthly Forecast'!BN8</f>
        <v>43799</v>
      </c>
      <c r="BO8" s="65">
        <f>'Monthly Forecast'!BO8</f>
        <v>43830</v>
      </c>
      <c r="BP8" s="65">
        <f>'Monthly Forecast'!BP8</f>
        <v>43861</v>
      </c>
      <c r="BQ8" s="65">
        <f>'Monthly Forecast'!BQ8</f>
        <v>43890</v>
      </c>
      <c r="BR8" s="65">
        <f>'Monthly Forecast'!BR8</f>
        <v>43921</v>
      </c>
      <c r="BS8" s="65">
        <f>'Monthly Forecast'!BS8</f>
        <v>43951</v>
      </c>
      <c r="BT8" s="65">
        <f>'Monthly Forecast'!BT8</f>
        <v>43982</v>
      </c>
      <c r="BU8" s="65">
        <f>'Monthly Forecast'!BU8</f>
        <v>44012</v>
      </c>
      <c r="BV8" s="65">
        <f>'Monthly Forecast'!BV8</f>
        <v>44043</v>
      </c>
      <c r="BW8" s="65">
        <f>'Monthly Forecast'!BW8</f>
        <v>44074</v>
      </c>
      <c r="BX8" s="65">
        <f>'Monthly Forecast'!BX8</f>
        <v>44104</v>
      </c>
      <c r="BY8" s="65">
        <f>'Monthly Forecast'!BY8</f>
        <v>44135</v>
      </c>
      <c r="BZ8" s="65">
        <f>'Monthly Forecast'!BZ8</f>
        <v>44165</v>
      </c>
      <c r="CA8" s="65">
        <f>'Monthly Forecast'!CA8</f>
        <v>44196</v>
      </c>
      <c r="CB8" s="65">
        <f>'Monthly Forecast'!CB8</f>
        <v>44227</v>
      </c>
      <c r="CC8" s="65">
        <f>'Monthly Forecast'!CC8</f>
        <v>44255</v>
      </c>
      <c r="CD8" s="65">
        <f>'Monthly Forecast'!CD8</f>
        <v>44286</v>
      </c>
      <c r="CE8" s="65">
        <f>'Monthly Forecast'!CE8</f>
        <v>44316</v>
      </c>
      <c r="CF8" s="65">
        <f>'Monthly Forecast'!CF8</f>
        <v>44347</v>
      </c>
      <c r="CG8" s="65">
        <f>'Monthly Forecast'!CG8</f>
        <v>44377</v>
      </c>
      <c r="CH8" s="65">
        <f>'Monthly Forecast'!CH8</f>
        <v>44408</v>
      </c>
      <c r="CI8" s="65">
        <f>'Monthly Forecast'!CI8</f>
        <v>44439</v>
      </c>
    </row>
    <row r="9" spans="1:87" x14ac:dyDescent="0.2">
      <c r="B9" s="81" t="s">
        <v>13</v>
      </c>
      <c r="C9" s="81" t="s">
        <v>14</v>
      </c>
      <c r="D9" s="4" t="s">
        <v>15</v>
      </c>
      <c r="E9" s="94" t="s">
        <v>16</v>
      </c>
      <c r="F9" s="95" t="s">
        <v>108</v>
      </c>
      <c r="G9" s="95" t="s">
        <v>109</v>
      </c>
      <c r="H9" s="95" t="s">
        <v>110</v>
      </c>
      <c r="I9" s="95" t="s">
        <v>111</v>
      </c>
      <c r="J9" s="95" t="s">
        <v>112</v>
      </c>
      <c r="K9" s="95" t="s">
        <v>113</v>
      </c>
      <c r="L9" s="95" t="s">
        <v>114</v>
      </c>
      <c r="M9" s="95" t="s">
        <v>115</v>
      </c>
      <c r="N9" s="95" t="s">
        <v>116</v>
      </c>
      <c r="O9" s="95" t="s">
        <v>245</v>
      </c>
      <c r="P9" s="95" t="s">
        <v>246</v>
      </c>
      <c r="Q9" s="95" t="s">
        <v>247</v>
      </c>
      <c r="R9" s="95" t="s">
        <v>248</v>
      </c>
      <c r="S9" s="95" t="s">
        <v>249</v>
      </c>
      <c r="T9" s="95" t="s">
        <v>250</v>
      </c>
      <c r="U9" s="95" t="s">
        <v>251</v>
      </c>
      <c r="V9" s="95" t="s">
        <v>252</v>
      </c>
      <c r="W9" s="95" t="s">
        <v>253</v>
      </c>
      <c r="X9" s="95" t="s">
        <v>254</v>
      </c>
      <c r="Y9" s="95" t="s">
        <v>255</v>
      </c>
      <c r="Z9" s="95" t="s">
        <v>256</v>
      </c>
      <c r="AA9" s="95" t="s">
        <v>257</v>
      </c>
      <c r="AB9" s="95" t="s">
        <v>258</v>
      </c>
      <c r="AC9" s="95" t="s">
        <v>259</v>
      </c>
      <c r="AD9" s="95" t="s">
        <v>260</v>
      </c>
      <c r="AE9" s="95" t="s">
        <v>261</v>
      </c>
      <c r="AF9" s="95" t="s">
        <v>262</v>
      </c>
      <c r="AG9" s="95" t="s">
        <v>263</v>
      </c>
      <c r="AH9" s="95" t="s">
        <v>264</v>
      </c>
      <c r="AI9" s="95" t="s">
        <v>265</v>
      </c>
      <c r="AJ9" s="95" t="s">
        <v>266</v>
      </c>
      <c r="AK9" s="95" t="s">
        <v>267</v>
      </c>
      <c r="AL9" s="95" t="s">
        <v>268</v>
      </c>
      <c r="AM9" s="95" t="s">
        <v>269</v>
      </c>
      <c r="AN9" s="95" t="s">
        <v>270</v>
      </c>
      <c r="AO9" s="95" t="s">
        <v>271</v>
      </c>
      <c r="AP9" s="95" t="s">
        <v>272</v>
      </c>
      <c r="AQ9" s="95" t="s">
        <v>273</v>
      </c>
      <c r="AR9" s="95" t="s">
        <v>274</v>
      </c>
      <c r="AS9" s="95" t="s">
        <v>275</v>
      </c>
      <c r="AT9" s="95" t="s">
        <v>276</v>
      </c>
      <c r="AU9" s="95" t="s">
        <v>277</v>
      </c>
      <c r="AV9" s="95" t="s">
        <v>278</v>
      </c>
      <c r="AW9" s="95" t="s">
        <v>279</v>
      </c>
      <c r="AX9" s="95" t="s">
        <v>280</v>
      </c>
      <c r="AY9" s="95" t="s">
        <v>281</v>
      </c>
      <c r="AZ9" s="95" t="s">
        <v>282</v>
      </c>
      <c r="BA9" s="95" t="s">
        <v>283</v>
      </c>
      <c r="BB9" s="95" t="s">
        <v>284</v>
      </c>
      <c r="BC9" s="95" t="s">
        <v>285</v>
      </c>
      <c r="BD9" s="95" t="s">
        <v>286</v>
      </c>
      <c r="BE9" s="95" t="s">
        <v>287</v>
      </c>
      <c r="BF9" s="95" t="s">
        <v>288</v>
      </c>
      <c r="BG9" s="95" t="s">
        <v>289</v>
      </c>
      <c r="BH9" s="95" t="s">
        <v>290</v>
      </c>
      <c r="BI9" s="95" t="s">
        <v>291</v>
      </c>
      <c r="BJ9" s="95" t="s">
        <v>292</v>
      </c>
      <c r="BK9" s="95" t="s">
        <v>293</v>
      </c>
      <c r="BL9" s="95" t="s">
        <v>309</v>
      </c>
      <c r="BM9" s="95" t="s">
        <v>310</v>
      </c>
      <c r="BN9" s="95" t="s">
        <v>311</v>
      </c>
      <c r="BO9" s="95" t="s">
        <v>312</v>
      </c>
      <c r="BP9" s="95" t="s">
        <v>313</v>
      </c>
      <c r="BQ9" s="95" t="s">
        <v>314</v>
      </c>
      <c r="BR9" s="95" t="s">
        <v>315</v>
      </c>
      <c r="BS9" s="95" t="s">
        <v>316</v>
      </c>
      <c r="BT9" s="95" t="s">
        <v>317</v>
      </c>
      <c r="BU9" s="95" t="s">
        <v>318</v>
      </c>
      <c r="BV9" s="95" t="s">
        <v>319</v>
      </c>
      <c r="BW9" s="95" t="s">
        <v>320</v>
      </c>
      <c r="BX9" s="95" t="s">
        <v>340</v>
      </c>
      <c r="BY9" s="95" t="s">
        <v>341</v>
      </c>
      <c r="BZ9" s="95" t="s">
        <v>342</v>
      </c>
      <c r="CA9" s="95" t="s">
        <v>343</v>
      </c>
      <c r="CB9" s="95" t="s">
        <v>344</v>
      </c>
      <c r="CC9" s="95" t="s">
        <v>345</v>
      </c>
      <c r="CD9" s="95" t="s">
        <v>346</v>
      </c>
      <c r="CE9" s="95" t="s">
        <v>347</v>
      </c>
      <c r="CF9" s="95" t="s">
        <v>348</v>
      </c>
      <c r="CG9" s="95" t="s">
        <v>349</v>
      </c>
      <c r="CH9" s="95" t="s">
        <v>350</v>
      </c>
      <c r="CI9" s="95" t="s">
        <v>351</v>
      </c>
    </row>
    <row r="10" spans="1:87" x14ac:dyDescent="0.2"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36"/>
      <c r="U10" s="36"/>
      <c r="V10" s="44"/>
      <c r="W10" s="36"/>
      <c r="X10" s="36"/>
      <c r="Y10" s="36"/>
      <c r="Z10" s="36"/>
      <c r="AA10" s="36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16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16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16"/>
    </row>
    <row r="11" spans="1:87" x14ac:dyDescent="0.2">
      <c r="A11" s="1">
        <v>1</v>
      </c>
      <c r="B11" s="168" t="s">
        <v>294</v>
      </c>
      <c r="C11" s="16"/>
      <c r="D11" s="1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</row>
    <row r="12" spans="1:87" x14ac:dyDescent="0.2">
      <c r="A12" s="1">
        <v>2</v>
      </c>
      <c r="B12" s="1" t="s">
        <v>295</v>
      </c>
      <c r="C12" s="11">
        <f>'Rate Design'!L12</f>
        <v>34</v>
      </c>
      <c r="D12" s="70">
        <f>[8]SAP!AJ37</f>
        <v>221</v>
      </c>
      <c r="E12" s="70">
        <f>[8]SAP!AK37</f>
        <v>529</v>
      </c>
      <c r="F12" s="70">
        <f>[8]SAP!AL37</f>
        <v>645</v>
      </c>
      <c r="G12" s="70">
        <f>[8]SAP!AM37</f>
        <v>235</v>
      </c>
      <c r="H12" s="70">
        <f>[8]SAP!AN37</f>
        <v>201</v>
      </c>
      <c r="I12" s="70">
        <f>[8]SAP!AO37</f>
        <v>149</v>
      </c>
      <c r="J12" s="70">
        <f>[8]SAP!AP37</f>
        <v>76</v>
      </c>
      <c r="K12" s="70">
        <f>[8]SAP!AQ37</f>
        <v>61</v>
      </c>
      <c r="L12" s="70">
        <f>[8]SAP!AR37</f>
        <v>62</v>
      </c>
      <c r="M12" s="70">
        <f>[8]SAP!AS37</f>
        <v>82</v>
      </c>
      <c r="N12" s="70">
        <f>[8]SAP!AT37</f>
        <v>82</v>
      </c>
      <c r="O12" s="70">
        <f>[8]SAP!AU37</f>
        <v>109</v>
      </c>
      <c r="P12" s="70">
        <f t="shared" ref="P12:Y13" si="0">D12</f>
        <v>221</v>
      </c>
      <c r="Q12" s="70">
        <f t="shared" si="0"/>
        <v>529</v>
      </c>
      <c r="R12" s="70">
        <f t="shared" si="0"/>
        <v>645</v>
      </c>
      <c r="S12" s="70">
        <f t="shared" si="0"/>
        <v>235</v>
      </c>
      <c r="T12" s="70">
        <f t="shared" si="0"/>
        <v>201</v>
      </c>
      <c r="U12" s="70">
        <f t="shared" si="0"/>
        <v>149</v>
      </c>
      <c r="V12" s="70">
        <f t="shared" si="0"/>
        <v>76</v>
      </c>
      <c r="W12" s="70">
        <f t="shared" si="0"/>
        <v>61</v>
      </c>
      <c r="X12" s="70">
        <f t="shared" si="0"/>
        <v>62</v>
      </c>
      <c r="Y12" s="70">
        <f t="shared" si="0"/>
        <v>82</v>
      </c>
      <c r="Z12" s="70">
        <f t="shared" ref="Z12:AI13" si="1">N12</f>
        <v>82</v>
      </c>
      <c r="AA12" s="70">
        <f t="shared" si="1"/>
        <v>109</v>
      </c>
      <c r="AB12" s="70">
        <f t="shared" si="1"/>
        <v>221</v>
      </c>
      <c r="AC12" s="70">
        <f t="shared" si="1"/>
        <v>529</v>
      </c>
      <c r="AD12" s="70">
        <f t="shared" si="1"/>
        <v>645</v>
      </c>
      <c r="AE12" s="70">
        <f t="shared" si="1"/>
        <v>235</v>
      </c>
      <c r="AF12" s="70">
        <f t="shared" si="1"/>
        <v>201</v>
      </c>
      <c r="AG12" s="70">
        <f t="shared" si="1"/>
        <v>149</v>
      </c>
      <c r="AH12" s="70">
        <f t="shared" si="1"/>
        <v>76</v>
      </c>
      <c r="AI12" s="70">
        <f t="shared" si="1"/>
        <v>61</v>
      </c>
      <c r="AJ12" s="70">
        <f t="shared" ref="AJ12:AS13" si="2">X12</f>
        <v>62</v>
      </c>
      <c r="AK12" s="70">
        <f t="shared" si="2"/>
        <v>82</v>
      </c>
      <c r="AL12" s="70">
        <f t="shared" si="2"/>
        <v>82</v>
      </c>
      <c r="AM12" s="70">
        <f t="shared" si="2"/>
        <v>109</v>
      </c>
      <c r="AN12" s="70">
        <f t="shared" si="2"/>
        <v>221</v>
      </c>
      <c r="AO12" s="70">
        <f t="shared" si="2"/>
        <v>529</v>
      </c>
      <c r="AP12" s="70">
        <f t="shared" si="2"/>
        <v>645</v>
      </c>
      <c r="AQ12" s="70">
        <f t="shared" si="2"/>
        <v>235</v>
      </c>
      <c r="AR12" s="70">
        <f t="shared" si="2"/>
        <v>201</v>
      </c>
      <c r="AS12" s="70">
        <f t="shared" si="2"/>
        <v>149</v>
      </c>
      <c r="AT12" s="70">
        <f t="shared" ref="AT12:BC13" si="3">AH12</f>
        <v>76</v>
      </c>
      <c r="AU12" s="70">
        <f t="shared" si="3"/>
        <v>61</v>
      </c>
      <c r="AV12" s="70">
        <f t="shared" si="3"/>
        <v>62</v>
      </c>
      <c r="AW12" s="70">
        <f t="shared" si="3"/>
        <v>82</v>
      </c>
      <c r="AX12" s="70">
        <f t="shared" si="3"/>
        <v>82</v>
      </c>
      <c r="AY12" s="70">
        <f t="shared" si="3"/>
        <v>109</v>
      </c>
      <c r="AZ12" s="70">
        <f t="shared" si="3"/>
        <v>221</v>
      </c>
      <c r="BA12" s="70">
        <f t="shared" si="3"/>
        <v>529</v>
      </c>
      <c r="BB12" s="70">
        <f t="shared" si="3"/>
        <v>645</v>
      </c>
      <c r="BC12" s="70">
        <f t="shared" si="3"/>
        <v>235</v>
      </c>
      <c r="BD12" s="70">
        <f t="shared" ref="BD12:BK13" si="4">AR12</f>
        <v>201</v>
      </c>
      <c r="BE12" s="70">
        <f t="shared" si="4"/>
        <v>149</v>
      </c>
      <c r="BF12" s="70">
        <f t="shared" si="4"/>
        <v>76</v>
      </c>
      <c r="BG12" s="70">
        <f t="shared" si="4"/>
        <v>61</v>
      </c>
      <c r="BH12" s="70">
        <f t="shared" si="4"/>
        <v>62</v>
      </c>
      <c r="BI12" s="70">
        <f t="shared" si="4"/>
        <v>82</v>
      </c>
      <c r="BJ12" s="70">
        <f t="shared" si="4"/>
        <v>82</v>
      </c>
      <c r="BK12" s="70">
        <f t="shared" si="4"/>
        <v>109</v>
      </c>
      <c r="BL12" s="70">
        <f t="shared" ref="BL12:BW13" si="5">AZ12</f>
        <v>221</v>
      </c>
      <c r="BM12" s="70">
        <f t="shared" si="5"/>
        <v>529</v>
      </c>
      <c r="BN12" s="70">
        <f t="shared" si="5"/>
        <v>645</v>
      </c>
      <c r="BO12" s="70">
        <f t="shared" si="5"/>
        <v>235</v>
      </c>
      <c r="BP12" s="70">
        <f t="shared" si="5"/>
        <v>201</v>
      </c>
      <c r="BQ12" s="70">
        <f t="shared" si="5"/>
        <v>149</v>
      </c>
      <c r="BR12" s="70">
        <f t="shared" si="5"/>
        <v>76</v>
      </c>
      <c r="BS12" s="70">
        <f t="shared" si="5"/>
        <v>61</v>
      </c>
      <c r="BT12" s="70">
        <f t="shared" si="5"/>
        <v>62</v>
      </c>
      <c r="BU12" s="70">
        <f t="shared" si="5"/>
        <v>82</v>
      </c>
      <c r="BV12" s="70">
        <f t="shared" si="5"/>
        <v>82</v>
      </c>
      <c r="BW12" s="70">
        <f t="shared" si="5"/>
        <v>109</v>
      </c>
      <c r="BX12" s="70">
        <f t="shared" ref="BX12:CI13" si="6">BL12</f>
        <v>221</v>
      </c>
      <c r="BY12" s="70">
        <f t="shared" si="6"/>
        <v>529</v>
      </c>
      <c r="BZ12" s="70">
        <f t="shared" si="6"/>
        <v>645</v>
      </c>
      <c r="CA12" s="70">
        <f t="shared" si="6"/>
        <v>235</v>
      </c>
      <c r="CB12" s="70">
        <f t="shared" si="6"/>
        <v>201</v>
      </c>
      <c r="CC12" s="70">
        <f t="shared" si="6"/>
        <v>149</v>
      </c>
      <c r="CD12" s="70">
        <f t="shared" si="6"/>
        <v>76</v>
      </c>
      <c r="CE12" s="70">
        <f t="shared" si="6"/>
        <v>61</v>
      </c>
      <c r="CF12" s="70">
        <f t="shared" si="6"/>
        <v>62</v>
      </c>
      <c r="CG12" s="70">
        <f t="shared" si="6"/>
        <v>82</v>
      </c>
      <c r="CH12" s="70">
        <f t="shared" si="6"/>
        <v>82</v>
      </c>
      <c r="CI12" s="70">
        <f t="shared" si="6"/>
        <v>109</v>
      </c>
    </row>
    <row r="13" spans="1:87" x14ac:dyDescent="0.2">
      <c r="A13" s="1">
        <v>3</v>
      </c>
      <c r="B13" s="1" t="s">
        <v>296</v>
      </c>
      <c r="C13" s="11">
        <f>'Rate Design'!M12</f>
        <v>44</v>
      </c>
      <c r="D13" s="70">
        <f>[8]SAP!AJ38</f>
        <v>0</v>
      </c>
      <c r="E13" s="70">
        <f>[8]SAP!AK38</f>
        <v>0</v>
      </c>
      <c r="F13" s="70">
        <f>[8]SAP!AL38</f>
        <v>0</v>
      </c>
      <c r="G13" s="70">
        <f>[8]SAP!AM38</f>
        <v>0</v>
      </c>
      <c r="H13" s="70">
        <f>[8]SAP!AN38</f>
        <v>0</v>
      </c>
      <c r="I13" s="70">
        <f>[8]SAP!AO38</f>
        <v>0</v>
      </c>
      <c r="J13" s="70">
        <f>[8]SAP!AP38</f>
        <v>0</v>
      </c>
      <c r="K13" s="70">
        <f>[8]SAP!AQ38</f>
        <v>0</v>
      </c>
      <c r="L13" s="70">
        <f>[8]SAP!AR38</f>
        <v>0</v>
      </c>
      <c r="M13" s="70">
        <f>[8]SAP!AS38</f>
        <v>0</v>
      </c>
      <c r="N13" s="70">
        <f>[8]SAP!AT38</f>
        <v>0</v>
      </c>
      <c r="O13" s="70">
        <f>[8]SAP!AU38</f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1"/>
        <v>0</v>
      </c>
      <c r="AA13" s="70">
        <f t="shared" si="1"/>
        <v>0</v>
      </c>
      <c r="AB13" s="70">
        <f t="shared" si="1"/>
        <v>0</v>
      </c>
      <c r="AC13" s="70">
        <f t="shared" si="1"/>
        <v>0</v>
      </c>
      <c r="AD13" s="70">
        <f t="shared" si="1"/>
        <v>0</v>
      </c>
      <c r="AE13" s="70">
        <f t="shared" si="1"/>
        <v>0</v>
      </c>
      <c r="AF13" s="70">
        <f t="shared" si="1"/>
        <v>0</v>
      </c>
      <c r="AG13" s="70">
        <f t="shared" si="1"/>
        <v>0</v>
      </c>
      <c r="AH13" s="70">
        <f t="shared" si="1"/>
        <v>0</v>
      </c>
      <c r="AI13" s="70">
        <f t="shared" si="1"/>
        <v>0</v>
      </c>
      <c r="AJ13" s="70">
        <f t="shared" si="2"/>
        <v>0</v>
      </c>
      <c r="AK13" s="70">
        <f t="shared" si="2"/>
        <v>0</v>
      </c>
      <c r="AL13" s="70">
        <f t="shared" si="2"/>
        <v>0</v>
      </c>
      <c r="AM13" s="70">
        <f t="shared" si="2"/>
        <v>0</v>
      </c>
      <c r="AN13" s="70">
        <f t="shared" si="2"/>
        <v>0</v>
      </c>
      <c r="AO13" s="70">
        <f t="shared" si="2"/>
        <v>0</v>
      </c>
      <c r="AP13" s="70">
        <f t="shared" si="2"/>
        <v>0</v>
      </c>
      <c r="AQ13" s="70">
        <f t="shared" si="2"/>
        <v>0</v>
      </c>
      <c r="AR13" s="70">
        <f t="shared" si="2"/>
        <v>0</v>
      </c>
      <c r="AS13" s="70">
        <f t="shared" si="2"/>
        <v>0</v>
      </c>
      <c r="AT13" s="70">
        <f t="shared" si="3"/>
        <v>0</v>
      </c>
      <c r="AU13" s="70">
        <f t="shared" si="3"/>
        <v>0</v>
      </c>
      <c r="AV13" s="70">
        <f t="shared" si="3"/>
        <v>0</v>
      </c>
      <c r="AW13" s="70">
        <f t="shared" si="3"/>
        <v>0</v>
      </c>
      <c r="AX13" s="70">
        <f t="shared" si="3"/>
        <v>0</v>
      </c>
      <c r="AY13" s="70">
        <f t="shared" si="3"/>
        <v>0</v>
      </c>
      <c r="AZ13" s="70">
        <f t="shared" si="3"/>
        <v>0</v>
      </c>
      <c r="BA13" s="70">
        <f t="shared" si="3"/>
        <v>0</v>
      </c>
      <c r="BB13" s="70">
        <f t="shared" si="3"/>
        <v>0</v>
      </c>
      <c r="BC13" s="70">
        <f t="shared" si="3"/>
        <v>0</v>
      </c>
      <c r="BD13" s="70">
        <f t="shared" si="4"/>
        <v>0</v>
      </c>
      <c r="BE13" s="70">
        <f t="shared" si="4"/>
        <v>0</v>
      </c>
      <c r="BF13" s="70">
        <f t="shared" si="4"/>
        <v>0</v>
      </c>
      <c r="BG13" s="70">
        <f t="shared" si="4"/>
        <v>0</v>
      </c>
      <c r="BH13" s="70">
        <f t="shared" si="4"/>
        <v>0</v>
      </c>
      <c r="BI13" s="70">
        <f t="shared" si="4"/>
        <v>0</v>
      </c>
      <c r="BJ13" s="70">
        <f t="shared" si="4"/>
        <v>0</v>
      </c>
      <c r="BK13" s="70">
        <f t="shared" si="4"/>
        <v>0</v>
      </c>
      <c r="BL13" s="70">
        <f t="shared" si="5"/>
        <v>0</v>
      </c>
      <c r="BM13" s="70">
        <f t="shared" si="5"/>
        <v>0</v>
      </c>
      <c r="BN13" s="70">
        <f t="shared" si="5"/>
        <v>0</v>
      </c>
      <c r="BO13" s="70">
        <f t="shared" si="5"/>
        <v>0</v>
      </c>
      <c r="BP13" s="70">
        <f t="shared" si="5"/>
        <v>0</v>
      </c>
      <c r="BQ13" s="70">
        <f t="shared" si="5"/>
        <v>0</v>
      </c>
      <c r="BR13" s="70">
        <f t="shared" si="5"/>
        <v>0</v>
      </c>
      <c r="BS13" s="70">
        <f t="shared" si="5"/>
        <v>0</v>
      </c>
      <c r="BT13" s="70">
        <f t="shared" si="5"/>
        <v>0</v>
      </c>
      <c r="BU13" s="70">
        <f t="shared" si="5"/>
        <v>0</v>
      </c>
      <c r="BV13" s="70">
        <f t="shared" si="5"/>
        <v>0</v>
      </c>
      <c r="BW13" s="70">
        <f t="shared" si="5"/>
        <v>0</v>
      </c>
      <c r="BX13" s="70">
        <f t="shared" si="6"/>
        <v>0</v>
      </c>
      <c r="BY13" s="70">
        <f t="shared" si="6"/>
        <v>0</v>
      </c>
      <c r="BZ13" s="70">
        <f t="shared" si="6"/>
        <v>0</v>
      </c>
      <c r="CA13" s="70">
        <f t="shared" si="6"/>
        <v>0</v>
      </c>
      <c r="CB13" s="70">
        <f t="shared" si="6"/>
        <v>0</v>
      </c>
      <c r="CC13" s="70">
        <f t="shared" si="6"/>
        <v>0</v>
      </c>
      <c r="CD13" s="70">
        <f t="shared" si="6"/>
        <v>0</v>
      </c>
      <c r="CE13" s="70">
        <f t="shared" si="6"/>
        <v>0</v>
      </c>
      <c r="CF13" s="70">
        <f t="shared" si="6"/>
        <v>0</v>
      </c>
      <c r="CG13" s="70">
        <f t="shared" si="6"/>
        <v>0</v>
      </c>
      <c r="CH13" s="70">
        <f t="shared" si="6"/>
        <v>0</v>
      </c>
      <c r="CI13" s="70">
        <f t="shared" si="6"/>
        <v>0</v>
      </c>
    </row>
    <row r="14" spans="1:87" x14ac:dyDescent="0.2">
      <c r="A14" s="1">
        <v>6</v>
      </c>
      <c r="B14" s="32" t="s">
        <v>300</v>
      </c>
      <c r="C14" s="32"/>
      <c r="D14" s="31">
        <f>D12+D13</f>
        <v>221</v>
      </c>
      <c r="E14" s="31">
        <f t="shared" ref="E14:O14" si="7">E12+E13</f>
        <v>529</v>
      </c>
      <c r="F14" s="31">
        <f t="shared" si="7"/>
        <v>645</v>
      </c>
      <c r="G14" s="31">
        <f t="shared" si="7"/>
        <v>235</v>
      </c>
      <c r="H14" s="31">
        <f t="shared" si="7"/>
        <v>201</v>
      </c>
      <c r="I14" s="31">
        <f t="shared" si="7"/>
        <v>149</v>
      </c>
      <c r="J14" s="31">
        <f t="shared" si="7"/>
        <v>76</v>
      </c>
      <c r="K14" s="31">
        <f t="shared" si="7"/>
        <v>61</v>
      </c>
      <c r="L14" s="31">
        <f t="shared" si="7"/>
        <v>62</v>
      </c>
      <c r="M14" s="31">
        <f t="shared" si="7"/>
        <v>82</v>
      </c>
      <c r="N14" s="31">
        <f t="shared" si="7"/>
        <v>82</v>
      </c>
      <c r="O14" s="31">
        <f t="shared" si="7"/>
        <v>109</v>
      </c>
      <c r="P14" s="31">
        <f t="shared" ref="P14:BK14" si="8">P12+P13</f>
        <v>221</v>
      </c>
      <c r="Q14" s="31">
        <f t="shared" si="8"/>
        <v>529</v>
      </c>
      <c r="R14" s="31">
        <f t="shared" si="8"/>
        <v>645</v>
      </c>
      <c r="S14" s="31">
        <f t="shared" si="8"/>
        <v>235</v>
      </c>
      <c r="T14" s="31">
        <f t="shared" si="8"/>
        <v>201</v>
      </c>
      <c r="U14" s="31">
        <f t="shared" si="8"/>
        <v>149</v>
      </c>
      <c r="V14" s="31">
        <f t="shared" si="8"/>
        <v>76</v>
      </c>
      <c r="W14" s="31">
        <f t="shared" si="8"/>
        <v>61</v>
      </c>
      <c r="X14" s="31">
        <f t="shared" si="8"/>
        <v>62</v>
      </c>
      <c r="Y14" s="31">
        <f t="shared" si="8"/>
        <v>82</v>
      </c>
      <c r="Z14" s="31">
        <f t="shared" si="8"/>
        <v>82</v>
      </c>
      <c r="AA14" s="31">
        <f t="shared" si="8"/>
        <v>109</v>
      </c>
      <c r="AB14" s="31">
        <f t="shared" si="8"/>
        <v>221</v>
      </c>
      <c r="AC14" s="31">
        <f t="shared" si="8"/>
        <v>529</v>
      </c>
      <c r="AD14" s="31">
        <f t="shared" si="8"/>
        <v>645</v>
      </c>
      <c r="AE14" s="31">
        <f t="shared" si="8"/>
        <v>235</v>
      </c>
      <c r="AF14" s="31">
        <f t="shared" si="8"/>
        <v>201</v>
      </c>
      <c r="AG14" s="31">
        <f t="shared" si="8"/>
        <v>149</v>
      </c>
      <c r="AH14" s="31">
        <f t="shared" si="8"/>
        <v>76</v>
      </c>
      <c r="AI14" s="31">
        <f t="shared" si="8"/>
        <v>61</v>
      </c>
      <c r="AJ14" s="31">
        <f t="shared" si="8"/>
        <v>62</v>
      </c>
      <c r="AK14" s="31">
        <f t="shared" si="8"/>
        <v>82</v>
      </c>
      <c r="AL14" s="31">
        <f t="shared" si="8"/>
        <v>82</v>
      </c>
      <c r="AM14" s="31">
        <f t="shared" si="8"/>
        <v>109</v>
      </c>
      <c r="AN14" s="31">
        <f t="shared" si="8"/>
        <v>221</v>
      </c>
      <c r="AO14" s="31">
        <f t="shared" si="8"/>
        <v>529</v>
      </c>
      <c r="AP14" s="31">
        <f t="shared" si="8"/>
        <v>645</v>
      </c>
      <c r="AQ14" s="31">
        <f t="shared" si="8"/>
        <v>235</v>
      </c>
      <c r="AR14" s="31">
        <f t="shared" si="8"/>
        <v>201</v>
      </c>
      <c r="AS14" s="31">
        <f t="shared" si="8"/>
        <v>149</v>
      </c>
      <c r="AT14" s="31">
        <f t="shared" si="8"/>
        <v>76</v>
      </c>
      <c r="AU14" s="31">
        <f t="shared" si="8"/>
        <v>61</v>
      </c>
      <c r="AV14" s="31">
        <f t="shared" si="8"/>
        <v>62</v>
      </c>
      <c r="AW14" s="31">
        <f t="shared" si="8"/>
        <v>82</v>
      </c>
      <c r="AX14" s="31">
        <f t="shared" si="8"/>
        <v>82</v>
      </c>
      <c r="AY14" s="31">
        <f t="shared" si="8"/>
        <v>109</v>
      </c>
      <c r="AZ14" s="31">
        <f t="shared" si="8"/>
        <v>221</v>
      </c>
      <c r="BA14" s="31">
        <f t="shared" si="8"/>
        <v>529</v>
      </c>
      <c r="BB14" s="31">
        <f t="shared" si="8"/>
        <v>645</v>
      </c>
      <c r="BC14" s="31">
        <f t="shared" si="8"/>
        <v>235</v>
      </c>
      <c r="BD14" s="31">
        <f t="shared" si="8"/>
        <v>201</v>
      </c>
      <c r="BE14" s="31">
        <f t="shared" si="8"/>
        <v>149</v>
      </c>
      <c r="BF14" s="31">
        <f t="shared" si="8"/>
        <v>76</v>
      </c>
      <c r="BG14" s="31">
        <f t="shared" si="8"/>
        <v>61</v>
      </c>
      <c r="BH14" s="31">
        <f t="shared" si="8"/>
        <v>62</v>
      </c>
      <c r="BI14" s="31">
        <f t="shared" si="8"/>
        <v>82</v>
      </c>
      <c r="BJ14" s="31">
        <f t="shared" si="8"/>
        <v>82</v>
      </c>
      <c r="BK14" s="31">
        <f t="shared" si="8"/>
        <v>109</v>
      </c>
      <c r="BL14" s="31">
        <f t="shared" ref="BL14:BW14" si="9">BL12+BL13</f>
        <v>221</v>
      </c>
      <c r="BM14" s="31">
        <f t="shared" si="9"/>
        <v>529</v>
      </c>
      <c r="BN14" s="31">
        <f t="shared" si="9"/>
        <v>645</v>
      </c>
      <c r="BO14" s="31">
        <f t="shared" si="9"/>
        <v>235</v>
      </c>
      <c r="BP14" s="31">
        <f t="shared" si="9"/>
        <v>201</v>
      </c>
      <c r="BQ14" s="31">
        <f t="shared" si="9"/>
        <v>149</v>
      </c>
      <c r="BR14" s="31">
        <f t="shared" si="9"/>
        <v>76</v>
      </c>
      <c r="BS14" s="31">
        <f t="shared" si="9"/>
        <v>61</v>
      </c>
      <c r="BT14" s="31">
        <f t="shared" si="9"/>
        <v>62</v>
      </c>
      <c r="BU14" s="31">
        <f t="shared" si="9"/>
        <v>82</v>
      </c>
      <c r="BV14" s="31">
        <f t="shared" si="9"/>
        <v>82</v>
      </c>
      <c r="BW14" s="31">
        <f t="shared" si="9"/>
        <v>109</v>
      </c>
      <c r="BX14" s="31">
        <f t="shared" ref="BX14:CI14" si="10">BX12+BX13</f>
        <v>221</v>
      </c>
      <c r="BY14" s="31">
        <f t="shared" si="10"/>
        <v>529</v>
      </c>
      <c r="BZ14" s="31">
        <f t="shared" si="10"/>
        <v>645</v>
      </c>
      <c r="CA14" s="31">
        <f t="shared" si="10"/>
        <v>235</v>
      </c>
      <c r="CB14" s="31">
        <f t="shared" si="10"/>
        <v>201</v>
      </c>
      <c r="CC14" s="31">
        <f t="shared" si="10"/>
        <v>149</v>
      </c>
      <c r="CD14" s="31">
        <f t="shared" si="10"/>
        <v>76</v>
      </c>
      <c r="CE14" s="31">
        <f t="shared" si="10"/>
        <v>61</v>
      </c>
      <c r="CF14" s="31">
        <f t="shared" si="10"/>
        <v>62</v>
      </c>
      <c r="CG14" s="31">
        <f t="shared" si="10"/>
        <v>82</v>
      </c>
      <c r="CH14" s="31">
        <f t="shared" si="10"/>
        <v>82</v>
      </c>
      <c r="CI14" s="31">
        <f t="shared" si="10"/>
        <v>109</v>
      </c>
    </row>
    <row r="15" spans="1:87" x14ac:dyDescent="0.2">
      <c r="A15" s="1">
        <v>7</v>
      </c>
      <c r="B15" s="32" t="s">
        <v>301</v>
      </c>
      <c r="C15" s="32"/>
      <c r="D15" s="97">
        <f t="shared" ref="D15:O15" si="11">$C$12*D12+$C$13*D13</f>
        <v>7514</v>
      </c>
      <c r="E15" s="97">
        <f t="shared" si="11"/>
        <v>17986</v>
      </c>
      <c r="F15" s="97">
        <f t="shared" si="11"/>
        <v>21930</v>
      </c>
      <c r="G15" s="97">
        <f t="shared" si="11"/>
        <v>7990</v>
      </c>
      <c r="H15" s="97">
        <f t="shared" si="11"/>
        <v>6834</v>
      </c>
      <c r="I15" s="97">
        <f t="shared" si="11"/>
        <v>5066</v>
      </c>
      <c r="J15" s="97">
        <f t="shared" si="11"/>
        <v>2584</v>
      </c>
      <c r="K15" s="97">
        <f t="shared" si="11"/>
        <v>2074</v>
      </c>
      <c r="L15" s="97">
        <f t="shared" si="11"/>
        <v>2108</v>
      </c>
      <c r="M15" s="97">
        <f t="shared" si="11"/>
        <v>2788</v>
      </c>
      <c r="N15" s="97">
        <f t="shared" si="11"/>
        <v>2788</v>
      </c>
      <c r="O15" s="97">
        <f t="shared" si="11"/>
        <v>3706</v>
      </c>
      <c r="P15" s="97">
        <f t="shared" ref="P15:BK15" si="12">$C$12*P12+$C$13*P13</f>
        <v>7514</v>
      </c>
      <c r="Q15" s="97">
        <f t="shared" si="12"/>
        <v>17986</v>
      </c>
      <c r="R15" s="97">
        <f t="shared" si="12"/>
        <v>21930</v>
      </c>
      <c r="S15" s="97">
        <f t="shared" si="12"/>
        <v>7990</v>
      </c>
      <c r="T15" s="97">
        <f t="shared" si="12"/>
        <v>6834</v>
      </c>
      <c r="U15" s="97">
        <f t="shared" si="12"/>
        <v>5066</v>
      </c>
      <c r="V15" s="97">
        <f t="shared" si="12"/>
        <v>2584</v>
      </c>
      <c r="W15" s="97">
        <f t="shared" si="12"/>
        <v>2074</v>
      </c>
      <c r="X15" s="97">
        <f t="shared" si="12"/>
        <v>2108</v>
      </c>
      <c r="Y15" s="97">
        <f t="shared" si="12"/>
        <v>2788</v>
      </c>
      <c r="Z15" s="97">
        <f t="shared" si="12"/>
        <v>2788</v>
      </c>
      <c r="AA15" s="97">
        <f t="shared" si="12"/>
        <v>3706</v>
      </c>
      <c r="AB15" s="97">
        <f t="shared" si="12"/>
        <v>7514</v>
      </c>
      <c r="AC15" s="97">
        <f t="shared" si="12"/>
        <v>17986</v>
      </c>
      <c r="AD15" s="97">
        <f t="shared" si="12"/>
        <v>21930</v>
      </c>
      <c r="AE15" s="97">
        <f t="shared" si="12"/>
        <v>7990</v>
      </c>
      <c r="AF15" s="97">
        <f t="shared" si="12"/>
        <v>6834</v>
      </c>
      <c r="AG15" s="97">
        <f t="shared" si="12"/>
        <v>5066</v>
      </c>
      <c r="AH15" s="97">
        <f t="shared" si="12"/>
        <v>2584</v>
      </c>
      <c r="AI15" s="97">
        <f t="shared" si="12"/>
        <v>2074</v>
      </c>
      <c r="AJ15" s="97">
        <f t="shared" si="12"/>
        <v>2108</v>
      </c>
      <c r="AK15" s="97">
        <f t="shared" si="12"/>
        <v>2788</v>
      </c>
      <c r="AL15" s="97">
        <f t="shared" si="12"/>
        <v>2788</v>
      </c>
      <c r="AM15" s="97">
        <f t="shared" si="12"/>
        <v>3706</v>
      </c>
      <c r="AN15" s="97">
        <f t="shared" si="12"/>
        <v>7514</v>
      </c>
      <c r="AO15" s="97">
        <f t="shared" si="12"/>
        <v>17986</v>
      </c>
      <c r="AP15" s="97">
        <f t="shared" si="12"/>
        <v>21930</v>
      </c>
      <c r="AQ15" s="97">
        <f t="shared" si="12"/>
        <v>7990</v>
      </c>
      <c r="AR15" s="97">
        <f t="shared" si="12"/>
        <v>6834</v>
      </c>
      <c r="AS15" s="97">
        <f t="shared" si="12"/>
        <v>5066</v>
      </c>
      <c r="AT15" s="97">
        <f t="shared" si="12"/>
        <v>2584</v>
      </c>
      <c r="AU15" s="97">
        <f t="shared" si="12"/>
        <v>2074</v>
      </c>
      <c r="AV15" s="97">
        <f t="shared" si="12"/>
        <v>2108</v>
      </c>
      <c r="AW15" s="97">
        <f t="shared" si="12"/>
        <v>2788</v>
      </c>
      <c r="AX15" s="97">
        <f t="shared" si="12"/>
        <v>2788</v>
      </c>
      <c r="AY15" s="97">
        <f t="shared" si="12"/>
        <v>3706</v>
      </c>
      <c r="AZ15" s="97">
        <f t="shared" si="12"/>
        <v>7514</v>
      </c>
      <c r="BA15" s="97">
        <f t="shared" si="12"/>
        <v>17986</v>
      </c>
      <c r="BB15" s="97">
        <f t="shared" si="12"/>
        <v>21930</v>
      </c>
      <c r="BC15" s="97">
        <f t="shared" si="12"/>
        <v>7990</v>
      </c>
      <c r="BD15" s="97">
        <f t="shared" si="12"/>
        <v>6834</v>
      </c>
      <c r="BE15" s="97">
        <f t="shared" si="12"/>
        <v>5066</v>
      </c>
      <c r="BF15" s="97">
        <f t="shared" si="12"/>
        <v>2584</v>
      </c>
      <c r="BG15" s="97">
        <f t="shared" si="12"/>
        <v>2074</v>
      </c>
      <c r="BH15" s="97">
        <f t="shared" si="12"/>
        <v>2108</v>
      </c>
      <c r="BI15" s="97">
        <f t="shared" si="12"/>
        <v>2788</v>
      </c>
      <c r="BJ15" s="97">
        <f t="shared" si="12"/>
        <v>2788</v>
      </c>
      <c r="BK15" s="97">
        <f t="shared" si="12"/>
        <v>3706</v>
      </c>
      <c r="BL15" s="97">
        <f t="shared" ref="BL15:BW15" si="13">$C$12*BL12+$C$13*BL13</f>
        <v>7514</v>
      </c>
      <c r="BM15" s="97">
        <f t="shared" si="13"/>
        <v>17986</v>
      </c>
      <c r="BN15" s="97">
        <f t="shared" si="13"/>
        <v>21930</v>
      </c>
      <c r="BO15" s="97">
        <f t="shared" si="13"/>
        <v>7990</v>
      </c>
      <c r="BP15" s="97">
        <f t="shared" si="13"/>
        <v>6834</v>
      </c>
      <c r="BQ15" s="97">
        <f t="shared" si="13"/>
        <v>5066</v>
      </c>
      <c r="BR15" s="97">
        <f t="shared" si="13"/>
        <v>2584</v>
      </c>
      <c r="BS15" s="97">
        <f t="shared" si="13"/>
        <v>2074</v>
      </c>
      <c r="BT15" s="97">
        <f t="shared" si="13"/>
        <v>2108</v>
      </c>
      <c r="BU15" s="97">
        <f t="shared" si="13"/>
        <v>2788</v>
      </c>
      <c r="BV15" s="97">
        <f t="shared" si="13"/>
        <v>2788</v>
      </c>
      <c r="BW15" s="97">
        <f t="shared" si="13"/>
        <v>3706</v>
      </c>
      <c r="BX15" s="97">
        <f t="shared" ref="BX15:CI15" si="14">$C$12*BX12+$C$13*BX13</f>
        <v>7514</v>
      </c>
      <c r="BY15" s="97">
        <f t="shared" si="14"/>
        <v>17986</v>
      </c>
      <c r="BZ15" s="97">
        <f t="shared" si="14"/>
        <v>21930</v>
      </c>
      <c r="CA15" s="97">
        <f t="shared" si="14"/>
        <v>7990</v>
      </c>
      <c r="CB15" s="97">
        <f t="shared" si="14"/>
        <v>6834</v>
      </c>
      <c r="CC15" s="97">
        <f t="shared" si="14"/>
        <v>5066</v>
      </c>
      <c r="CD15" s="97">
        <f t="shared" si="14"/>
        <v>2584</v>
      </c>
      <c r="CE15" s="97">
        <f t="shared" si="14"/>
        <v>2074</v>
      </c>
      <c r="CF15" s="97">
        <f t="shared" si="14"/>
        <v>2108</v>
      </c>
      <c r="CG15" s="97">
        <f t="shared" si="14"/>
        <v>2788</v>
      </c>
      <c r="CH15" s="97">
        <f t="shared" si="14"/>
        <v>2788</v>
      </c>
      <c r="CI15" s="97">
        <f t="shared" si="14"/>
        <v>3706</v>
      </c>
    </row>
    <row r="16" spans="1:87" x14ac:dyDescent="0.2">
      <c r="A16" s="1">
        <v>8</v>
      </c>
    </row>
    <row r="17" spans="1:87" x14ac:dyDescent="0.2">
      <c r="A17" s="1">
        <v>9</v>
      </c>
      <c r="B17" s="168" t="s">
        <v>297</v>
      </c>
      <c r="C17" s="1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</row>
    <row r="18" spans="1:87" x14ac:dyDescent="0.2">
      <c r="A18" s="1">
        <v>10</v>
      </c>
      <c r="B18" s="1" t="s">
        <v>295</v>
      </c>
      <c r="C18" s="11">
        <f>'Rate Design'!L13</f>
        <v>23</v>
      </c>
      <c r="D18" s="70">
        <f>[8]SAP!AJ40</f>
        <v>1038</v>
      </c>
      <c r="E18" s="70">
        <f>[8]SAP!AK40</f>
        <v>2500</v>
      </c>
      <c r="F18" s="70">
        <f>[8]SAP!AL40</f>
        <v>2934</v>
      </c>
      <c r="G18" s="70">
        <f>[8]SAP!AM40</f>
        <v>844</v>
      </c>
      <c r="H18" s="70">
        <f>[8]SAP!AN40</f>
        <v>780</v>
      </c>
      <c r="I18" s="70">
        <f>[8]SAP!AO40</f>
        <v>650</v>
      </c>
      <c r="J18" s="70">
        <f>[8]SAP!AP40</f>
        <v>433</v>
      </c>
      <c r="K18" s="70">
        <f>[8]SAP!AQ40</f>
        <v>427</v>
      </c>
      <c r="L18" s="70">
        <f>[8]SAP!AR40</f>
        <v>543</v>
      </c>
      <c r="M18" s="70">
        <f>[8]SAP!AS40</f>
        <v>632</v>
      </c>
      <c r="N18" s="70">
        <f>[8]SAP!AT40</f>
        <v>713</v>
      </c>
      <c r="O18" s="70">
        <f>[8]SAP!AU40</f>
        <v>832</v>
      </c>
      <c r="P18" s="70">
        <f>D18</f>
        <v>1038</v>
      </c>
      <c r="Q18" s="70">
        <f t="shared" ref="Q18:BK19" si="15">E18</f>
        <v>2500</v>
      </c>
      <c r="R18" s="70">
        <f t="shared" si="15"/>
        <v>2934</v>
      </c>
      <c r="S18" s="70">
        <f t="shared" si="15"/>
        <v>844</v>
      </c>
      <c r="T18" s="70">
        <f t="shared" si="15"/>
        <v>780</v>
      </c>
      <c r="U18" s="70">
        <f t="shared" si="15"/>
        <v>650</v>
      </c>
      <c r="V18" s="70">
        <f t="shared" si="15"/>
        <v>433</v>
      </c>
      <c r="W18" s="70">
        <f t="shared" si="15"/>
        <v>427</v>
      </c>
      <c r="X18" s="70">
        <f t="shared" si="15"/>
        <v>543</v>
      </c>
      <c r="Y18" s="70">
        <f t="shared" si="15"/>
        <v>632</v>
      </c>
      <c r="Z18" s="70">
        <f t="shared" si="15"/>
        <v>713</v>
      </c>
      <c r="AA18" s="70">
        <f t="shared" si="15"/>
        <v>832</v>
      </c>
      <c r="AB18" s="70">
        <f t="shared" si="15"/>
        <v>1038</v>
      </c>
      <c r="AC18" s="70">
        <f t="shared" si="15"/>
        <v>2500</v>
      </c>
      <c r="AD18" s="70">
        <f t="shared" si="15"/>
        <v>2934</v>
      </c>
      <c r="AE18" s="70">
        <f t="shared" si="15"/>
        <v>844</v>
      </c>
      <c r="AF18" s="70">
        <f t="shared" si="15"/>
        <v>780</v>
      </c>
      <c r="AG18" s="70">
        <f t="shared" si="15"/>
        <v>650</v>
      </c>
      <c r="AH18" s="70">
        <f t="shared" si="15"/>
        <v>433</v>
      </c>
      <c r="AI18" s="70">
        <f t="shared" si="15"/>
        <v>427</v>
      </c>
      <c r="AJ18" s="70">
        <f t="shared" si="15"/>
        <v>543</v>
      </c>
      <c r="AK18" s="70">
        <f t="shared" si="15"/>
        <v>632</v>
      </c>
      <c r="AL18" s="70">
        <f t="shared" si="15"/>
        <v>713</v>
      </c>
      <c r="AM18" s="70">
        <f t="shared" si="15"/>
        <v>832</v>
      </c>
      <c r="AN18" s="70">
        <f t="shared" si="15"/>
        <v>1038</v>
      </c>
      <c r="AO18" s="70">
        <f t="shared" si="15"/>
        <v>2500</v>
      </c>
      <c r="AP18" s="70">
        <f t="shared" si="15"/>
        <v>2934</v>
      </c>
      <c r="AQ18" s="70">
        <f t="shared" si="15"/>
        <v>844</v>
      </c>
      <c r="AR18" s="70">
        <f t="shared" si="15"/>
        <v>780</v>
      </c>
      <c r="AS18" s="70">
        <f t="shared" si="15"/>
        <v>650</v>
      </c>
      <c r="AT18" s="70">
        <f t="shared" si="15"/>
        <v>433</v>
      </c>
      <c r="AU18" s="70">
        <f t="shared" si="15"/>
        <v>427</v>
      </c>
      <c r="AV18" s="70">
        <f t="shared" si="15"/>
        <v>543</v>
      </c>
      <c r="AW18" s="70">
        <f t="shared" si="15"/>
        <v>632</v>
      </c>
      <c r="AX18" s="70">
        <f t="shared" si="15"/>
        <v>713</v>
      </c>
      <c r="AY18" s="70">
        <f t="shared" si="15"/>
        <v>832</v>
      </c>
      <c r="AZ18" s="70">
        <f t="shared" si="15"/>
        <v>1038</v>
      </c>
      <c r="BA18" s="70">
        <f t="shared" si="15"/>
        <v>2500</v>
      </c>
      <c r="BB18" s="70">
        <f t="shared" si="15"/>
        <v>2934</v>
      </c>
      <c r="BC18" s="70">
        <f t="shared" si="15"/>
        <v>844</v>
      </c>
      <c r="BD18" s="70">
        <f t="shared" si="15"/>
        <v>780</v>
      </c>
      <c r="BE18" s="70">
        <f t="shared" si="15"/>
        <v>650</v>
      </c>
      <c r="BF18" s="70">
        <f t="shared" si="15"/>
        <v>433</v>
      </c>
      <c r="BG18" s="70">
        <f t="shared" si="15"/>
        <v>427</v>
      </c>
      <c r="BH18" s="70">
        <f t="shared" si="15"/>
        <v>543</v>
      </c>
      <c r="BI18" s="70">
        <f t="shared" si="15"/>
        <v>632</v>
      </c>
      <c r="BJ18" s="70">
        <f t="shared" si="15"/>
        <v>713</v>
      </c>
      <c r="BK18" s="70">
        <f t="shared" si="15"/>
        <v>832</v>
      </c>
      <c r="BL18" s="70">
        <f t="shared" ref="BL18:BW19" si="16">AZ18</f>
        <v>1038</v>
      </c>
      <c r="BM18" s="70">
        <f t="shared" si="16"/>
        <v>2500</v>
      </c>
      <c r="BN18" s="70">
        <f t="shared" si="16"/>
        <v>2934</v>
      </c>
      <c r="BO18" s="70">
        <f t="shared" si="16"/>
        <v>844</v>
      </c>
      <c r="BP18" s="70">
        <f t="shared" si="16"/>
        <v>780</v>
      </c>
      <c r="BQ18" s="70">
        <f t="shared" si="16"/>
        <v>650</v>
      </c>
      <c r="BR18" s="70">
        <f t="shared" si="16"/>
        <v>433</v>
      </c>
      <c r="BS18" s="70">
        <f t="shared" si="16"/>
        <v>427</v>
      </c>
      <c r="BT18" s="70">
        <f t="shared" si="16"/>
        <v>543</v>
      </c>
      <c r="BU18" s="70">
        <f t="shared" si="16"/>
        <v>632</v>
      </c>
      <c r="BV18" s="70">
        <f t="shared" si="16"/>
        <v>713</v>
      </c>
      <c r="BW18" s="70">
        <f t="shared" si="16"/>
        <v>832</v>
      </c>
      <c r="BX18" s="70">
        <f t="shared" ref="BX18:CI19" si="17">BL18</f>
        <v>1038</v>
      </c>
      <c r="BY18" s="70">
        <f t="shared" si="17"/>
        <v>2500</v>
      </c>
      <c r="BZ18" s="70">
        <f t="shared" si="17"/>
        <v>2934</v>
      </c>
      <c r="CA18" s="70">
        <f t="shared" si="17"/>
        <v>844</v>
      </c>
      <c r="CB18" s="70">
        <f t="shared" si="17"/>
        <v>780</v>
      </c>
      <c r="CC18" s="70">
        <f t="shared" si="17"/>
        <v>650</v>
      </c>
      <c r="CD18" s="70">
        <f t="shared" si="17"/>
        <v>433</v>
      </c>
      <c r="CE18" s="70">
        <f t="shared" si="17"/>
        <v>427</v>
      </c>
      <c r="CF18" s="70">
        <f t="shared" si="17"/>
        <v>543</v>
      </c>
      <c r="CG18" s="70">
        <f t="shared" si="17"/>
        <v>632</v>
      </c>
      <c r="CH18" s="70">
        <f t="shared" si="17"/>
        <v>713</v>
      </c>
      <c r="CI18" s="70">
        <f t="shared" si="17"/>
        <v>832</v>
      </c>
    </row>
    <row r="19" spans="1:87" x14ac:dyDescent="0.2">
      <c r="A19" s="1">
        <v>11</v>
      </c>
      <c r="B19" s="1" t="s">
        <v>296</v>
      </c>
      <c r="C19" s="11">
        <f>'Rate Design'!M13</f>
        <v>28</v>
      </c>
      <c r="D19" s="70">
        <f>[8]SAP!AJ41</f>
        <v>0</v>
      </c>
      <c r="E19" s="70">
        <f>[8]SAP!AK41</f>
        <v>0</v>
      </c>
      <c r="F19" s="70">
        <f>[8]SAP!AL41</f>
        <v>0</v>
      </c>
      <c r="G19" s="70">
        <f>[8]SAP!AM41</f>
        <v>0</v>
      </c>
      <c r="H19" s="70">
        <f>[8]SAP!AN41</f>
        <v>0</v>
      </c>
      <c r="I19" s="70">
        <f>[8]SAP!AO41</f>
        <v>0</v>
      </c>
      <c r="J19" s="70">
        <f>[8]SAP!AP41</f>
        <v>0</v>
      </c>
      <c r="K19" s="70">
        <f>[8]SAP!AQ41</f>
        <v>0</v>
      </c>
      <c r="L19" s="70">
        <f>[8]SAP!AR41</f>
        <v>0</v>
      </c>
      <c r="M19" s="70">
        <f>[8]SAP!AS41</f>
        <v>0</v>
      </c>
      <c r="N19" s="70">
        <f>[8]SAP!AT41</f>
        <v>0</v>
      </c>
      <c r="O19" s="70">
        <f>[8]SAP!AU41</f>
        <v>0</v>
      </c>
      <c r="P19" s="70">
        <f>D19</f>
        <v>0</v>
      </c>
      <c r="Q19" s="70">
        <f t="shared" si="15"/>
        <v>0</v>
      </c>
      <c r="R19" s="70">
        <f t="shared" si="15"/>
        <v>0</v>
      </c>
      <c r="S19" s="70">
        <f t="shared" si="15"/>
        <v>0</v>
      </c>
      <c r="T19" s="70">
        <f t="shared" si="15"/>
        <v>0</v>
      </c>
      <c r="U19" s="70">
        <f t="shared" si="15"/>
        <v>0</v>
      </c>
      <c r="V19" s="70">
        <f t="shared" si="15"/>
        <v>0</v>
      </c>
      <c r="W19" s="70">
        <f t="shared" si="15"/>
        <v>0</v>
      </c>
      <c r="X19" s="70">
        <f t="shared" si="15"/>
        <v>0</v>
      </c>
      <c r="Y19" s="70">
        <f t="shared" si="15"/>
        <v>0</v>
      </c>
      <c r="Z19" s="70">
        <f t="shared" si="15"/>
        <v>0</v>
      </c>
      <c r="AA19" s="70">
        <f t="shared" si="15"/>
        <v>0</v>
      </c>
      <c r="AB19" s="70">
        <f t="shared" si="15"/>
        <v>0</v>
      </c>
      <c r="AC19" s="70">
        <f t="shared" si="15"/>
        <v>0</v>
      </c>
      <c r="AD19" s="70">
        <f t="shared" si="15"/>
        <v>0</v>
      </c>
      <c r="AE19" s="70">
        <f t="shared" si="15"/>
        <v>0</v>
      </c>
      <c r="AF19" s="70">
        <f t="shared" si="15"/>
        <v>0</v>
      </c>
      <c r="AG19" s="70">
        <f t="shared" si="15"/>
        <v>0</v>
      </c>
      <c r="AH19" s="70">
        <f t="shared" si="15"/>
        <v>0</v>
      </c>
      <c r="AI19" s="70">
        <f t="shared" si="15"/>
        <v>0</v>
      </c>
      <c r="AJ19" s="70">
        <f t="shared" si="15"/>
        <v>0</v>
      </c>
      <c r="AK19" s="70">
        <f t="shared" si="15"/>
        <v>0</v>
      </c>
      <c r="AL19" s="70">
        <f t="shared" si="15"/>
        <v>0</v>
      </c>
      <c r="AM19" s="70">
        <f t="shared" si="15"/>
        <v>0</v>
      </c>
      <c r="AN19" s="70">
        <f t="shared" si="15"/>
        <v>0</v>
      </c>
      <c r="AO19" s="70">
        <f t="shared" si="15"/>
        <v>0</v>
      </c>
      <c r="AP19" s="70">
        <f t="shared" si="15"/>
        <v>0</v>
      </c>
      <c r="AQ19" s="70">
        <f t="shared" si="15"/>
        <v>0</v>
      </c>
      <c r="AR19" s="70">
        <f t="shared" si="15"/>
        <v>0</v>
      </c>
      <c r="AS19" s="70">
        <f t="shared" si="15"/>
        <v>0</v>
      </c>
      <c r="AT19" s="70">
        <f t="shared" si="15"/>
        <v>0</v>
      </c>
      <c r="AU19" s="70">
        <f t="shared" si="15"/>
        <v>0</v>
      </c>
      <c r="AV19" s="70">
        <f t="shared" si="15"/>
        <v>0</v>
      </c>
      <c r="AW19" s="70">
        <f t="shared" si="15"/>
        <v>0</v>
      </c>
      <c r="AX19" s="70">
        <f t="shared" si="15"/>
        <v>0</v>
      </c>
      <c r="AY19" s="70">
        <f t="shared" si="15"/>
        <v>0</v>
      </c>
      <c r="AZ19" s="70">
        <f t="shared" si="15"/>
        <v>0</v>
      </c>
      <c r="BA19" s="70">
        <f t="shared" si="15"/>
        <v>0</v>
      </c>
      <c r="BB19" s="70">
        <f t="shared" si="15"/>
        <v>0</v>
      </c>
      <c r="BC19" s="70">
        <f t="shared" si="15"/>
        <v>0</v>
      </c>
      <c r="BD19" s="70">
        <f t="shared" si="15"/>
        <v>0</v>
      </c>
      <c r="BE19" s="70">
        <f t="shared" si="15"/>
        <v>0</v>
      </c>
      <c r="BF19" s="70">
        <f t="shared" si="15"/>
        <v>0</v>
      </c>
      <c r="BG19" s="70">
        <f t="shared" si="15"/>
        <v>0</v>
      </c>
      <c r="BH19" s="70">
        <f t="shared" si="15"/>
        <v>0</v>
      </c>
      <c r="BI19" s="70">
        <f t="shared" si="15"/>
        <v>0</v>
      </c>
      <c r="BJ19" s="70">
        <f t="shared" si="15"/>
        <v>0</v>
      </c>
      <c r="BK19" s="70">
        <f t="shared" si="15"/>
        <v>0</v>
      </c>
      <c r="BL19" s="70">
        <f t="shared" si="16"/>
        <v>0</v>
      </c>
      <c r="BM19" s="70">
        <f t="shared" si="16"/>
        <v>0</v>
      </c>
      <c r="BN19" s="70">
        <f t="shared" si="16"/>
        <v>0</v>
      </c>
      <c r="BO19" s="70">
        <f t="shared" si="16"/>
        <v>0</v>
      </c>
      <c r="BP19" s="70">
        <f t="shared" si="16"/>
        <v>0</v>
      </c>
      <c r="BQ19" s="70">
        <f t="shared" si="16"/>
        <v>0</v>
      </c>
      <c r="BR19" s="70">
        <f t="shared" si="16"/>
        <v>0</v>
      </c>
      <c r="BS19" s="70">
        <f t="shared" si="16"/>
        <v>0</v>
      </c>
      <c r="BT19" s="70">
        <f t="shared" si="16"/>
        <v>0</v>
      </c>
      <c r="BU19" s="70">
        <f t="shared" si="16"/>
        <v>0</v>
      </c>
      <c r="BV19" s="70">
        <f t="shared" si="16"/>
        <v>0</v>
      </c>
      <c r="BW19" s="70">
        <f t="shared" si="16"/>
        <v>0</v>
      </c>
      <c r="BX19" s="70">
        <f t="shared" si="17"/>
        <v>0</v>
      </c>
      <c r="BY19" s="70">
        <f t="shared" si="17"/>
        <v>0</v>
      </c>
      <c r="BZ19" s="70">
        <f t="shared" si="17"/>
        <v>0</v>
      </c>
      <c r="CA19" s="70">
        <f t="shared" si="17"/>
        <v>0</v>
      </c>
      <c r="CB19" s="70">
        <f t="shared" si="17"/>
        <v>0</v>
      </c>
      <c r="CC19" s="70">
        <f t="shared" si="17"/>
        <v>0</v>
      </c>
      <c r="CD19" s="70">
        <f t="shared" si="17"/>
        <v>0</v>
      </c>
      <c r="CE19" s="70">
        <f t="shared" si="17"/>
        <v>0</v>
      </c>
      <c r="CF19" s="70">
        <f t="shared" si="17"/>
        <v>0</v>
      </c>
      <c r="CG19" s="70">
        <f t="shared" si="17"/>
        <v>0</v>
      </c>
      <c r="CH19" s="70">
        <f t="shared" si="17"/>
        <v>0</v>
      </c>
      <c r="CI19" s="70">
        <f t="shared" si="17"/>
        <v>0</v>
      </c>
    </row>
    <row r="20" spans="1:87" x14ac:dyDescent="0.2">
      <c r="A20" s="1">
        <v>12</v>
      </c>
      <c r="B20" s="32" t="s">
        <v>300</v>
      </c>
      <c r="C20" s="32"/>
      <c r="D20" s="31">
        <f t="shared" ref="D20:P20" si="18">D18+D19</f>
        <v>1038</v>
      </c>
      <c r="E20" s="31">
        <f t="shared" si="18"/>
        <v>2500</v>
      </c>
      <c r="F20" s="31">
        <f t="shared" si="18"/>
        <v>2934</v>
      </c>
      <c r="G20" s="31">
        <f t="shared" si="18"/>
        <v>844</v>
      </c>
      <c r="H20" s="31">
        <f t="shared" si="18"/>
        <v>780</v>
      </c>
      <c r="I20" s="31">
        <f t="shared" si="18"/>
        <v>650</v>
      </c>
      <c r="J20" s="31">
        <f t="shared" si="18"/>
        <v>433</v>
      </c>
      <c r="K20" s="31">
        <f t="shared" si="18"/>
        <v>427</v>
      </c>
      <c r="L20" s="31">
        <f t="shared" si="18"/>
        <v>543</v>
      </c>
      <c r="M20" s="31">
        <f t="shared" si="18"/>
        <v>632</v>
      </c>
      <c r="N20" s="31">
        <f t="shared" si="18"/>
        <v>713</v>
      </c>
      <c r="O20" s="31">
        <f t="shared" si="18"/>
        <v>832</v>
      </c>
      <c r="P20" s="31">
        <f t="shared" si="18"/>
        <v>1038</v>
      </c>
      <c r="Q20" s="31">
        <f t="shared" ref="Q20:BK20" si="19">Q18+Q19</f>
        <v>2500</v>
      </c>
      <c r="R20" s="31">
        <f t="shared" si="19"/>
        <v>2934</v>
      </c>
      <c r="S20" s="31">
        <f t="shared" si="19"/>
        <v>844</v>
      </c>
      <c r="T20" s="31">
        <f t="shared" si="19"/>
        <v>780</v>
      </c>
      <c r="U20" s="31">
        <f t="shared" si="19"/>
        <v>650</v>
      </c>
      <c r="V20" s="31">
        <f t="shared" si="19"/>
        <v>433</v>
      </c>
      <c r="W20" s="31">
        <f t="shared" si="19"/>
        <v>427</v>
      </c>
      <c r="X20" s="31">
        <f t="shared" si="19"/>
        <v>543</v>
      </c>
      <c r="Y20" s="31">
        <f t="shared" si="19"/>
        <v>632</v>
      </c>
      <c r="Z20" s="31">
        <f t="shared" si="19"/>
        <v>713</v>
      </c>
      <c r="AA20" s="31">
        <f t="shared" si="19"/>
        <v>832</v>
      </c>
      <c r="AB20" s="31">
        <f t="shared" si="19"/>
        <v>1038</v>
      </c>
      <c r="AC20" s="31">
        <f t="shared" si="19"/>
        <v>2500</v>
      </c>
      <c r="AD20" s="31">
        <f t="shared" si="19"/>
        <v>2934</v>
      </c>
      <c r="AE20" s="31">
        <f t="shared" si="19"/>
        <v>844</v>
      </c>
      <c r="AF20" s="31">
        <f t="shared" si="19"/>
        <v>780</v>
      </c>
      <c r="AG20" s="31">
        <f t="shared" si="19"/>
        <v>650</v>
      </c>
      <c r="AH20" s="31">
        <f t="shared" si="19"/>
        <v>433</v>
      </c>
      <c r="AI20" s="31">
        <f t="shared" si="19"/>
        <v>427</v>
      </c>
      <c r="AJ20" s="31">
        <f t="shared" si="19"/>
        <v>543</v>
      </c>
      <c r="AK20" s="31">
        <f t="shared" si="19"/>
        <v>632</v>
      </c>
      <c r="AL20" s="31">
        <f t="shared" si="19"/>
        <v>713</v>
      </c>
      <c r="AM20" s="31">
        <f t="shared" si="19"/>
        <v>832</v>
      </c>
      <c r="AN20" s="31">
        <f t="shared" si="19"/>
        <v>1038</v>
      </c>
      <c r="AO20" s="31">
        <f t="shared" si="19"/>
        <v>2500</v>
      </c>
      <c r="AP20" s="31">
        <f t="shared" si="19"/>
        <v>2934</v>
      </c>
      <c r="AQ20" s="31">
        <f t="shared" si="19"/>
        <v>844</v>
      </c>
      <c r="AR20" s="31">
        <f t="shared" si="19"/>
        <v>780</v>
      </c>
      <c r="AS20" s="31">
        <f t="shared" si="19"/>
        <v>650</v>
      </c>
      <c r="AT20" s="31">
        <f t="shared" si="19"/>
        <v>433</v>
      </c>
      <c r="AU20" s="31">
        <f t="shared" si="19"/>
        <v>427</v>
      </c>
      <c r="AV20" s="31">
        <f t="shared" si="19"/>
        <v>543</v>
      </c>
      <c r="AW20" s="31">
        <f t="shared" si="19"/>
        <v>632</v>
      </c>
      <c r="AX20" s="31">
        <f t="shared" si="19"/>
        <v>713</v>
      </c>
      <c r="AY20" s="31">
        <f t="shared" si="19"/>
        <v>832</v>
      </c>
      <c r="AZ20" s="31">
        <f t="shared" si="19"/>
        <v>1038</v>
      </c>
      <c r="BA20" s="31">
        <f t="shared" si="19"/>
        <v>2500</v>
      </c>
      <c r="BB20" s="31">
        <f t="shared" si="19"/>
        <v>2934</v>
      </c>
      <c r="BC20" s="31">
        <f t="shared" si="19"/>
        <v>844</v>
      </c>
      <c r="BD20" s="31">
        <f t="shared" si="19"/>
        <v>780</v>
      </c>
      <c r="BE20" s="31">
        <f t="shared" si="19"/>
        <v>650</v>
      </c>
      <c r="BF20" s="31">
        <f t="shared" si="19"/>
        <v>433</v>
      </c>
      <c r="BG20" s="31">
        <f t="shared" si="19"/>
        <v>427</v>
      </c>
      <c r="BH20" s="31">
        <f t="shared" si="19"/>
        <v>543</v>
      </c>
      <c r="BI20" s="31">
        <f t="shared" si="19"/>
        <v>632</v>
      </c>
      <c r="BJ20" s="31">
        <f t="shared" si="19"/>
        <v>713</v>
      </c>
      <c r="BK20" s="31">
        <f t="shared" si="19"/>
        <v>832</v>
      </c>
      <c r="BL20" s="31">
        <f t="shared" ref="BL20:BW20" si="20">BL18+BL19</f>
        <v>1038</v>
      </c>
      <c r="BM20" s="31">
        <f t="shared" si="20"/>
        <v>2500</v>
      </c>
      <c r="BN20" s="31">
        <f t="shared" si="20"/>
        <v>2934</v>
      </c>
      <c r="BO20" s="31">
        <f t="shared" si="20"/>
        <v>844</v>
      </c>
      <c r="BP20" s="31">
        <f t="shared" si="20"/>
        <v>780</v>
      </c>
      <c r="BQ20" s="31">
        <f t="shared" si="20"/>
        <v>650</v>
      </c>
      <c r="BR20" s="31">
        <f t="shared" si="20"/>
        <v>433</v>
      </c>
      <c r="BS20" s="31">
        <f t="shared" si="20"/>
        <v>427</v>
      </c>
      <c r="BT20" s="31">
        <f t="shared" si="20"/>
        <v>543</v>
      </c>
      <c r="BU20" s="31">
        <f t="shared" si="20"/>
        <v>632</v>
      </c>
      <c r="BV20" s="31">
        <f t="shared" si="20"/>
        <v>713</v>
      </c>
      <c r="BW20" s="31">
        <f t="shared" si="20"/>
        <v>832</v>
      </c>
      <c r="BX20" s="31">
        <f t="shared" ref="BX20:CI20" si="21">BX18+BX19</f>
        <v>1038</v>
      </c>
      <c r="BY20" s="31">
        <f t="shared" si="21"/>
        <v>2500</v>
      </c>
      <c r="BZ20" s="31">
        <f t="shared" si="21"/>
        <v>2934</v>
      </c>
      <c r="CA20" s="31">
        <f t="shared" si="21"/>
        <v>844</v>
      </c>
      <c r="CB20" s="31">
        <f t="shared" si="21"/>
        <v>780</v>
      </c>
      <c r="CC20" s="31">
        <f t="shared" si="21"/>
        <v>650</v>
      </c>
      <c r="CD20" s="31">
        <f t="shared" si="21"/>
        <v>433</v>
      </c>
      <c r="CE20" s="31">
        <f t="shared" si="21"/>
        <v>427</v>
      </c>
      <c r="CF20" s="31">
        <f t="shared" si="21"/>
        <v>543</v>
      </c>
      <c r="CG20" s="31">
        <f t="shared" si="21"/>
        <v>632</v>
      </c>
      <c r="CH20" s="31">
        <f t="shared" si="21"/>
        <v>713</v>
      </c>
      <c r="CI20" s="31">
        <f t="shared" si="21"/>
        <v>832</v>
      </c>
    </row>
    <row r="21" spans="1:87" x14ac:dyDescent="0.2">
      <c r="A21" s="1">
        <v>13</v>
      </c>
      <c r="B21" s="32" t="s">
        <v>301</v>
      </c>
      <c r="C21" s="32"/>
      <c r="D21" s="97">
        <f t="shared" ref="D21:O21" si="22">$C$18*D18+$C$19*D19</f>
        <v>23874</v>
      </c>
      <c r="E21" s="97">
        <f t="shared" si="22"/>
        <v>57500</v>
      </c>
      <c r="F21" s="97">
        <f t="shared" si="22"/>
        <v>67482</v>
      </c>
      <c r="G21" s="97">
        <f t="shared" si="22"/>
        <v>19412</v>
      </c>
      <c r="H21" s="97">
        <f t="shared" si="22"/>
        <v>17940</v>
      </c>
      <c r="I21" s="97">
        <f t="shared" si="22"/>
        <v>14950</v>
      </c>
      <c r="J21" s="97">
        <f t="shared" si="22"/>
        <v>9959</v>
      </c>
      <c r="K21" s="97">
        <f t="shared" si="22"/>
        <v>9821</v>
      </c>
      <c r="L21" s="97">
        <f t="shared" si="22"/>
        <v>12489</v>
      </c>
      <c r="M21" s="97">
        <f t="shared" si="22"/>
        <v>14536</v>
      </c>
      <c r="N21" s="97">
        <f t="shared" si="22"/>
        <v>16399</v>
      </c>
      <c r="O21" s="97">
        <f t="shared" si="22"/>
        <v>19136</v>
      </c>
      <c r="P21" s="97">
        <f t="shared" ref="P21:BK21" si="23">$C$18*P18+$C$19*P19</f>
        <v>23874</v>
      </c>
      <c r="Q21" s="97">
        <f t="shared" si="23"/>
        <v>57500</v>
      </c>
      <c r="R21" s="97">
        <f t="shared" si="23"/>
        <v>67482</v>
      </c>
      <c r="S21" s="97">
        <f t="shared" si="23"/>
        <v>19412</v>
      </c>
      <c r="T21" s="97">
        <f t="shared" si="23"/>
        <v>17940</v>
      </c>
      <c r="U21" s="97">
        <f t="shared" si="23"/>
        <v>14950</v>
      </c>
      <c r="V21" s="97">
        <f t="shared" si="23"/>
        <v>9959</v>
      </c>
      <c r="W21" s="97">
        <f t="shared" si="23"/>
        <v>9821</v>
      </c>
      <c r="X21" s="97">
        <f t="shared" si="23"/>
        <v>12489</v>
      </c>
      <c r="Y21" s="97">
        <f t="shared" si="23"/>
        <v>14536</v>
      </c>
      <c r="Z21" s="97">
        <f t="shared" si="23"/>
        <v>16399</v>
      </c>
      <c r="AA21" s="97">
        <f t="shared" si="23"/>
        <v>19136</v>
      </c>
      <c r="AB21" s="97">
        <f t="shared" si="23"/>
        <v>23874</v>
      </c>
      <c r="AC21" s="97">
        <f t="shared" si="23"/>
        <v>57500</v>
      </c>
      <c r="AD21" s="97">
        <f t="shared" si="23"/>
        <v>67482</v>
      </c>
      <c r="AE21" s="97">
        <f t="shared" si="23"/>
        <v>19412</v>
      </c>
      <c r="AF21" s="97">
        <f t="shared" si="23"/>
        <v>17940</v>
      </c>
      <c r="AG21" s="97">
        <f t="shared" si="23"/>
        <v>14950</v>
      </c>
      <c r="AH21" s="97">
        <f t="shared" si="23"/>
        <v>9959</v>
      </c>
      <c r="AI21" s="97">
        <f t="shared" si="23"/>
        <v>9821</v>
      </c>
      <c r="AJ21" s="97">
        <f t="shared" si="23"/>
        <v>12489</v>
      </c>
      <c r="AK21" s="97">
        <f t="shared" si="23"/>
        <v>14536</v>
      </c>
      <c r="AL21" s="97">
        <f t="shared" si="23"/>
        <v>16399</v>
      </c>
      <c r="AM21" s="97">
        <f t="shared" si="23"/>
        <v>19136</v>
      </c>
      <c r="AN21" s="97">
        <f t="shared" si="23"/>
        <v>23874</v>
      </c>
      <c r="AO21" s="97">
        <f t="shared" si="23"/>
        <v>57500</v>
      </c>
      <c r="AP21" s="97">
        <f t="shared" si="23"/>
        <v>67482</v>
      </c>
      <c r="AQ21" s="97">
        <f t="shared" si="23"/>
        <v>19412</v>
      </c>
      <c r="AR21" s="97">
        <f t="shared" si="23"/>
        <v>17940</v>
      </c>
      <c r="AS21" s="97">
        <f t="shared" si="23"/>
        <v>14950</v>
      </c>
      <c r="AT21" s="97">
        <f t="shared" si="23"/>
        <v>9959</v>
      </c>
      <c r="AU21" s="97">
        <f t="shared" si="23"/>
        <v>9821</v>
      </c>
      <c r="AV21" s="97">
        <f t="shared" si="23"/>
        <v>12489</v>
      </c>
      <c r="AW21" s="97">
        <f t="shared" si="23"/>
        <v>14536</v>
      </c>
      <c r="AX21" s="97">
        <f t="shared" si="23"/>
        <v>16399</v>
      </c>
      <c r="AY21" s="97">
        <f t="shared" si="23"/>
        <v>19136</v>
      </c>
      <c r="AZ21" s="97">
        <f t="shared" si="23"/>
        <v>23874</v>
      </c>
      <c r="BA21" s="97">
        <f t="shared" si="23"/>
        <v>57500</v>
      </c>
      <c r="BB21" s="97">
        <f t="shared" si="23"/>
        <v>67482</v>
      </c>
      <c r="BC21" s="97">
        <f t="shared" si="23"/>
        <v>19412</v>
      </c>
      <c r="BD21" s="97">
        <f t="shared" si="23"/>
        <v>17940</v>
      </c>
      <c r="BE21" s="97">
        <f t="shared" si="23"/>
        <v>14950</v>
      </c>
      <c r="BF21" s="97">
        <f t="shared" si="23"/>
        <v>9959</v>
      </c>
      <c r="BG21" s="97">
        <f t="shared" si="23"/>
        <v>9821</v>
      </c>
      <c r="BH21" s="97">
        <f t="shared" si="23"/>
        <v>12489</v>
      </c>
      <c r="BI21" s="97">
        <f t="shared" si="23"/>
        <v>14536</v>
      </c>
      <c r="BJ21" s="97">
        <f t="shared" si="23"/>
        <v>16399</v>
      </c>
      <c r="BK21" s="97">
        <f t="shared" si="23"/>
        <v>19136</v>
      </c>
      <c r="BL21" s="97">
        <f t="shared" ref="BL21:BW21" si="24">$C$18*BL18+$C$19*BL19</f>
        <v>23874</v>
      </c>
      <c r="BM21" s="97">
        <f t="shared" si="24"/>
        <v>57500</v>
      </c>
      <c r="BN21" s="97">
        <f t="shared" si="24"/>
        <v>67482</v>
      </c>
      <c r="BO21" s="97">
        <f t="shared" si="24"/>
        <v>19412</v>
      </c>
      <c r="BP21" s="97">
        <f t="shared" si="24"/>
        <v>17940</v>
      </c>
      <c r="BQ21" s="97">
        <f t="shared" si="24"/>
        <v>14950</v>
      </c>
      <c r="BR21" s="97">
        <f t="shared" si="24"/>
        <v>9959</v>
      </c>
      <c r="BS21" s="97">
        <f t="shared" si="24"/>
        <v>9821</v>
      </c>
      <c r="BT21" s="97">
        <f t="shared" si="24"/>
        <v>12489</v>
      </c>
      <c r="BU21" s="97">
        <f t="shared" si="24"/>
        <v>14536</v>
      </c>
      <c r="BV21" s="97">
        <f t="shared" si="24"/>
        <v>16399</v>
      </c>
      <c r="BW21" s="97">
        <f t="shared" si="24"/>
        <v>19136</v>
      </c>
      <c r="BX21" s="97">
        <f t="shared" ref="BX21:CI21" si="25">$C$18*BX18+$C$19*BX19</f>
        <v>23874</v>
      </c>
      <c r="BY21" s="97">
        <f t="shared" si="25"/>
        <v>57500</v>
      </c>
      <c r="BZ21" s="97">
        <f t="shared" si="25"/>
        <v>67482</v>
      </c>
      <c r="CA21" s="97">
        <f t="shared" si="25"/>
        <v>19412</v>
      </c>
      <c r="CB21" s="97">
        <f t="shared" si="25"/>
        <v>17940</v>
      </c>
      <c r="CC21" s="97">
        <f t="shared" si="25"/>
        <v>14950</v>
      </c>
      <c r="CD21" s="97">
        <f t="shared" si="25"/>
        <v>9959</v>
      </c>
      <c r="CE21" s="97">
        <f t="shared" si="25"/>
        <v>9821</v>
      </c>
      <c r="CF21" s="97">
        <f t="shared" si="25"/>
        <v>12489</v>
      </c>
      <c r="CG21" s="97">
        <f t="shared" si="25"/>
        <v>14536</v>
      </c>
      <c r="CH21" s="97">
        <f t="shared" si="25"/>
        <v>16399</v>
      </c>
      <c r="CI21" s="97">
        <f t="shared" si="25"/>
        <v>19136</v>
      </c>
    </row>
    <row r="22" spans="1:87" x14ac:dyDescent="0.2">
      <c r="A22" s="1">
        <v>14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87" x14ac:dyDescent="0.2">
      <c r="A23" s="1">
        <v>15</v>
      </c>
      <c r="B23" s="168" t="s">
        <v>232</v>
      </c>
      <c r="C23" s="16"/>
      <c r="D23" s="1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</row>
    <row r="24" spans="1:87" x14ac:dyDescent="0.2">
      <c r="A24" s="1">
        <v>16</v>
      </c>
      <c r="B24" s="1" t="s">
        <v>295</v>
      </c>
      <c r="C24" s="11">
        <f>'Rate Design'!L14</f>
        <v>12</v>
      </c>
      <c r="D24" s="70">
        <f>[8]SAP!AJ43</f>
        <v>1268</v>
      </c>
      <c r="E24" s="70">
        <f>[8]SAP!AK43</f>
        <v>1715</v>
      </c>
      <c r="F24" s="70">
        <f>[8]SAP!AL43</f>
        <v>1604</v>
      </c>
      <c r="G24" s="70">
        <f>[8]SAP!AM43</f>
        <v>1704</v>
      </c>
      <c r="H24" s="70">
        <f>[8]SAP!AN43</f>
        <v>1679</v>
      </c>
      <c r="I24" s="70">
        <f>[8]SAP!AO43</f>
        <v>1772</v>
      </c>
      <c r="J24" s="70">
        <f>[8]SAP!AP43</f>
        <v>1688</v>
      </c>
      <c r="K24" s="70">
        <f>[8]SAP!AQ43</f>
        <v>1241</v>
      </c>
      <c r="L24" s="70">
        <f>[8]SAP!AR43</f>
        <v>1277</v>
      </c>
      <c r="M24" s="70">
        <f>[8]SAP!AS43</f>
        <v>1346</v>
      </c>
      <c r="N24" s="70">
        <f>[8]SAP!AT43</f>
        <v>1556</v>
      </c>
      <c r="O24" s="70">
        <f>[8]SAP!AU43</f>
        <v>1395</v>
      </c>
      <c r="P24" s="70">
        <f>D24</f>
        <v>1268</v>
      </c>
      <c r="Q24" s="70">
        <f t="shared" ref="Q24:BK25" si="26">E24</f>
        <v>1715</v>
      </c>
      <c r="R24" s="70">
        <f t="shared" si="26"/>
        <v>1604</v>
      </c>
      <c r="S24" s="70">
        <f t="shared" si="26"/>
        <v>1704</v>
      </c>
      <c r="T24" s="70">
        <f t="shared" si="26"/>
        <v>1679</v>
      </c>
      <c r="U24" s="70">
        <f t="shared" si="26"/>
        <v>1772</v>
      </c>
      <c r="V24" s="70">
        <f t="shared" si="26"/>
        <v>1688</v>
      </c>
      <c r="W24" s="70">
        <f t="shared" si="26"/>
        <v>1241</v>
      </c>
      <c r="X24" s="70">
        <f t="shared" si="26"/>
        <v>1277</v>
      </c>
      <c r="Y24" s="70">
        <f t="shared" si="26"/>
        <v>1346</v>
      </c>
      <c r="Z24" s="70">
        <f t="shared" si="26"/>
        <v>1556</v>
      </c>
      <c r="AA24" s="70">
        <f t="shared" si="26"/>
        <v>1395</v>
      </c>
      <c r="AB24" s="70">
        <f t="shared" si="26"/>
        <v>1268</v>
      </c>
      <c r="AC24" s="70">
        <f t="shared" si="26"/>
        <v>1715</v>
      </c>
      <c r="AD24" s="70">
        <f t="shared" si="26"/>
        <v>1604</v>
      </c>
      <c r="AE24" s="70">
        <f t="shared" si="26"/>
        <v>1704</v>
      </c>
      <c r="AF24" s="70">
        <f t="shared" si="26"/>
        <v>1679</v>
      </c>
      <c r="AG24" s="70">
        <f t="shared" si="26"/>
        <v>1772</v>
      </c>
      <c r="AH24" s="70">
        <f t="shared" si="26"/>
        <v>1688</v>
      </c>
      <c r="AI24" s="70">
        <f t="shared" si="26"/>
        <v>1241</v>
      </c>
      <c r="AJ24" s="70">
        <f t="shared" si="26"/>
        <v>1277</v>
      </c>
      <c r="AK24" s="70">
        <f t="shared" si="26"/>
        <v>1346</v>
      </c>
      <c r="AL24" s="70">
        <f t="shared" si="26"/>
        <v>1556</v>
      </c>
      <c r="AM24" s="70">
        <f t="shared" si="26"/>
        <v>1395</v>
      </c>
      <c r="AN24" s="70">
        <f t="shared" si="26"/>
        <v>1268</v>
      </c>
      <c r="AO24" s="70">
        <f t="shared" si="26"/>
        <v>1715</v>
      </c>
      <c r="AP24" s="70">
        <f t="shared" si="26"/>
        <v>1604</v>
      </c>
      <c r="AQ24" s="70">
        <f t="shared" si="26"/>
        <v>1704</v>
      </c>
      <c r="AR24" s="70">
        <f t="shared" si="26"/>
        <v>1679</v>
      </c>
      <c r="AS24" s="70">
        <f t="shared" si="26"/>
        <v>1772</v>
      </c>
      <c r="AT24" s="70">
        <f t="shared" si="26"/>
        <v>1688</v>
      </c>
      <c r="AU24" s="70">
        <f t="shared" si="26"/>
        <v>1241</v>
      </c>
      <c r="AV24" s="70">
        <f t="shared" si="26"/>
        <v>1277</v>
      </c>
      <c r="AW24" s="70">
        <f t="shared" si="26"/>
        <v>1346</v>
      </c>
      <c r="AX24" s="70">
        <f t="shared" si="26"/>
        <v>1556</v>
      </c>
      <c r="AY24" s="70">
        <f t="shared" si="26"/>
        <v>1395</v>
      </c>
      <c r="AZ24" s="70">
        <f t="shared" si="26"/>
        <v>1268</v>
      </c>
      <c r="BA24" s="70">
        <f t="shared" si="26"/>
        <v>1715</v>
      </c>
      <c r="BB24" s="70">
        <f t="shared" si="26"/>
        <v>1604</v>
      </c>
      <c r="BC24" s="70">
        <f t="shared" si="26"/>
        <v>1704</v>
      </c>
      <c r="BD24" s="70">
        <f t="shared" si="26"/>
        <v>1679</v>
      </c>
      <c r="BE24" s="70">
        <f t="shared" si="26"/>
        <v>1772</v>
      </c>
      <c r="BF24" s="70">
        <f t="shared" si="26"/>
        <v>1688</v>
      </c>
      <c r="BG24" s="70">
        <f t="shared" si="26"/>
        <v>1241</v>
      </c>
      <c r="BH24" s="70">
        <f t="shared" si="26"/>
        <v>1277</v>
      </c>
      <c r="BI24" s="70">
        <f t="shared" si="26"/>
        <v>1346</v>
      </c>
      <c r="BJ24" s="70">
        <f t="shared" si="26"/>
        <v>1556</v>
      </c>
      <c r="BK24" s="70">
        <f t="shared" si="26"/>
        <v>1395</v>
      </c>
      <c r="BL24" s="70">
        <f t="shared" ref="BL24:BW25" si="27">AZ24</f>
        <v>1268</v>
      </c>
      <c r="BM24" s="70">
        <f t="shared" si="27"/>
        <v>1715</v>
      </c>
      <c r="BN24" s="70">
        <f t="shared" si="27"/>
        <v>1604</v>
      </c>
      <c r="BO24" s="70">
        <f t="shared" si="27"/>
        <v>1704</v>
      </c>
      <c r="BP24" s="70">
        <f t="shared" si="27"/>
        <v>1679</v>
      </c>
      <c r="BQ24" s="70">
        <f t="shared" si="27"/>
        <v>1772</v>
      </c>
      <c r="BR24" s="70">
        <f t="shared" si="27"/>
        <v>1688</v>
      </c>
      <c r="BS24" s="70">
        <f t="shared" si="27"/>
        <v>1241</v>
      </c>
      <c r="BT24" s="70">
        <f t="shared" si="27"/>
        <v>1277</v>
      </c>
      <c r="BU24" s="70">
        <f t="shared" si="27"/>
        <v>1346</v>
      </c>
      <c r="BV24" s="70">
        <f t="shared" si="27"/>
        <v>1556</v>
      </c>
      <c r="BW24" s="70">
        <f t="shared" si="27"/>
        <v>1395</v>
      </c>
      <c r="BX24" s="70">
        <f t="shared" ref="BX24:CI25" si="28">BL24</f>
        <v>1268</v>
      </c>
      <c r="BY24" s="70">
        <f t="shared" si="28"/>
        <v>1715</v>
      </c>
      <c r="BZ24" s="70">
        <f t="shared" si="28"/>
        <v>1604</v>
      </c>
      <c r="CA24" s="70">
        <f t="shared" si="28"/>
        <v>1704</v>
      </c>
      <c r="CB24" s="70">
        <f t="shared" si="28"/>
        <v>1679</v>
      </c>
      <c r="CC24" s="70">
        <f t="shared" si="28"/>
        <v>1772</v>
      </c>
      <c r="CD24" s="70">
        <f t="shared" si="28"/>
        <v>1688</v>
      </c>
      <c r="CE24" s="70">
        <f t="shared" si="28"/>
        <v>1241</v>
      </c>
      <c r="CF24" s="70">
        <f t="shared" si="28"/>
        <v>1277</v>
      </c>
      <c r="CG24" s="70">
        <f t="shared" si="28"/>
        <v>1346</v>
      </c>
      <c r="CH24" s="70">
        <f t="shared" si="28"/>
        <v>1556</v>
      </c>
      <c r="CI24" s="70">
        <f t="shared" si="28"/>
        <v>1395</v>
      </c>
    </row>
    <row r="25" spans="1:87" x14ac:dyDescent="0.2">
      <c r="A25" s="1">
        <v>17</v>
      </c>
      <c r="B25" s="1" t="s">
        <v>296</v>
      </c>
      <c r="C25" s="11">
        <f>'Rate Design'!M14</f>
        <v>14</v>
      </c>
      <c r="D25" s="70">
        <f>[8]SAP!AJ44</f>
        <v>0</v>
      </c>
      <c r="E25" s="70">
        <f>[8]SAP!AK44</f>
        <v>0</v>
      </c>
      <c r="F25" s="70">
        <f>[8]SAP!AL44</f>
        <v>0</v>
      </c>
      <c r="G25" s="70">
        <f>[8]SAP!AM44</f>
        <v>0</v>
      </c>
      <c r="H25" s="70">
        <f>[8]SAP!AN44</f>
        <v>0</v>
      </c>
      <c r="I25" s="70">
        <f>[8]SAP!AO44</f>
        <v>0</v>
      </c>
      <c r="J25" s="70">
        <f>[8]SAP!AP44</f>
        <v>0</v>
      </c>
      <c r="K25" s="70">
        <f>[8]SAP!AQ44</f>
        <v>0</v>
      </c>
      <c r="L25" s="70">
        <f>[8]SAP!AR44</f>
        <v>0</v>
      </c>
      <c r="M25" s="70">
        <f>[8]SAP!AS44</f>
        <v>0</v>
      </c>
      <c r="N25" s="70">
        <f>[8]SAP!AT44</f>
        <v>0</v>
      </c>
      <c r="O25" s="70">
        <f>[8]SAP!AU44</f>
        <v>0</v>
      </c>
      <c r="P25" s="70">
        <f>D25</f>
        <v>0</v>
      </c>
      <c r="Q25" s="70">
        <f t="shared" si="26"/>
        <v>0</v>
      </c>
      <c r="R25" s="70">
        <f t="shared" si="26"/>
        <v>0</v>
      </c>
      <c r="S25" s="70">
        <f t="shared" si="26"/>
        <v>0</v>
      </c>
      <c r="T25" s="70">
        <f t="shared" si="26"/>
        <v>0</v>
      </c>
      <c r="U25" s="70">
        <f t="shared" si="26"/>
        <v>0</v>
      </c>
      <c r="V25" s="70">
        <f t="shared" si="26"/>
        <v>0</v>
      </c>
      <c r="W25" s="70">
        <f t="shared" si="26"/>
        <v>0</v>
      </c>
      <c r="X25" s="70">
        <f t="shared" si="26"/>
        <v>0</v>
      </c>
      <c r="Y25" s="70">
        <f t="shared" si="26"/>
        <v>0</v>
      </c>
      <c r="Z25" s="70">
        <f t="shared" si="26"/>
        <v>0</v>
      </c>
      <c r="AA25" s="70">
        <f t="shared" si="26"/>
        <v>0</v>
      </c>
      <c r="AB25" s="70">
        <f t="shared" si="26"/>
        <v>0</v>
      </c>
      <c r="AC25" s="70">
        <f t="shared" si="26"/>
        <v>0</v>
      </c>
      <c r="AD25" s="70">
        <f t="shared" si="26"/>
        <v>0</v>
      </c>
      <c r="AE25" s="70">
        <f t="shared" si="26"/>
        <v>0</v>
      </c>
      <c r="AF25" s="70">
        <f t="shared" si="26"/>
        <v>0</v>
      </c>
      <c r="AG25" s="70">
        <f t="shared" si="26"/>
        <v>0</v>
      </c>
      <c r="AH25" s="70">
        <f t="shared" si="26"/>
        <v>0</v>
      </c>
      <c r="AI25" s="70">
        <f t="shared" si="26"/>
        <v>0</v>
      </c>
      <c r="AJ25" s="70">
        <f t="shared" si="26"/>
        <v>0</v>
      </c>
      <c r="AK25" s="70">
        <f t="shared" si="26"/>
        <v>0</v>
      </c>
      <c r="AL25" s="70">
        <f t="shared" si="26"/>
        <v>0</v>
      </c>
      <c r="AM25" s="70">
        <f t="shared" si="26"/>
        <v>0</v>
      </c>
      <c r="AN25" s="70">
        <f t="shared" si="26"/>
        <v>0</v>
      </c>
      <c r="AO25" s="70">
        <f t="shared" si="26"/>
        <v>0</v>
      </c>
      <c r="AP25" s="70">
        <f t="shared" si="26"/>
        <v>0</v>
      </c>
      <c r="AQ25" s="70">
        <f t="shared" si="26"/>
        <v>0</v>
      </c>
      <c r="AR25" s="70">
        <f t="shared" si="26"/>
        <v>0</v>
      </c>
      <c r="AS25" s="70">
        <f t="shared" si="26"/>
        <v>0</v>
      </c>
      <c r="AT25" s="70">
        <f t="shared" si="26"/>
        <v>0</v>
      </c>
      <c r="AU25" s="70">
        <f t="shared" si="26"/>
        <v>0</v>
      </c>
      <c r="AV25" s="70">
        <f t="shared" si="26"/>
        <v>0</v>
      </c>
      <c r="AW25" s="70">
        <f t="shared" si="26"/>
        <v>0</v>
      </c>
      <c r="AX25" s="70">
        <f t="shared" si="26"/>
        <v>0</v>
      </c>
      <c r="AY25" s="70">
        <f t="shared" si="26"/>
        <v>0</v>
      </c>
      <c r="AZ25" s="70">
        <f t="shared" si="26"/>
        <v>0</v>
      </c>
      <c r="BA25" s="70">
        <f t="shared" si="26"/>
        <v>0</v>
      </c>
      <c r="BB25" s="70">
        <f t="shared" si="26"/>
        <v>0</v>
      </c>
      <c r="BC25" s="70">
        <f t="shared" si="26"/>
        <v>0</v>
      </c>
      <c r="BD25" s="70">
        <f t="shared" si="26"/>
        <v>0</v>
      </c>
      <c r="BE25" s="70">
        <f t="shared" si="26"/>
        <v>0</v>
      </c>
      <c r="BF25" s="70">
        <f t="shared" si="26"/>
        <v>0</v>
      </c>
      <c r="BG25" s="70">
        <f t="shared" si="26"/>
        <v>0</v>
      </c>
      <c r="BH25" s="70">
        <f t="shared" si="26"/>
        <v>0</v>
      </c>
      <c r="BI25" s="70">
        <f t="shared" si="26"/>
        <v>0</v>
      </c>
      <c r="BJ25" s="70">
        <f t="shared" si="26"/>
        <v>0</v>
      </c>
      <c r="BK25" s="70">
        <f t="shared" si="26"/>
        <v>0</v>
      </c>
      <c r="BL25" s="70">
        <f t="shared" si="27"/>
        <v>0</v>
      </c>
      <c r="BM25" s="70">
        <f t="shared" si="27"/>
        <v>0</v>
      </c>
      <c r="BN25" s="70">
        <f t="shared" si="27"/>
        <v>0</v>
      </c>
      <c r="BO25" s="70">
        <f t="shared" si="27"/>
        <v>0</v>
      </c>
      <c r="BP25" s="70">
        <f t="shared" si="27"/>
        <v>0</v>
      </c>
      <c r="BQ25" s="70">
        <f t="shared" si="27"/>
        <v>0</v>
      </c>
      <c r="BR25" s="70">
        <f t="shared" si="27"/>
        <v>0</v>
      </c>
      <c r="BS25" s="70">
        <f t="shared" si="27"/>
        <v>0</v>
      </c>
      <c r="BT25" s="70">
        <f t="shared" si="27"/>
        <v>0</v>
      </c>
      <c r="BU25" s="70">
        <f t="shared" si="27"/>
        <v>0</v>
      </c>
      <c r="BV25" s="70">
        <f t="shared" si="27"/>
        <v>0</v>
      </c>
      <c r="BW25" s="70">
        <f t="shared" si="27"/>
        <v>0</v>
      </c>
      <c r="BX25" s="70">
        <f t="shared" si="28"/>
        <v>0</v>
      </c>
      <c r="BY25" s="70">
        <f t="shared" si="28"/>
        <v>0</v>
      </c>
      <c r="BZ25" s="70">
        <f t="shared" si="28"/>
        <v>0</v>
      </c>
      <c r="CA25" s="70">
        <f t="shared" si="28"/>
        <v>0</v>
      </c>
      <c r="CB25" s="70">
        <f t="shared" si="28"/>
        <v>0</v>
      </c>
      <c r="CC25" s="70">
        <f t="shared" si="28"/>
        <v>0</v>
      </c>
      <c r="CD25" s="70">
        <f t="shared" si="28"/>
        <v>0</v>
      </c>
      <c r="CE25" s="70">
        <f t="shared" si="28"/>
        <v>0</v>
      </c>
      <c r="CF25" s="70">
        <f t="shared" si="28"/>
        <v>0</v>
      </c>
      <c r="CG25" s="70">
        <f t="shared" si="28"/>
        <v>0</v>
      </c>
      <c r="CH25" s="70">
        <f t="shared" si="28"/>
        <v>0</v>
      </c>
      <c r="CI25" s="70">
        <f t="shared" si="28"/>
        <v>0</v>
      </c>
    </row>
    <row r="26" spans="1:87" x14ac:dyDescent="0.2">
      <c r="A26" s="1">
        <v>18</v>
      </c>
      <c r="B26" s="32" t="s">
        <v>300</v>
      </c>
      <c r="C26" s="32"/>
      <c r="D26" s="31">
        <f t="shared" ref="D26:P26" si="29">D24+D25</f>
        <v>1268</v>
      </c>
      <c r="E26" s="31">
        <f t="shared" si="29"/>
        <v>1715</v>
      </c>
      <c r="F26" s="31">
        <f t="shared" si="29"/>
        <v>1604</v>
      </c>
      <c r="G26" s="31">
        <f t="shared" si="29"/>
        <v>1704</v>
      </c>
      <c r="H26" s="31">
        <f t="shared" si="29"/>
        <v>1679</v>
      </c>
      <c r="I26" s="31">
        <f t="shared" si="29"/>
        <v>1772</v>
      </c>
      <c r="J26" s="31">
        <f t="shared" si="29"/>
        <v>1688</v>
      </c>
      <c r="K26" s="31">
        <f t="shared" si="29"/>
        <v>1241</v>
      </c>
      <c r="L26" s="31">
        <f t="shared" si="29"/>
        <v>1277</v>
      </c>
      <c r="M26" s="31">
        <f t="shared" si="29"/>
        <v>1346</v>
      </c>
      <c r="N26" s="31">
        <f t="shared" si="29"/>
        <v>1556</v>
      </c>
      <c r="O26" s="31">
        <f t="shared" si="29"/>
        <v>1395</v>
      </c>
      <c r="P26" s="31">
        <f t="shared" si="29"/>
        <v>1268</v>
      </c>
      <c r="Q26" s="31">
        <f t="shared" ref="Q26:BK26" si="30">Q24+Q25</f>
        <v>1715</v>
      </c>
      <c r="R26" s="31">
        <f t="shared" si="30"/>
        <v>1604</v>
      </c>
      <c r="S26" s="31">
        <f t="shared" si="30"/>
        <v>1704</v>
      </c>
      <c r="T26" s="31">
        <f t="shared" si="30"/>
        <v>1679</v>
      </c>
      <c r="U26" s="31">
        <f t="shared" si="30"/>
        <v>1772</v>
      </c>
      <c r="V26" s="31">
        <f t="shared" si="30"/>
        <v>1688</v>
      </c>
      <c r="W26" s="31">
        <f t="shared" si="30"/>
        <v>1241</v>
      </c>
      <c r="X26" s="31">
        <f t="shared" si="30"/>
        <v>1277</v>
      </c>
      <c r="Y26" s="31">
        <f t="shared" si="30"/>
        <v>1346</v>
      </c>
      <c r="Z26" s="31">
        <f t="shared" si="30"/>
        <v>1556</v>
      </c>
      <c r="AA26" s="31">
        <f t="shared" si="30"/>
        <v>1395</v>
      </c>
      <c r="AB26" s="31">
        <f t="shared" si="30"/>
        <v>1268</v>
      </c>
      <c r="AC26" s="31">
        <f t="shared" si="30"/>
        <v>1715</v>
      </c>
      <c r="AD26" s="31">
        <f t="shared" si="30"/>
        <v>1604</v>
      </c>
      <c r="AE26" s="31">
        <f t="shared" si="30"/>
        <v>1704</v>
      </c>
      <c r="AF26" s="31">
        <f t="shared" si="30"/>
        <v>1679</v>
      </c>
      <c r="AG26" s="31">
        <f t="shared" si="30"/>
        <v>1772</v>
      </c>
      <c r="AH26" s="31">
        <f t="shared" si="30"/>
        <v>1688</v>
      </c>
      <c r="AI26" s="31">
        <f t="shared" si="30"/>
        <v>1241</v>
      </c>
      <c r="AJ26" s="31">
        <f t="shared" si="30"/>
        <v>1277</v>
      </c>
      <c r="AK26" s="31">
        <f t="shared" si="30"/>
        <v>1346</v>
      </c>
      <c r="AL26" s="31">
        <f t="shared" si="30"/>
        <v>1556</v>
      </c>
      <c r="AM26" s="31">
        <f t="shared" si="30"/>
        <v>1395</v>
      </c>
      <c r="AN26" s="31">
        <f t="shared" si="30"/>
        <v>1268</v>
      </c>
      <c r="AO26" s="31">
        <f t="shared" si="30"/>
        <v>1715</v>
      </c>
      <c r="AP26" s="31">
        <f t="shared" si="30"/>
        <v>1604</v>
      </c>
      <c r="AQ26" s="31">
        <f t="shared" si="30"/>
        <v>1704</v>
      </c>
      <c r="AR26" s="31">
        <f t="shared" si="30"/>
        <v>1679</v>
      </c>
      <c r="AS26" s="31">
        <f t="shared" si="30"/>
        <v>1772</v>
      </c>
      <c r="AT26" s="31">
        <f t="shared" si="30"/>
        <v>1688</v>
      </c>
      <c r="AU26" s="31">
        <f t="shared" si="30"/>
        <v>1241</v>
      </c>
      <c r="AV26" s="31">
        <f t="shared" si="30"/>
        <v>1277</v>
      </c>
      <c r="AW26" s="31">
        <f t="shared" si="30"/>
        <v>1346</v>
      </c>
      <c r="AX26" s="31">
        <f t="shared" si="30"/>
        <v>1556</v>
      </c>
      <c r="AY26" s="31">
        <f t="shared" si="30"/>
        <v>1395</v>
      </c>
      <c r="AZ26" s="31">
        <f t="shared" si="30"/>
        <v>1268</v>
      </c>
      <c r="BA26" s="31">
        <f t="shared" si="30"/>
        <v>1715</v>
      </c>
      <c r="BB26" s="31">
        <f t="shared" si="30"/>
        <v>1604</v>
      </c>
      <c r="BC26" s="31">
        <f t="shared" si="30"/>
        <v>1704</v>
      </c>
      <c r="BD26" s="31">
        <f t="shared" si="30"/>
        <v>1679</v>
      </c>
      <c r="BE26" s="31">
        <f t="shared" si="30"/>
        <v>1772</v>
      </c>
      <c r="BF26" s="31">
        <f t="shared" si="30"/>
        <v>1688</v>
      </c>
      <c r="BG26" s="31">
        <f t="shared" si="30"/>
        <v>1241</v>
      </c>
      <c r="BH26" s="31">
        <f t="shared" si="30"/>
        <v>1277</v>
      </c>
      <c r="BI26" s="31">
        <f t="shared" si="30"/>
        <v>1346</v>
      </c>
      <c r="BJ26" s="31">
        <f t="shared" si="30"/>
        <v>1556</v>
      </c>
      <c r="BK26" s="31">
        <f t="shared" si="30"/>
        <v>1395</v>
      </c>
      <c r="BL26" s="31">
        <f t="shared" ref="BL26:BW26" si="31">BL24+BL25</f>
        <v>1268</v>
      </c>
      <c r="BM26" s="31">
        <f t="shared" si="31"/>
        <v>1715</v>
      </c>
      <c r="BN26" s="31">
        <f t="shared" si="31"/>
        <v>1604</v>
      </c>
      <c r="BO26" s="31">
        <f t="shared" si="31"/>
        <v>1704</v>
      </c>
      <c r="BP26" s="31">
        <f t="shared" si="31"/>
        <v>1679</v>
      </c>
      <c r="BQ26" s="31">
        <f t="shared" si="31"/>
        <v>1772</v>
      </c>
      <c r="BR26" s="31">
        <f t="shared" si="31"/>
        <v>1688</v>
      </c>
      <c r="BS26" s="31">
        <f t="shared" si="31"/>
        <v>1241</v>
      </c>
      <c r="BT26" s="31">
        <f t="shared" si="31"/>
        <v>1277</v>
      </c>
      <c r="BU26" s="31">
        <f t="shared" si="31"/>
        <v>1346</v>
      </c>
      <c r="BV26" s="31">
        <f t="shared" si="31"/>
        <v>1556</v>
      </c>
      <c r="BW26" s="31">
        <f t="shared" si="31"/>
        <v>1395</v>
      </c>
      <c r="BX26" s="31">
        <f t="shared" ref="BX26:CI26" si="32">BX24+BX25</f>
        <v>1268</v>
      </c>
      <c r="BY26" s="31">
        <f t="shared" si="32"/>
        <v>1715</v>
      </c>
      <c r="BZ26" s="31">
        <f t="shared" si="32"/>
        <v>1604</v>
      </c>
      <c r="CA26" s="31">
        <f t="shared" si="32"/>
        <v>1704</v>
      </c>
      <c r="CB26" s="31">
        <f t="shared" si="32"/>
        <v>1679</v>
      </c>
      <c r="CC26" s="31">
        <f t="shared" si="32"/>
        <v>1772</v>
      </c>
      <c r="CD26" s="31">
        <f t="shared" si="32"/>
        <v>1688</v>
      </c>
      <c r="CE26" s="31">
        <f t="shared" si="32"/>
        <v>1241</v>
      </c>
      <c r="CF26" s="31">
        <f t="shared" si="32"/>
        <v>1277</v>
      </c>
      <c r="CG26" s="31">
        <f t="shared" si="32"/>
        <v>1346</v>
      </c>
      <c r="CH26" s="31">
        <f t="shared" si="32"/>
        <v>1556</v>
      </c>
      <c r="CI26" s="31">
        <f t="shared" si="32"/>
        <v>1395</v>
      </c>
    </row>
    <row r="27" spans="1:87" x14ac:dyDescent="0.2">
      <c r="A27" s="1">
        <v>19</v>
      </c>
      <c r="B27" s="32" t="s">
        <v>301</v>
      </c>
      <c r="C27" s="32"/>
      <c r="D27" s="97">
        <f t="shared" ref="D27:O27" si="33">$C$24*D24+$C$25*D25</f>
        <v>15216</v>
      </c>
      <c r="E27" s="97">
        <f t="shared" si="33"/>
        <v>20580</v>
      </c>
      <c r="F27" s="97">
        <f t="shared" si="33"/>
        <v>19248</v>
      </c>
      <c r="G27" s="97">
        <f t="shared" si="33"/>
        <v>20448</v>
      </c>
      <c r="H27" s="97">
        <f t="shared" si="33"/>
        <v>20148</v>
      </c>
      <c r="I27" s="97">
        <f t="shared" si="33"/>
        <v>21264</v>
      </c>
      <c r="J27" s="97">
        <f t="shared" si="33"/>
        <v>20256</v>
      </c>
      <c r="K27" s="97">
        <f t="shared" si="33"/>
        <v>14892</v>
      </c>
      <c r="L27" s="97">
        <f t="shared" si="33"/>
        <v>15324</v>
      </c>
      <c r="M27" s="97">
        <f t="shared" si="33"/>
        <v>16152</v>
      </c>
      <c r="N27" s="97">
        <f t="shared" si="33"/>
        <v>18672</v>
      </c>
      <c r="O27" s="97">
        <f t="shared" si="33"/>
        <v>16740</v>
      </c>
      <c r="P27" s="97">
        <f t="shared" ref="P27:BK27" si="34">$C$24*P24+$C$25*P25</f>
        <v>15216</v>
      </c>
      <c r="Q27" s="97">
        <f t="shared" si="34"/>
        <v>20580</v>
      </c>
      <c r="R27" s="97">
        <f t="shared" si="34"/>
        <v>19248</v>
      </c>
      <c r="S27" s="97">
        <f t="shared" si="34"/>
        <v>20448</v>
      </c>
      <c r="T27" s="97">
        <f t="shared" si="34"/>
        <v>20148</v>
      </c>
      <c r="U27" s="97">
        <f t="shared" si="34"/>
        <v>21264</v>
      </c>
      <c r="V27" s="97">
        <f t="shared" si="34"/>
        <v>20256</v>
      </c>
      <c r="W27" s="97">
        <f t="shared" si="34"/>
        <v>14892</v>
      </c>
      <c r="X27" s="97">
        <f t="shared" si="34"/>
        <v>15324</v>
      </c>
      <c r="Y27" s="97">
        <f t="shared" si="34"/>
        <v>16152</v>
      </c>
      <c r="Z27" s="97">
        <f t="shared" si="34"/>
        <v>18672</v>
      </c>
      <c r="AA27" s="97">
        <f t="shared" si="34"/>
        <v>16740</v>
      </c>
      <c r="AB27" s="97">
        <f t="shared" si="34"/>
        <v>15216</v>
      </c>
      <c r="AC27" s="97">
        <f t="shared" si="34"/>
        <v>20580</v>
      </c>
      <c r="AD27" s="97">
        <f t="shared" si="34"/>
        <v>19248</v>
      </c>
      <c r="AE27" s="97">
        <f t="shared" si="34"/>
        <v>20448</v>
      </c>
      <c r="AF27" s="97">
        <f t="shared" si="34"/>
        <v>20148</v>
      </c>
      <c r="AG27" s="97">
        <f t="shared" si="34"/>
        <v>21264</v>
      </c>
      <c r="AH27" s="97">
        <f t="shared" si="34"/>
        <v>20256</v>
      </c>
      <c r="AI27" s="97">
        <f t="shared" si="34"/>
        <v>14892</v>
      </c>
      <c r="AJ27" s="97">
        <f t="shared" si="34"/>
        <v>15324</v>
      </c>
      <c r="AK27" s="97">
        <f t="shared" si="34"/>
        <v>16152</v>
      </c>
      <c r="AL27" s="97">
        <f t="shared" si="34"/>
        <v>18672</v>
      </c>
      <c r="AM27" s="97">
        <f t="shared" si="34"/>
        <v>16740</v>
      </c>
      <c r="AN27" s="97">
        <f t="shared" si="34"/>
        <v>15216</v>
      </c>
      <c r="AO27" s="97">
        <f t="shared" si="34"/>
        <v>20580</v>
      </c>
      <c r="AP27" s="97">
        <f t="shared" si="34"/>
        <v>19248</v>
      </c>
      <c r="AQ27" s="97">
        <f t="shared" si="34"/>
        <v>20448</v>
      </c>
      <c r="AR27" s="97">
        <f t="shared" si="34"/>
        <v>20148</v>
      </c>
      <c r="AS27" s="97">
        <f t="shared" si="34"/>
        <v>21264</v>
      </c>
      <c r="AT27" s="97">
        <f t="shared" si="34"/>
        <v>20256</v>
      </c>
      <c r="AU27" s="97">
        <f t="shared" si="34"/>
        <v>14892</v>
      </c>
      <c r="AV27" s="97">
        <f t="shared" si="34"/>
        <v>15324</v>
      </c>
      <c r="AW27" s="97">
        <f t="shared" si="34"/>
        <v>16152</v>
      </c>
      <c r="AX27" s="97">
        <f t="shared" si="34"/>
        <v>18672</v>
      </c>
      <c r="AY27" s="97">
        <f t="shared" si="34"/>
        <v>16740</v>
      </c>
      <c r="AZ27" s="97">
        <f t="shared" si="34"/>
        <v>15216</v>
      </c>
      <c r="BA27" s="97">
        <f t="shared" si="34"/>
        <v>20580</v>
      </c>
      <c r="BB27" s="97">
        <f t="shared" si="34"/>
        <v>19248</v>
      </c>
      <c r="BC27" s="97">
        <f t="shared" si="34"/>
        <v>20448</v>
      </c>
      <c r="BD27" s="97">
        <f t="shared" si="34"/>
        <v>20148</v>
      </c>
      <c r="BE27" s="97">
        <f t="shared" si="34"/>
        <v>21264</v>
      </c>
      <c r="BF27" s="97">
        <f t="shared" si="34"/>
        <v>20256</v>
      </c>
      <c r="BG27" s="97">
        <f t="shared" si="34"/>
        <v>14892</v>
      </c>
      <c r="BH27" s="97">
        <f t="shared" si="34"/>
        <v>15324</v>
      </c>
      <c r="BI27" s="97">
        <f t="shared" si="34"/>
        <v>16152</v>
      </c>
      <c r="BJ27" s="97">
        <f t="shared" si="34"/>
        <v>18672</v>
      </c>
      <c r="BK27" s="97">
        <f t="shared" si="34"/>
        <v>16740</v>
      </c>
      <c r="BL27" s="97">
        <f t="shared" ref="BL27:BW27" si="35">$C$24*BL24+$C$25*BL25</f>
        <v>15216</v>
      </c>
      <c r="BM27" s="97">
        <f t="shared" si="35"/>
        <v>20580</v>
      </c>
      <c r="BN27" s="97">
        <f t="shared" si="35"/>
        <v>19248</v>
      </c>
      <c r="BO27" s="97">
        <f t="shared" si="35"/>
        <v>20448</v>
      </c>
      <c r="BP27" s="97">
        <f t="shared" si="35"/>
        <v>20148</v>
      </c>
      <c r="BQ27" s="97">
        <f t="shared" si="35"/>
        <v>21264</v>
      </c>
      <c r="BR27" s="97">
        <f t="shared" si="35"/>
        <v>20256</v>
      </c>
      <c r="BS27" s="97">
        <f t="shared" si="35"/>
        <v>14892</v>
      </c>
      <c r="BT27" s="97">
        <f t="shared" si="35"/>
        <v>15324</v>
      </c>
      <c r="BU27" s="97">
        <f t="shared" si="35"/>
        <v>16152</v>
      </c>
      <c r="BV27" s="97">
        <f t="shared" si="35"/>
        <v>18672</v>
      </c>
      <c r="BW27" s="97">
        <f t="shared" si="35"/>
        <v>16740</v>
      </c>
      <c r="BX27" s="97">
        <f t="shared" ref="BX27:CI27" si="36">$C$24*BX24+$C$25*BX25</f>
        <v>15216</v>
      </c>
      <c r="BY27" s="97">
        <f t="shared" si="36"/>
        <v>20580</v>
      </c>
      <c r="BZ27" s="97">
        <f t="shared" si="36"/>
        <v>19248</v>
      </c>
      <c r="CA27" s="97">
        <f t="shared" si="36"/>
        <v>20448</v>
      </c>
      <c r="CB27" s="97">
        <f t="shared" si="36"/>
        <v>20148</v>
      </c>
      <c r="CC27" s="97">
        <f t="shared" si="36"/>
        <v>21264</v>
      </c>
      <c r="CD27" s="97">
        <f t="shared" si="36"/>
        <v>20256</v>
      </c>
      <c r="CE27" s="97">
        <f t="shared" si="36"/>
        <v>14892</v>
      </c>
      <c r="CF27" s="97">
        <f t="shared" si="36"/>
        <v>15324</v>
      </c>
      <c r="CG27" s="97">
        <f t="shared" si="36"/>
        <v>16152</v>
      </c>
      <c r="CH27" s="97">
        <f t="shared" si="36"/>
        <v>18672</v>
      </c>
      <c r="CI27" s="97">
        <f t="shared" si="36"/>
        <v>16740</v>
      </c>
    </row>
    <row r="28" spans="1:87" x14ac:dyDescent="0.2">
      <c r="A28" s="1">
        <v>20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87" x14ac:dyDescent="0.2">
      <c r="A29" s="1">
        <v>21</v>
      </c>
      <c r="B29" s="168" t="s">
        <v>233</v>
      </c>
      <c r="C29" s="1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</row>
    <row r="30" spans="1:87" x14ac:dyDescent="0.2">
      <c r="A30" s="1">
        <v>22</v>
      </c>
      <c r="B30" s="1" t="s">
        <v>295</v>
      </c>
      <c r="C30" s="11">
        <f>'Rate Design'!L15</f>
        <v>39</v>
      </c>
      <c r="D30" s="70">
        <f>[8]SAP!AJ46</f>
        <v>269</v>
      </c>
      <c r="E30" s="70">
        <f>[8]SAP!AK46</f>
        <v>322</v>
      </c>
      <c r="F30" s="70">
        <f>[8]SAP!AL46</f>
        <v>155</v>
      </c>
      <c r="G30" s="70">
        <f>[8]SAP!AM46</f>
        <v>77</v>
      </c>
      <c r="H30" s="70">
        <f>[8]SAP!AN46</f>
        <v>66</v>
      </c>
      <c r="I30" s="70">
        <f>[8]SAP!AO46</f>
        <v>21</v>
      </c>
      <c r="J30" s="70">
        <f>[8]SAP!AP46</f>
        <v>550</v>
      </c>
      <c r="K30" s="70">
        <f>[8]SAP!AQ46</f>
        <v>577</v>
      </c>
      <c r="L30" s="70">
        <f>[8]SAP!AR46</f>
        <v>546</v>
      </c>
      <c r="M30" s="70">
        <f>[8]SAP!AS46</f>
        <v>364</v>
      </c>
      <c r="N30" s="70">
        <f>[8]SAP!AT46</f>
        <v>262</v>
      </c>
      <c r="O30" s="70">
        <f>[8]SAP!AU46</f>
        <v>162</v>
      </c>
      <c r="P30" s="70">
        <f>D30</f>
        <v>269</v>
      </c>
      <c r="Q30" s="70">
        <f t="shared" ref="Q30:BK31" si="37">E30</f>
        <v>322</v>
      </c>
      <c r="R30" s="70">
        <f t="shared" si="37"/>
        <v>155</v>
      </c>
      <c r="S30" s="70">
        <f t="shared" si="37"/>
        <v>77</v>
      </c>
      <c r="T30" s="70">
        <f t="shared" si="37"/>
        <v>66</v>
      </c>
      <c r="U30" s="70">
        <f t="shared" si="37"/>
        <v>21</v>
      </c>
      <c r="V30" s="70">
        <f t="shared" si="37"/>
        <v>550</v>
      </c>
      <c r="W30" s="70">
        <f t="shared" si="37"/>
        <v>577</v>
      </c>
      <c r="X30" s="70">
        <f t="shared" si="37"/>
        <v>546</v>
      </c>
      <c r="Y30" s="70">
        <f t="shared" si="37"/>
        <v>364</v>
      </c>
      <c r="Z30" s="70">
        <f t="shared" si="37"/>
        <v>262</v>
      </c>
      <c r="AA30" s="70">
        <f t="shared" si="37"/>
        <v>162</v>
      </c>
      <c r="AB30" s="70">
        <f t="shared" si="37"/>
        <v>269</v>
      </c>
      <c r="AC30" s="70">
        <f t="shared" si="37"/>
        <v>322</v>
      </c>
      <c r="AD30" s="70">
        <f t="shared" si="37"/>
        <v>155</v>
      </c>
      <c r="AE30" s="70">
        <f t="shared" si="37"/>
        <v>77</v>
      </c>
      <c r="AF30" s="70">
        <f t="shared" si="37"/>
        <v>66</v>
      </c>
      <c r="AG30" s="70">
        <f t="shared" si="37"/>
        <v>21</v>
      </c>
      <c r="AH30" s="70">
        <f t="shared" si="37"/>
        <v>550</v>
      </c>
      <c r="AI30" s="70">
        <f t="shared" si="37"/>
        <v>577</v>
      </c>
      <c r="AJ30" s="70">
        <f t="shared" si="37"/>
        <v>546</v>
      </c>
      <c r="AK30" s="70">
        <f t="shared" si="37"/>
        <v>364</v>
      </c>
      <c r="AL30" s="70">
        <f t="shared" si="37"/>
        <v>262</v>
      </c>
      <c r="AM30" s="70">
        <f t="shared" si="37"/>
        <v>162</v>
      </c>
      <c r="AN30" s="70">
        <f t="shared" si="37"/>
        <v>269</v>
      </c>
      <c r="AO30" s="70">
        <f t="shared" si="37"/>
        <v>322</v>
      </c>
      <c r="AP30" s="70">
        <f t="shared" si="37"/>
        <v>155</v>
      </c>
      <c r="AQ30" s="70">
        <f t="shared" si="37"/>
        <v>77</v>
      </c>
      <c r="AR30" s="70">
        <f t="shared" si="37"/>
        <v>66</v>
      </c>
      <c r="AS30" s="70">
        <f t="shared" si="37"/>
        <v>21</v>
      </c>
      <c r="AT30" s="70">
        <f t="shared" si="37"/>
        <v>550</v>
      </c>
      <c r="AU30" s="70">
        <f t="shared" si="37"/>
        <v>577</v>
      </c>
      <c r="AV30" s="70">
        <f t="shared" si="37"/>
        <v>546</v>
      </c>
      <c r="AW30" s="70">
        <f t="shared" si="37"/>
        <v>364</v>
      </c>
      <c r="AX30" s="70">
        <f t="shared" si="37"/>
        <v>262</v>
      </c>
      <c r="AY30" s="70">
        <f t="shared" si="37"/>
        <v>162</v>
      </c>
      <c r="AZ30" s="70">
        <f t="shared" si="37"/>
        <v>269</v>
      </c>
      <c r="BA30" s="70">
        <f t="shared" si="37"/>
        <v>322</v>
      </c>
      <c r="BB30" s="70">
        <f t="shared" si="37"/>
        <v>155</v>
      </c>
      <c r="BC30" s="70">
        <f t="shared" si="37"/>
        <v>77</v>
      </c>
      <c r="BD30" s="70">
        <f t="shared" si="37"/>
        <v>66</v>
      </c>
      <c r="BE30" s="70">
        <f t="shared" si="37"/>
        <v>21</v>
      </c>
      <c r="BF30" s="70">
        <f t="shared" si="37"/>
        <v>550</v>
      </c>
      <c r="BG30" s="70">
        <f t="shared" si="37"/>
        <v>577</v>
      </c>
      <c r="BH30" s="70">
        <f t="shared" si="37"/>
        <v>546</v>
      </c>
      <c r="BI30" s="70">
        <f t="shared" si="37"/>
        <v>364</v>
      </c>
      <c r="BJ30" s="70">
        <f t="shared" si="37"/>
        <v>262</v>
      </c>
      <c r="BK30" s="70">
        <f t="shared" si="37"/>
        <v>162</v>
      </c>
      <c r="BL30" s="70">
        <f t="shared" ref="BL30:BW31" si="38">AZ30</f>
        <v>269</v>
      </c>
      <c r="BM30" s="70">
        <f t="shared" si="38"/>
        <v>322</v>
      </c>
      <c r="BN30" s="70">
        <f t="shared" si="38"/>
        <v>155</v>
      </c>
      <c r="BO30" s="70">
        <f t="shared" si="38"/>
        <v>77</v>
      </c>
      <c r="BP30" s="70">
        <f t="shared" si="38"/>
        <v>66</v>
      </c>
      <c r="BQ30" s="70">
        <f t="shared" si="38"/>
        <v>21</v>
      </c>
      <c r="BR30" s="70">
        <f t="shared" si="38"/>
        <v>550</v>
      </c>
      <c r="BS30" s="70">
        <f t="shared" si="38"/>
        <v>577</v>
      </c>
      <c r="BT30" s="70">
        <f t="shared" si="38"/>
        <v>546</v>
      </c>
      <c r="BU30" s="70">
        <f t="shared" si="38"/>
        <v>364</v>
      </c>
      <c r="BV30" s="70">
        <f t="shared" si="38"/>
        <v>262</v>
      </c>
      <c r="BW30" s="70">
        <f t="shared" si="38"/>
        <v>162</v>
      </c>
      <c r="BX30" s="70">
        <f t="shared" ref="BX30:CI31" si="39">BL30</f>
        <v>269</v>
      </c>
      <c r="BY30" s="70">
        <f t="shared" si="39"/>
        <v>322</v>
      </c>
      <c r="BZ30" s="70">
        <f t="shared" si="39"/>
        <v>155</v>
      </c>
      <c r="CA30" s="70">
        <f t="shared" si="39"/>
        <v>77</v>
      </c>
      <c r="CB30" s="70">
        <f t="shared" si="39"/>
        <v>66</v>
      </c>
      <c r="CC30" s="70">
        <f t="shared" si="39"/>
        <v>21</v>
      </c>
      <c r="CD30" s="70">
        <f t="shared" si="39"/>
        <v>550</v>
      </c>
      <c r="CE30" s="70">
        <f t="shared" si="39"/>
        <v>577</v>
      </c>
      <c r="CF30" s="70">
        <f t="shared" si="39"/>
        <v>546</v>
      </c>
      <c r="CG30" s="70">
        <f t="shared" si="39"/>
        <v>364</v>
      </c>
      <c r="CH30" s="70">
        <f t="shared" si="39"/>
        <v>262</v>
      </c>
      <c r="CI30" s="70">
        <f t="shared" si="39"/>
        <v>162</v>
      </c>
    </row>
    <row r="31" spans="1:87" x14ac:dyDescent="0.2">
      <c r="A31" s="1">
        <v>23</v>
      </c>
      <c r="B31" s="1" t="s">
        <v>296</v>
      </c>
      <c r="C31" s="11">
        <f>'Rate Design'!M15</f>
        <v>47</v>
      </c>
      <c r="D31" s="70">
        <f>[8]SAP!AJ47</f>
        <v>0</v>
      </c>
      <c r="E31" s="70">
        <f>[8]SAP!AK47</f>
        <v>0</v>
      </c>
      <c r="F31" s="70">
        <f>[8]SAP!AL47</f>
        <v>0</v>
      </c>
      <c r="G31" s="70">
        <f>[8]SAP!AM47</f>
        <v>0</v>
      </c>
      <c r="H31" s="70">
        <f>[8]SAP!AN47</f>
        <v>0</v>
      </c>
      <c r="I31" s="70">
        <f>[8]SAP!AO47</f>
        <v>0</v>
      </c>
      <c r="J31" s="70">
        <f>[8]SAP!AP47</f>
        <v>0</v>
      </c>
      <c r="K31" s="70">
        <f>[8]SAP!AQ47</f>
        <v>0</v>
      </c>
      <c r="L31" s="70">
        <f>[8]SAP!AR47</f>
        <v>0</v>
      </c>
      <c r="M31" s="70">
        <f>[8]SAP!AS47</f>
        <v>0</v>
      </c>
      <c r="N31" s="70">
        <f>[8]SAP!AT47</f>
        <v>0</v>
      </c>
      <c r="O31" s="70">
        <f>[8]SAP!AU47</f>
        <v>0</v>
      </c>
      <c r="P31" s="70">
        <f>D31</f>
        <v>0</v>
      </c>
      <c r="Q31" s="70">
        <f t="shared" si="37"/>
        <v>0</v>
      </c>
      <c r="R31" s="70">
        <f t="shared" si="37"/>
        <v>0</v>
      </c>
      <c r="S31" s="70">
        <f t="shared" si="37"/>
        <v>0</v>
      </c>
      <c r="T31" s="70">
        <f t="shared" si="37"/>
        <v>0</v>
      </c>
      <c r="U31" s="70">
        <f t="shared" si="37"/>
        <v>0</v>
      </c>
      <c r="V31" s="70">
        <f t="shared" si="37"/>
        <v>0</v>
      </c>
      <c r="W31" s="70">
        <f t="shared" si="37"/>
        <v>0</v>
      </c>
      <c r="X31" s="70">
        <f t="shared" si="37"/>
        <v>0</v>
      </c>
      <c r="Y31" s="70">
        <f t="shared" si="37"/>
        <v>0</v>
      </c>
      <c r="Z31" s="70">
        <f t="shared" si="37"/>
        <v>0</v>
      </c>
      <c r="AA31" s="70">
        <f t="shared" si="37"/>
        <v>0</v>
      </c>
      <c r="AB31" s="70">
        <f t="shared" si="37"/>
        <v>0</v>
      </c>
      <c r="AC31" s="70">
        <f t="shared" si="37"/>
        <v>0</v>
      </c>
      <c r="AD31" s="70">
        <f t="shared" si="37"/>
        <v>0</v>
      </c>
      <c r="AE31" s="70">
        <f t="shared" si="37"/>
        <v>0</v>
      </c>
      <c r="AF31" s="70">
        <f t="shared" si="37"/>
        <v>0</v>
      </c>
      <c r="AG31" s="70">
        <f t="shared" si="37"/>
        <v>0</v>
      </c>
      <c r="AH31" s="70">
        <f t="shared" si="37"/>
        <v>0</v>
      </c>
      <c r="AI31" s="70">
        <f t="shared" si="37"/>
        <v>0</v>
      </c>
      <c r="AJ31" s="70">
        <f t="shared" si="37"/>
        <v>0</v>
      </c>
      <c r="AK31" s="70">
        <f t="shared" si="37"/>
        <v>0</v>
      </c>
      <c r="AL31" s="70">
        <f t="shared" si="37"/>
        <v>0</v>
      </c>
      <c r="AM31" s="70">
        <f t="shared" si="37"/>
        <v>0</v>
      </c>
      <c r="AN31" s="70">
        <f t="shared" si="37"/>
        <v>0</v>
      </c>
      <c r="AO31" s="70">
        <f t="shared" si="37"/>
        <v>0</v>
      </c>
      <c r="AP31" s="70">
        <f t="shared" si="37"/>
        <v>0</v>
      </c>
      <c r="AQ31" s="70">
        <f t="shared" si="37"/>
        <v>0</v>
      </c>
      <c r="AR31" s="70">
        <f t="shared" si="37"/>
        <v>0</v>
      </c>
      <c r="AS31" s="70">
        <f t="shared" si="37"/>
        <v>0</v>
      </c>
      <c r="AT31" s="70">
        <f t="shared" si="37"/>
        <v>0</v>
      </c>
      <c r="AU31" s="70">
        <f t="shared" si="37"/>
        <v>0</v>
      </c>
      <c r="AV31" s="70">
        <f t="shared" si="37"/>
        <v>0</v>
      </c>
      <c r="AW31" s="70">
        <f t="shared" si="37"/>
        <v>0</v>
      </c>
      <c r="AX31" s="70">
        <f t="shared" si="37"/>
        <v>0</v>
      </c>
      <c r="AY31" s="70">
        <f t="shared" si="37"/>
        <v>0</v>
      </c>
      <c r="AZ31" s="70">
        <f t="shared" si="37"/>
        <v>0</v>
      </c>
      <c r="BA31" s="70">
        <f t="shared" si="37"/>
        <v>0</v>
      </c>
      <c r="BB31" s="70">
        <f t="shared" si="37"/>
        <v>0</v>
      </c>
      <c r="BC31" s="70">
        <f t="shared" si="37"/>
        <v>0</v>
      </c>
      <c r="BD31" s="70">
        <f t="shared" si="37"/>
        <v>0</v>
      </c>
      <c r="BE31" s="70">
        <f t="shared" si="37"/>
        <v>0</v>
      </c>
      <c r="BF31" s="70">
        <f t="shared" si="37"/>
        <v>0</v>
      </c>
      <c r="BG31" s="70">
        <f t="shared" si="37"/>
        <v>0</v>
      </c>
      <c r="BH31" s="70">
        <f t="shared" si="37"/>
        <v>0</v>
      </c>
      <c r="BI31" s="70">
        <f t="shared" si="37"/>
        <v>0</v>
      </c>
      <c r="BJ31" s="70">
        <f t="shared" si="37"/>
        <v>0</v>
      </c>
      <c r="BK31" s="70">
        <f t="shared" si="37"/>
        <v>0</v>
      </c>
      <c r="BL31" s="70">
        <f t="shared" si="38"/>
        <v>0</v>
      </c>
      <c r="BM31" s="70">
        <f t="shared" si="38"/>
        <v>0</v>
      </c>
      <c r="BN31" s="70">
        <f t="shared" si="38"/>
        <v>0</v>
      </c>
      <c r="BO31" s="70">
        <f t="shared" si="38"/>
        <v>0</v>
      </c>
      <c r="BP31" s="70">
        <f t="shared" si="38"/>
        <v>0</v>
      </c>
      <c r="BQ31" s="70">
        <f t="shared" si="38"/>
        <v>0</v>
      </c>
      <c r="BR31" s="70">
        <f t="shared" si="38"/>
        <v>0</v>
      </c>
      <c r="BS31" s="70">
        <f t="shared" si="38"/>
        <v>0</v>
      </c>
      <c r="BT31" s="70">
        <f t="shared" si="38"/>
        <v>0</v>
      </c>
      <c r="BU31" s="70">
        <f t="shared" si="38"/>
        <v>0</v>
      </c>
      <c r="BV31" s="70">
        <f t="shared" si="38"/>
        <v>0</v>
      </c>
      <c r="BW31" s="70">
        <f t="shared" si="38"/>
        <v>0</v>
      </c>
      <c r="BX31" s="70">
        <f t="shared" si="39"/>
        <v>0</v>
      </c>
      <c r="BY31" s="70">
        <f t="shared" si="39"/>
        <v>0</v>
      </c>
      <c r="BZ31" s="70">
        <f t="shared" si="39"/>
        <v>0</v>
      </c>
      <c r="CA31" s="70">
        <f t="shared" si="39"/>
        <v>0</v>
      </c>
      <c r="CB31" s="70">
        <f t="shared" si="39"/>
        <v>0</v>
      </c>
      <c r="CC31" s="70">
        <f t="shared" si="39"/>
        <v>0</v>
      </c>
      <c r="CD31" s="70">
        <f t="shared" si="39"/>
        <v>0</v>
      </c>
      <c r="CE31" s="70">
        <f t="shared" si="39"/>
        <v>0</v>
      </c>
      <c r="CF31" s="70">
        <f t="shared" si="39"/>
        <v>0</v>
      </c>
      <c r="CG31" s="70">
        <f t="shared" si="39"/>
        <v>0</v>
      </c>
      <c r="CH31" s="70">
        <f t="shared" si="39"/>
        <v>0</v>
      </c>
      <c r="CI31" s="70">
        <f t="shared" si="39"/>
        <v>0</v>
      </c>
    </row>
    <row r="32" spans="1:87" x14ac:dyDescent="0.2">
      <c r="A32" s="1">
        <v>24</v>
      </c>
      <c r="B32" s="32" t="s">
        <v>300</v>
      </c>
      <c r="C32" s="32"/>
      <c r="D32" s="31">
        <f t="shared" ref="D32:P32" si="40">D30+D31</f>
        <v>269</v>
      </c>
      <c r="E32" s="31">
        <f t="shared" si="40"/>
        <v>322</v>
      </c>
      <c r="F32" s="31">
        <f t="shared" si="40"/>
        <v>155</v>
      </c>
      <c r="G32" s="31">
        <f t="shared" si="40"/>
        <v>77</v>
      </c>
      <c r="H32" s="31">
        <f t="shared" si="40"/>
        <v>66</v>
      </c>
      <c r="I32" s="31">
        <f t="shared" si="40"/>
        <v>21</v>
      </c>
      <c r="J32" s="31">
        <f t="shared" si="40"/>
        <v>550</v>
      </c>
      <c r="K32" s="31">
        <f t="shared" si="40"/>
        <v>577</v>
      </c>
      <c r="L32" s="31">
        <f t="shared" si="40"/>
        <v>546</v>
      </c>
      <c r="M32" s="31">
        <f t="shared" si="40"/>
        <v>364</v>
      </c>
      <c r="N32" s="31">
        <f t="shared" si="40"/>
        <v>262</v>
      </c>
      <c r="O32" s="31">
        <f t="shared" si="40"/>
        <v>162</v>
      </c>
      <c r="P32" s="31">
        <f t="shared" si="40"/>
        <v>269</v>
      </c>
      <c r="Q32" s="31">
        <f t="shared" ref="Q32:BK32" si="41">Q30+Q31</f>
        <v>322</v>
      </c>
      <c r="R32" s="31">
        <f t="shared" si="41"/>
        <v>155</v>
      </c>
      <c r="S32" s="31">
        <f t="shared" si="41"/>
        <v>77</v>
      </c>
      <c r="T32" s="31">
        <f t="shared" si="41"/>
        <v>66</v>
      </c>
      <c r="U32" s="31">
        <f t="shared" si="41"/>
        <v>21</v>
      </c>
      <c r="V32" s="31">
        <f t="shared" si="41"/>
        <v>550</v>
      </c>
      <c r="W32" s="31">
        <f t="shared" si="41"/>
        <v>577</v>
      </c>
      <c r="X32" s="31">
        <f t="shared" si="41"/>
        <v>546</v>
      </c>
      <c r="Y32" s="31">
        <f t="shared" si="41"/>
        <v>364</v>
      </c>
      <c r="Z32" s="31">
        <f t="shared" si="41"/>
        <v>262</v>
      </c>
      <c r="AA32" s="31">
        <f t="shared" si="41"/>
        <v>162</v>
      </c>
      <c r="AB32" s="31">
        <f t="shared" si="41"/>
        <v>269</v>
      </c>
      <c r="AC32" s="31">
        <f t="shared" si="41"/>
        <v>322</v>
      </c>
      <c r="AD32" s="31">
        <f t="shared" si="41"/>
        <v>155</v>
      </c>
      <c r="AE32" s="31">
        <f t="shared" si="41"/>
        <v>77</v>
      </c>
      <c r="AF32" s="31">
        <f t="shared" si="41"/>
        <v>66</v>
      </c>
      <c r="AG32" s="31">
        <f t="shared" si="41"/>
        <v>21</v>
      </c>
      <c r="AH32" s="31">
        <f t="shared" si="41"/>
        <v>550</v>
      </c>
      <c r="AI32" s="31">
        <f t="shared" si="41"/>
        <v>577</v>
      </c>
      <c r="AJ32" s="31">
        <f t="shared" si="41"/>
        <v>546</v>
      </c>
      <c r="AK32" s="31">
        <f t="shared" si="41"/>
        <v>364</v>
      </c>
      <c r="AL32" s="31">
        <f t="shared" si="41"/>
        <v>262</v>
      </c>
      <c r="AM32" s="31">
        <f t="shared" si="41"/>
        <v>162</v>
      </c>
      <c r="AN32" s="31">
        <f t="shared" si="41"/>
        <v>269</v>
      </c>
      <c r="AO32" s="31">
        <f t="shared" si="41"/>
        <v>322</v>
      </c>
      <c r="AP32" s="31">
        <f t="shared" si="41"/>
        <v>155</v>
      </c>
      <c r="AQ32" s="31">
        <f t="shared" si="41"/>
        <v>77</v>
      </c>
      <c r="AR32" s="31">
        <f t="shared" si="41"/>
        <v>66</v>
      </c>
      <c r="AS32" s="31">
        <f t="shared" si="41"/>
        <v>21</v>
      </c>
      <c r="AT32" s="31">
        <f t="shared" si="41"/>
        <v>550</v>
      </c>
      <c r="AU32" s="31">
        <f t="shared" si="41"/>
        <v>577</v>
      </c>
      <c r="AV32" s="31">
        <f t="shared" si="41"/>
        <v>546</v>
      </c>
      <c r="AW32" s="31">
        <f t="shared" si="41"/>
        <v>364</v>
      </c>
      <c r="AX32" s="31">
        <f t="shared" si="41"/>
        <v>262</v>
      </c>
      <c r="AY32" s="31">
        <f t="shared" si="41"/>
        <v>162</v>
      </c>
      <c r="AZ32" s="31">
        <f t="shared" si="41"/>
        <v>269</v>
      </c>
      <c r="BA32" s="31">
        <f t="shared" si="41"/>
        <v>322</v>
      </c>
      <c r="BB32" s="31">
        <f t="shared" si="41"/>
        <v>155</v>
      </c>
      <c r="BC32" s="31">
        <f t="shared" si="41"/>
        <v>77</v>
      </c>
      <c r="BD32" s="31">
        <f t="shared" si="41"/>
        <v>66</v>
      </c>
      <c r="BE32" s="31">
        <f t="shared" si="41"/>
        <v>21</v>
      </c>
      <c r="BF32" s="31">
        <f t="shared" si="41"/>
        <v>550</v>
      </c>
      <c r="BG32" s="31">
        <f t="shared" si="41"/>
        <v>577</v>
      </c>
      <c r="BH32" s="31">
        <f t="shared" si="41"/>
        <v>546</v>
      </c>
      <c r="BI32" s="31">
        <f t="shared" si="41"/>
        <v>364</v>
      </c>
      <c r="BJ32" s="31">
        <f t="shared" si="41"/>
        <v>262</v>
      </c>
      <c r="BK32" s="31">
        <f t="shared" si="41"/>
        <v>162</v>
      </c>
      <c r="BL32" s="31">
        <f t="shared" ref="BL32:BW32" si="42">BL30+BL31</f>
        <v>269</v>
      </c>
      <c r="BM32" s="31">
        <f t="shared" si="42"/>
        <v>322</v>
      </c>
      <c r="BN32" s="31">
        <f t="shared" si="42"/>
        <v>155</v>
      </c>
      <c r="BO32" s="31">
        <f t="shared" si="42"/>
        <v>77</v>
      </c>
      <c r="BP32" s="31">
        <f t="shared" si="42"/>
        <v>66</v>
      </c>
      <c r="BQ32" s="31">
        <f t="shared" si="42"/>
        <v>21</v>
      </c>
      <c r="BR32" s="31">
        <f t="shared" si="42"/>
        <v>550</v>
      </c>
      <c r="BS32" s="31">
        <f t="shared" si="42"/>
        <v>577</v>
      </c>
      <c r="BT32" s="31">
        <f t="shared" si="42"/>
        <v>546</v>
      </c>
      <c r="BU32" s="31">
        <f t="shared" si="42"/>
        <v>364</v>
      </c>
      <c r="BV32" s="31">
        <f t="shared" si="42"/>
        <v>262</v>
      </c>
      <c r="BW32" s="31">
        <f t="shared" si="42"/>
        <v>162</v>
      </c>
      <c r="BX32" s="31">
        <f t="shared" ref="BX32:CI32" si="43">BX30+BX31</f>
        <v>269</v>
      </c>
      <c r="BY32" s="31">
        <f t="shared" si="43"/>
        <v>322</v>
      </c>
      <c r="BZ32" s="31">
        <f t="shared" si="43"/>
        <v>155</v>
      </c>
      <c r="CA32" s="31">
        <f t="shared" si="43"/>
        <v>77</v>
      </c>
      <c r="CB32" s="31">
        <f t="shared" si="43"/>
        <v>66</v>
      </c>
      <c r="CC32" s="31">
        <f t="shared" si="43"/>
        <v>21</v>
      </c>
      <c r="CD32" s="31">
        <f t="shared" si="43"/>
        <v>550</v>
      </c>
      <c r="CE32" s="31">
        <f t="shared" si="43"/>
        <v>577</v>
      </c>
      <c r="CF32" s="31">
        <f t="shared" si="43"/>
        <v>546</v>
      </c>
      <c r="CG32" s="31">
        <f t="shared" si="43"/>
        <v>364</v>
      </c>
      <c r="CH32" s="31">
        <f t="shared" si="43"/>
        <v>262</v>
      </c>
      <c r="CI32" s="31">
        <f t="shared" si="43"/>
        <v>162</v>
      </c>
    </row>
    <row r="33" spans="1:87" x14ac:dyDescent="0.2">
      <c r="A33" s="1">
        <v>25</v>
      </c>
      <c r="B33" s="32" t="s">
        <v>301</v>
      </c>
      <c r="C33" s="32"/>
      <c r="D33" s="97">
        <f t="shared" ref="D33:O33" si="44">$C$30*D30+$C$31*D31</f>
        <v>10491</v>
      </c>
      <c r="E33" s="97">
        <f t="shared" si="44"/>
        <v>12558</v>
      </c>
      <c r="F33" s="97">
        <f t="shared" si="44"/>
        <v>6045</v>
      </c>
      <c r="G33" s="97">
        <f t="shared" si="44"/>
        <v>3003</v>
      </c>
      <c r="H33" s="97">
        <f t="shared" si="44"/>
        <v>2574</v>
      </c>
      <c r="I33" s="97">
        <f t="shared" si="44"/>
        <v>819</v>
      </c>
      <c r="J33" s="97">
        <f t="shared" si="44"/>
        <v>21450</v>
      </c>
      <c r="K33" s="97">
        <f t="shared" si="44"/>
        <v>22503</v>
      </c>
      <c r="L33" s="97">
        <f t="shared" si="44"/>
        <v>21294</v>
      </c>
      <c r="M33" s="97">
        <f t="shared" si="44"/>
        <v>14196</v>
      </c>
      <c r="N33" s="97">
        <f t="shared" si="44"/>
        <v>10218</v>
      </c>
      <c r="O33" s="97">
        <f t="shared" si="44"/>
        <v>6318</v>
      </c>
      <c r="P33" s="97">
        <f t="shared" ref="P33:BK33" si="45">$C$30*P30+$C$31*P31</f>
        <v>10491</v>
      </c>
      <c r="Q33" s="97">
        <f t="shared" si="45"/>
        <v>12558</v>
      </c>
      <c r="R33" s="97">
        <f t="shared" si="45"/>
        <v>6045</v>
      </c>
      <c r="S33" s="97">
        <f t="shared" si="45"/>
        <v>3003</v>
      </c>
      <c r="T33" s="97">
        <f t="shared" si="45"/>
        <v>2574</v>
      </c>
      <c r="U33" s="97">
        <f t="shared" si="45"/>
        <v>819</v>
      </c>
      <c r="V33" s="97">
        <f t="shared" si="45"/>
        <v>21450</v>
      </c>
      <c r="W33" s="97">
        <f t="shared" si="45"/>
        <v>22503</v>
      </c>
      <c r="X33" s="97">
        <f t="shared" si="45"/>
        <v>21294</v>
      </c>
      <c r="Y33" s="97">
        <f t="shared" si="45"/>
        <v>14196</v>
      </c>
      <c r="Z33" s="97">
        <f t="shared" si="45"/>
        <v>10218</v>
      </c>
      <c r="AA33" s="97">
        <f t="shared" si="45"/>
        <v>6318</v>
      </c>
      <c r="AB33" s="97">
        <f t="shared" si="45"/>
        <v>10491</v>
      </c>
      <c r="AC33" s="97">
        <f t="shared" si="45"/>
        <v>12558</v>
      </c>
      <c r="AD33" s="97">
        <f t="shared" si="45"/>
        <v>6045</v>
      </c>
      <c r="AE33" s="97">
        <f t="shared" si="45"/>
        <v>3003</v>
      </c>
      <c r="AF33" s="97">
        <f t="shared" si="45"/>
        <v>2574</v>
      </c>
      <c r="AG33" s="97">
        <f t="shared" si="45"/>
        <v>819</v>
      </c>
      <c r="AH33" s="97">
        <f t="shared" si="45"/>
        <v>21450</v>
      </c>
      <c r="AI33" s="97">
        <f t="shared" si="45"/>
        <v>22503</v>
      </c>
      <c r="AJ33" s="97">
        <f t="shared" si="45"/>
        <v>21294</v>
      </c>
      <c r="AK33" s="97">
        <f t="shared" si="45"/>
        <v>14196</v>
      </c>
      <c r="AL33" s="97">
        <f t="shared" si="45"/>
        <v>10218</v>
      </c>
      <c r="AM33" s="97">
        <f t="shared" si="45"/>
        <v>6318</v>
      </c>
      <c r="AN33" s="97">
        <f t="shared" si="45"/>
        <v>10491</v>
      </c>
      <c r="AO33" s="97">
        <f t="shared" si="45"/>
        <v>12558</v>
      </c>
      <c r="AP33" s="97">
        <f t="shared" si="45"/>
        <v>6045</v>
      </c>
      <c r="AQ33" s="97">
        <f t="shared" si="45"/>
        <v>3003</v>
      </c>
      <c r="AR33" s="97">
        <f t="shared" si="45"/>
        <v>2574</v>
      </c>
      <c r="AS33" s="97">
        <f t="shared" si="45"/>
        <v>819</v>
      </c>
      <c r="AT33" s="97">
        <f t="shared" si="45"/>
        <v>21450</v>
      </c>
      <c r="AU33" s="97">
        <f t="shared" si="45"/>
        <v>22503</v>
      </c>
      <c r="AV33" s="97">
        <f t="shared" si="45"/>
        <v>21294</v>
      </c>
      <c r="AW33" s="97">
        <f t="shared" si="45"/>
        <v>14196</v>
      </c>
      <c r="AX33" s="97">
        <f t="shared" si="45"/>
        <v>10218</v>
      </c>
      <c r="AY33" s="97">
        <f t="shared" si="45"/>
        <v>6318</v>
      </c>
      <c r="AZ33" s="97">
        <f t="shared" si="45"/>
        <v>10491</v>
      </c>
      <c r="BA33" s="97">
        <f t="shared" si="45"/>
        <v>12558</v>
      </c>
      <c r="BB33" s="97">
        <f t="shared" si="45"/>
        <v>6045</v>
      </c>
      <c r="BC33" s="97">
        <f t="shared" si="45"/>
        <v>3003</v>
      </c>
      <c r="BD33" s="97">
        <f t="shared" si="45"/>
        <v>2574</v>
      </c>
      <c r="BE33" s="97">
        <f t="shared" si="45"/>
        <v>819</v>
      </c>
      <c r="BF33" s="97">
        <f t="shared" si="45"/>
        <v>21450</v>
      </c>
      <c r="BG33" s="97">
        <f t="shared" si="45"/>
        <v>22503</v>
      </c>
      <c r="BH33" s="97">
        <f t="shared" si="45"/>
        <v>21294</v>
      </c>
      <c r="BI33" s="97">
        <f t="shared" si="45"/>
        <v>14196</v>
      </c>
      <c r="BJ33" s="97">
        <f t="shared" si="45"/>
        <v>10218</v>
      </c>
      <c r="BK33" s="97">
        <f t="shared" si="45"/>
        <v>6318</v>
      </c>
      <c r="BL33" s="97">
        <f t="shared" ref="BL33:BW33" si="46">$C$30*BL30+$C$31*BL31</f>
        <v>10491</v>
      </c>
      <c r="BM33" s="97">
        <f t="shared" si="46"/>
        <v>12558</v>
      </c>
      <c r="BN33" s="97">
        <f t="shared" si="46"/>
        <v>6045</v>
      </c>
      <c r="BO33" s="97">
        <f t="shared" si="46"/>
        <v>3003</v>
      </c>
      <c r="BP33" s="97">
        <f t="shared" si="46"/>
        <v>2574</v>
      </c>
      <c r="BQ33" s="97">
        <f t="shared" si="46"/>
        <v>819</v>
      </c>
      <c r="BR33" s="97">
        <f t="shared" si="46"/>
        <v>21450</v>
      </c>
      <c r="BS33" s="97">
        <f t="shared" si="46"/>
        <v>22503</v>
      </c>
      <c r="BT33" s="97">
        <f t="shared" si="46"/>
        <v>21294</v>
      </c>
      <c r="BU33" s="97">
        <f t="shared" si="46"/>
        <v>14196</v>
      </c>
      <c r="BV33" s="97">
        <f t="shared" si="46"/>
        <v>10218</v>
      </c>
      <c r="BW33" s="97">
        <f t="shared" si="46"/>
        <v>6318</v>
      </c>
      <c r="BX33" s="97">
        <f t="shared" ref="BX33:CI33" si="47">$C$30*BX30+$C$31*BX31</f>
        <v>10491</v>
      </c>
      <c r="BY33" s="97">
        <f t="shared" si="47"/>
        <v>12558</v>
      </c>
      <c r="BZ33" s="97">
        <f t="shared" si="47"/>
        <v>6045</v>
      </c>
      <c r="CA33" s="97">
        <f t="shared" si="47"/>
        <v>3003</v>
      </c>
      <c r="CB33" s="97">
        <f t="shared" si="47"/>
        <v>2574</v>
      </c>
      <c r="CC33" s="97">
        <f t="shared" si="47"/>
        <v>819</v>
      </c>
      <c r="CD33" s="97">
        <f t="shared" si="47"/>
        <v>21450</v>
      </c>
      <c r="CE33" s="97">
        <f t="shared" si="47"/>
        <v>22503</v>
      </c>
      <c r="CF33" s="97">
        <f t="shared" si="47"/>
        <v>21294</v>
      </c>
      <c r="CG33" s="97">
        <f t="shared" si="47"/>
        <v>14196</v>
      </c>
      <c r="CH33" s="97">
        <f t="shared" si="47"/>
        <v>10218</v>
      </c>
      <c r="CI33" s="97">
        <f t="shared" si="47"/>
        <v>6318</v>
      </c>
    </row>
    <row r="34" spans="1:87" x14ac:dyDescent="0.2">
      <c r="A34" s="1">
        <v>26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87" x14ac:dyDescent="0.2">
      <c r="A35" s="1">
        <v>27</v>
      </c>
      <c r="B35" s="168" t="s">
        <v>234</v>
      </c>
      <c r="C35" s="1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</row>
    <row r="36" spans="1:87" x14ac:dyDescent="0.2">
      <c r="A36" s="1">
        <v>28</v>
      </c>
      <c r="B36" s="1" t="s">
        <v>295</v>
      </c>
      <c r="C36" s="11">
        <f>'Rate Design'!L16</f>
        <v>65</v>
      </c>
      <c r="D36" s="70">
        <f>[8]SAP!AJ49</f>
        <v>15</v>
      </c>
      <c r="E36" s="70">
        <f>[8]SAP!AK49</f>
        <v>115</v>
      </c>
      <c r="F36" s="70">
        <f>[8]SAP!AL49</f>
        <v>101</v>
      </c>
      <c r="G36" s="70">
        <f>[8]SAP!AM49</f>
        <v>-2</v>
      </c>
      <c r="H36" s="70">
        <f>[8]SAP!AN49</f>
        <v>-4</v>
      </c>
      <c r="I36" s="70">
        <f>[8]SAP!AO49</f>
        <v>1</v>
      </c>
      <c r="J36" s="70">
        <f>[8]SAP!AP49</f>
        <v>0</v>
      </c>
      <c r="K36" s="70">
        <f>[8]SAP!AQ49</f>
        <v>0</v>
      </c>
      <c r="L36" s="70">
        <f>[8]SAP!AR49</f>
        <v>-1</v>
      </c>
      <c r="M36" s="70">
        <f>[8]SAP!AS49</f>
        <v>0</v>
      </c>
      <c r="N36" s="70">
        <f>[8]SAP!AT49</f>
        <v>0</v>
      </c>
      <c r="O36" s="70">
        <f>[8]SAP!AU49</f>
        <v>0</v>
      </c>
      <c r="P36" s="70">
        <f>D36</f>
        <v>15</v>
      </c>
      <c r="Q36" s="70">
        <f t="shared" ref="Q36:BK37" si="48">E36</f>
        <v>115</v>
      </c>
      <c r="R36" s="70">
        <f t="shared" si="48"/>
        <v>101</v>
      </c>
      <c r="S36" s="70">
        <f t="shared" si="48"/>
        <v>-2</v>
      </c>
      <c r="T36" s="70">
        <f t="shared" si="48"/>
        <v>-4</v>
      </c>
      <c r="U36" s="70">
        <f t="shared" si="48"/>
        <v>1</v>
      </c>
      <c r="V36" s="70">
        <f t="shared" si="48"/>
        <v>0</v>
      </c>
      <c r="W36" s="70">
        <f t="shared" si="48"/>
        <v>0</v>
      </c>
      <c r="X36" s="70">
        <f t="shared" si="48"/>
        <v>-1</v>
      </c>
      <c r="Y36" s="70">
        <f t="shared" si="48"/>
        <v>0</v>
      </c>
      <c r="Z36" s="70">
        <f t="shared" si="48"/>
        <v>0</v>
      </c>
      <c r="AA36" s="70">
        <f t="shared" si="48"/>
        <v>0</v>
      </c>
      <c r="AB36" s="70">
        <f t="shared" si="48"/>
        <v>15</v>
      </c>
      <c r="AC36" s="70">
        <f t="shared" si="48"/>
        <v>115</v>
      </c>
      <c r="AD36" s="70">
        <f t="shared" si="48"/>
        <v>101</v>
      </c>
      <c r="AE36" s="70">
        <f t="shared" si="48"/>
        <v>-2</v>
      </c>
      <c r="AF36" s="70">
        <f t="shared" si="48"/>
        <v>-4</v>
      </c>
      <c r="AG36" s="70">
        <f t="shared" si="48"/>
        <v>1</v>
      </c>
      <c r="AH36" s="70">
        <f t="shared" si="48"/>
        <v>0</v>
      </c>
      <c r="AI36" s="70">
        <f t="shared" si="48"/>
        <v>0</v>
      </c>
      <c r="AJ36" s="70">
        <f t="shared" si="48"/>
        <v>-1</v>
      </c>
      <c r="AK36" s="70">
        <f t="shared" si="48"/>
        <v>0</v>
      </c>
      <c r="AL36" s="70">
        <f t="shared" si="48"/>
        <v>0</v>
      </c>
      <c r="AM36" s="70">
        <f t="shared" si="48"/>
        <v>0</v>
      </c>
      <c r="AN36" s="70">
        <f t="shared" si="48"/>
        <v>15</v>
      </c>
      <c r="AO36" s="70">
        <f t="shared" si="48"/>
        <v>115</v>
      </c>
      <c r="AP36" s="70">
        <f t="shared" si="48"/>
        <v>101</v>
      </c>
      <c r="AQ36" s="70">
        <f t="shared" si="48"/>
        <v>-2</v>
      </c>
      <c r="AR36" s="70">
        <f t="shared" si="48"/>
        <v>-4</v>
      </c>
      <c r="AS36" s="70">
        <f t="shared" si="48"/>
        <v>1</v>
      </c>
      <c r="AT36" s="70">
        <f t="shared" si="48"/>
        <v>0</v>
      </c>
      <c r="AU36" s="70">
        <f t="shared" si="48"/>
        <v>0</v>
      </c>
      <c r="AV36" s="70">
        <f t="shared" si="48"/>
        <v>-1</v>
      </c>
      <c r="AW36" s="70">
        <f t="shared" si="48"/>
        <v>0</v>
      </c>
      <c r="AX36" s="70">
        <f t="shared" si="48"/>
        <v>0</v>
      </c>
      <c r="AY36" s="70">
        <f t="shared" si="48"/>
        <v>0</v>
      </c>
      <c r="AZ36" s="70">
        <f t="shared" si="48"/>
        <v>15</v>
      </c>
      <c r="BA36" s="70">
        <f t="shared" si="48"/>
        <v>115</v>
      </c>
      <c r="BB36" s="70">
        <f t="shared" si="48"/>
        <v>101</v>
      </c>
      <c r="BC36" s="70">
        <f t="shared" si="48"/>
        <v>-2</v>
      </c>
      <c r="BD36" s="70">
        <f t="shared" si="48"/>
        <v>-4</v>
      </c>
      <c r="BE36" s="70">
        <f t="shared" si="48"/>
        <v>1</v>
      </c>
      <c r="BF36" s="70">
        <f t="shared" si="48"/>
        <v>0</v>
      </c>
      <c r="BG36" s="70">
        <f t="shared" si="48"/>
        <v>0</v>
      </c>
      <c r="BH36" s="70">
        <f t="shared" si="48"/>
        <v>-1</v>
      </c>
      <c r="BI36" s="70">
        <f t="shared" si="48"/>
        <v>0</v>
      </c>
      <c r="BJ36" s="70">
        <f t="shared" si="48"/>
        <v>0</v>
      </c>
      <c r="BK36" s="70">
        <f t="shared" si="48"/>
        <v>0</v>
      </c>
      <c r="BL36" s="70">
        <f t="shared" ref="BL36:BW37" si="49">AZ36</f>
        <v>15</v>
      </c>
      <c r="BM36" s="70">
        <f t="shared" si="49"/>
        <v>115</v>
      </c>
      <c r="BN36" s="70">
        <f t="shared" si="49"/>
        <v>101</v>
      </c>
      <c r="BO36" s="70">
        <f t="shared" si="49"/>
        <v>-2</v>
      </c>
      <c r="BP36" s="70">
        <f t="shared" si="49"/>
        <v>-4</v>
      </c>
      <c r="BQ36" s="70">
        <f t="shared" si="49"/>
        <v>1</v>
      </c>
      <c r="BR36" s="70">
        <f t="shared" si="49"/>
        <v>0</v>
      </c>
      <c r="BS36" s="70">
        <f t="shared" si="49"/>
        <v>0</v>
      </c>
      <c r="BT36" s="70">
        <f t="shared" si="49"/>
        <v>-1</v>
      </c>
      <c r="BU36" s="70">
        <f t="shared" si="49"/>
        <v>0</v>
      </c>
      <c r="BV36" s="70">
        <f t="shared" si="49"/>
        <v>0</v>
      </c>
      <c r="BW36" s="70">
        <f t="shared" si="49"/>
        <v>0</v>
      </c>
      <c r="BX36" s="70">
        <f t="shared" ref="BX36:CI37" si="50">BL36</f>
        <v>15</v>
      </c>
      <c r="BY36" s="70">
        <f t="shared" si="50"/>
        <v>115</v>
      </c>
      <c r="BZ36" s="70">
        <f t="shared" si="50"/>
        <v>101</v>
      </c>
      <c r="CA36" s="70">
        <f t="shared" si="50"/>
        <v>-2</v>
      </c>
      <c r="CB36" s="70">
        <f t="shared" si="50"/>
        <v>-4</v>
      </c>
      <c r="CC36" s="70">
        <f t="shared" si="50"/>
        <v>1</v>
      </c>
      <c r="CD36" s="70">
        <f t="shared" si="50"/>
        <v>0</v>
      </c>
      <c r="CE36" s="70">
        <f t="shared" si="50"/>
        <v>0</v>
      </c>
      <c r="CF36" s="70">
        <f t="shared" si="50"/>
        <v>-1</v>
      </c>
      <c r="CG36" s="70">
        <f t="shared" si="50"/>
        <v>0</v>
      </c>
      <c r="CH36" s="70">
        <f t="shared" si="50"/>
        <v>0</v>
      </c>
      <c r="CI36" s="70">
        <f t="shared" si="50"/>
        <v>0</v>
      </c>
    </row>
    <row r="37" spans="1:87" x14ac:dyDescent="0.2">
      <c r="A37" s="1">
        <v>25</v>
      </c>
      <c r="B37" s="1" t="s">
        <v>296</v>
      </c>
      <c r="C37" s="11">
        <f>'Rate Design'!M16</f>
        <v>73</v>
      </c>
      <c r="D37" s="70">
        <f>[8]SAP!AJ50</f>
        <v>0</v>
      </c>
      <c r="E37" s="70">
        <f>[8]SAP!AK50</f>
        <v>0</v>
      </c>
      <c r="F37" s="70">
        <f>[8]SAP!AL50</f>
        <v>0</v>
      </c>
      <c r="G37" s="70">
        <f>[8]SAP!AM50</f>
        <v>0</v>
      </c>
      <c r="H37" s="70">
        <f>[8]SAP!AN50</f>
        <v>0</v>
      </c>
      <c r="I37" s="70">
        <f>[8]SAP!AO50</f>
        <v>0</v>
      </c>
      <c r="J37" s="70">
        <f>[8]SAP!AP50</f>
        <v>0</v>
      </c>
      <c r="K37" s="70">
        <f>[8]SAP!AQ50</f>
        <v>0</v>
      </c>
      <c r="L37" s="70">
        <f>[8]SAP!AR50</f>
        <v>0</v>
      </c>
      <c r="M37" s="70">
        <f>[8]SAP!AS50</f>
        <v>0</v>
      </c>
      <c r="N37" s="70">
        <f>[8]SAP!AT50</f>
        <v>0</v>
      </c>
      <c r="O37" s="70">
        <f>[8]SAP!AU50</f>
        <v>0</v>
      </c>
      <c r="P37" s="70">
        <f>D37</f>
        <v>0</v>
      </c>
      <c r="Q37" s="70">
        <f t="shared" si="48"/>
        <v>0</v>
      </c>
      <c r="R37" s="70">
        <f t="shared" si="48"/>
        <v>0</v>
      </c>
      <c r="S37" s="70">
        <f t="shared" si="48"/>
        <v>0</v>
      </c>
      <c r="T37" s="70">
        <f t="shared" si="48"/>
        <v>0</v>
      </c>
      <c r="U37" s="70">
        <f t="shared" si="48"/>
        <v>0</v>
      </c>
      <c r="V37" s="70">
        <f t="shared" si="48"/>
        <v>0</v>
      </c>
      <c r="W37" s="70">
        <f t="shared" si="48"/>
        <v>0</v>
      </c>
      <c r="X37" s="70">
        <f t="shared" si="48"/>
        <v>0</v>
      </c>
      <c r="Y37" s="70">
        <f t="shared" si="48"/>
        <v>0</v>
      </c>
      <c r="Z37" s="70">
        <f t="shared" si="48"/>
        <v>0</v>
      </c>
      <c r="AA37" s="70">
        <f t="shared" si="48"/>
        <v>0</v>
      </c>
      <c r="AB37" s="70">
        <f t="shared" si="48"/>
        <v>0</v>
      </c>
      <c r="AC37" s="70">
        <f t="shared" si="48"/>
        <v>0</v>
      </c>
      <c r="AD37" s="70">
        <f t="shared" si="48"/>
        <v>0</v>
      </c>
      <c r="AE37" s="70">
        <f t="shared" si="48"/>
        <v>0</v>
      </c>
      <c r="AF37" s="70">
        <f t="shared" si="48"/>
        <v>0</v>
      </c>
      <c r="AG37" s="70">
        <f t="shared" si="48"/>
        <v>0</v>
      </c>
      <c r="AH37" s="70">
        <f t="shared" si="48"/>
        <v>0</v>
      </c>
      <c r="AI37" s="70">
        <f t="shared" si="48"/>
        <v>0</v>
      </c>
      <c r="AJ37" s="70">
        <f t="shared" si="48"/>
        <v>0</v>
      </c>
      <c r="AK37" s="70">
        <f t="shared" si="48"/>
        <v>0</v>
      </c>
      <c r="AL37" s="70">
        <f t="shared" si="48"/>
        <v>0</v>
      </c>
      <c r="AM37" s="70">
        <f t="shared" si="48"/>
        <v>0</v>
      </c>
      <c r="AN37" s="70">
        <f t="shared" si="48"/>
        <v>0</v>
      </c>
      <c r="AO37" s="70">
        <f t="shared" si="48"/>
        <v>0</v>
      </c>
      <c r="AP37" s="70">
        <f t="shared" si="48"/>
        <v>0</v>
      </c>
      <c r="AQ37" s="70">
        <f t="shared" si="48"/>
        <v>0</v>
      </c>
      <c r="AR37" s="70">
        <f t="shared" si="48"/>
        <v>0</v>
      </c>
      <c r="AS37" s="70">
        <f t="shared" si="48"/>
        <v>0</v>
      </c>
      <c r="AT37" s="70">
        <f t="shared" si="48"/>
        <v>0</v>
      </c>
      <c r="AU37" s="70">
        <f t="shared" si="48"/>
        <v>0</v>
      </c>
      <c r="AV37" s="70">
        <f t="shared" si="48"/>
        <v>0</v>
      </c>
      <c r="AW37" s="70">
        <f t="shared" si="48"/>
        <v>0</v>
      </c>
      <c r="AX37" s="70">
        <f t="shared" si="48"/>
        <v>0</v>
      </c>
      <c r="AY37" s="70">
        <f t="shared" si="48"/>
        <v>0</v>
      </c>
      <c r="AZ37" s="70">
        <f t="shared" si="48"/>
        <v>0</v>
      </c>
      <c r="BA37" s="70">
        <f t="shared" si="48"/>
        <v>0</v>
      </c>
      <c r="BB37" s="70">
        <f t="shared" si="48"/>
        <v>0</v>
      </c>
      <c r="BC37" s="70">
        <f t="shared" si="48"/>
        <v>0</v>
      </c>
      <c r="BD37" s="70">
        <f t="shared" si="48"/>
        <v>0</v>
      </c>
      <c r="BE37" s="70">
        <f t="shared" si="48"/>
        <v>0</v>
      </c>
      <c r="BF37" s="70">
        <f t="shared" si="48"/>
        <v>0</v>
      </c>
      <c r="BG37" s="70">
        <f t="shared" si="48"/>
        <v>0</v>
      </c>
      <c r="BH37" s="70">
        <f t="shared" si="48"/>
        <v>0</v>
      </c>
      <c r="BI37" s="70">
        <f t="shared" si="48"/>
        <v>0</v>
      </c>
      <c r="BJ37" s="70">
        <f t="shared" si="48"/>
        <v>0</v>
      </c>
      <c r="BK37" s="70">
        <f t="shared" si="48"/>
        <v>0</v>
      </c>
      <c r="BL37" s="70">
        <f t="shared" si="49"/>
        <v>0</v>
      </c>
      <c r="BM37" s="70">
        <f t="shared" si="49"/>
        <v>0</v>
      </c>
      <c r="BN37" s="70">
        <f t="shared" si="49"/>
        <v>0</v>
      </c>
      <c r="BO37" s="70">
        <f t="shared" si="49"/>
        <v>0</v>
      </c>
      <c r="BP37" s="70">
        <f t="shared" si="49"/>
        <v>0</v>
      </c>
      <c r="BQ37" s="70">
        <f t="shared" si="49"/>
        <v>0</v>
      </c>
      <c r="BR37" s="70">
        <f t="shared" si="49"/>
        <v>0</v>
      </c>
      <c r="BS37" s="70">
        <f t="shared" si="49"/>
        <v>0</v>
      </c>
      <c r="BT37" s="70">
        <f t="shared" si="49"/>
        <v>0</v>
      </c>
      <c r="BU37" s="70">
        <f t="shared" si="49"/>
        <v>0</v>
      </c>
      <c r="BV37" s="70">
        <f t="shared" si="49"/>
        <v>0</v>
      </c>
      <c r="BW37" s="70">
        <f t="shared" si="49"/>
        <v>0</v>
      </c>
      <c r="BX37" s="70">
        <f t="shared" si="50"/>
        <v>0</v>
      </c>
      <c r="BY37" s="70">
        <f t="shared" si="50"/>
        <v>0</v>
      </c>
      <c r="BZ37" s="70">
        <f t="shared" si="50"/>
        <v>0</v>
      </c>
      <c r="CA37" s="70">
        <f t="shared" si="50"/>
        <v>0</v>
      </c>
      <c r="CB37" s="70">
        <f t="shared" si="50"/>
        <v>0</v>
      </c>
      <c r="CC37" s="70">
        <f t="shared" si="50"/>
        <v>0</v>
      </c>
      <c r="CD37" s="70">
        <f t="shared" si="50"/>
        <v>0</v>
      </c>
      <c r="CE37" s="70">
        <f t="shared" si="50"/>
        <v>0</v>
      </c>
      <c r="CF37" s="70">
        <f t="shared" si="50"/>
        <v>0</v>
      </c>
      <c r="CG37" s="70">
        <f t="shared" si="50"/>
        <v>0</v>
      </c>
      <c r="CH37" s="70">
        <f t="shared" si="50"/>
        <v>0</v>
      </c>
      <c r="CI37" s="70">
        <f t="shared" si="50"/>
        <v>0</v>
      </c>
    </row>
    <row r="38" spans="1:87" x14ac:dyDescent="0.2">
      <c r="A38" s="1">
        <v>26</v>
      </c>
      <c r="B38" s="32" t="s">
        <v>300</v>
      </c>
      <c r="C38" s="32"/>
      <c r="D38" s="31">
        <f t="shared" ref="D38:P38" si="51">D36+D37</f>
        <v>15</v>
      </c>
      <c r="E38" s="31">
        <f t="shared" si="51"/>
        <v>115</v>
      </c>
      <c r="F38" s="31">
        <f t="shared" si="51"/>
        <v>101</v>
      </c>
      <c r="G38" s="31">
        <f t="shared" si="51"/>
        <v>-2</v>
      </c>
      <c r="H38" s="31">
        <f t="shared" si="51"/>
        <v>-4</v>
      </c>
      <c r="I38" s="31">
        <f t="shared" si="51"/>
        <v>1</v>
      </c>
      <c r="J38" s="31">
        <f t="shared" si="51"/>
        <v>0</v>
      </c>
      <c r="K38" s="31">
        <f t="shared" si="51"/>
        <v>0</v>
      </c>
      <c r="L38" s="31">
        <f t="shared" si="51"/>
        <v>-1</v>
      </c>
      <c r="M38" s="31">
        <f t="shared" si="51"/>
        <v>0</v>
      </c>
      <c r="N38" s="31">
        <f t="shared" si="51"/>
        <v>0</v>
      </c>
      <c r="O38" s="31">
        <f t="shared" si="51"/>
        <v>0</v>
      </c>
      <c r="P38" s="31">
        <f t="shared" si="51"/>
        <v>15</v>
      </c>
      <c r="Q38" s="31">
        <f t="shared" ref="Q38:BK38" si="52">Q36+Q37</f>
        <v>115</v>
      </c>
      <c r="R38" s="31">
        <f t="shared" si="52"/>
        <v>101</v>
      </c>
      <c r="S38" s="31">
        <f t="shared" si="52"/>
        <v>-2</v>
      </c>
      <c r="T38" s="31">
        <f t="shared" si="52"/>
        <v>-4</v>
      </c>
      <c r="U38" s="31">
        <f t="shared" si="52"/>
        <v>1</v>
      </c>
      <c r="V38" s="31">
        <f t="shared" si="52"/>
        <v>0</v>
      </c>
      <c r="W38" s="31">
        <f t="shared" si="52"/>
        <v>0</v>
      </c>
      <c r="X38" s="31">
        <f t="shared" si="52"/>
        <v>-1</v>
      </c>
      <c r="Y38" s="31">
        <f t="shared" si="52"/>
        <v>0</v>
      </c>
      <c r="Z38" s="31">
        <f t="shared" si="52"/>
        <v>0</v>
      </c>
      <c r="AA38" s="31">
        <f t="shared" si="52"/>
        <v>0</v>
      </c>
      <c r="AB38" s="31">
        <f t="shared" si="52"/>
        <v>15</v>
      </c>
      <c r="AC38" s="31">
        <f t="shared" si="52"/>
        <v>115</v>
      </c>
      <c r="AD38" s="31">
        <f t="shared" si="52"/>
        <v>101</v>
      </c>
      <c r="AE38" s="31">
        <f t="shared" si="52"/>
        <v>-2</v>
      </c>
      <c r="AF38" s="31">
        <f t="shared" si="52"/>
        <v>-4</v>
      </c>
      <c r="AG38" s="31">
        <f t="shared" si="52"/>
        <v>1</v>
      </c>
      <c r="AH38" s="31">
        <f t="shared" si="52"/>
        <v>0</v>
      </c>
      <c r="AI38" s="31">
        <f t="shared" si="52"/>
        <v>0</v>
      </c>
      <c r="AJ38" s="31">
        <f t="shared" si="52"/>
        <v>-1</v>
      </c>
      <c r="AK38" s="31">
        <f t="shared" si="52"/>
        <v>0</v>
      </c>
      <c r="AL38" s="31">
        <f t="shared" si="52"/>
        <v>0</v>
      </c>
      <c r="AM38" s="31">
        <f t="shared" si="52"/>
        <v>0</v>
      </c>
      <c r="AN38" s="31">
        <f t="shared" si="52"/>
        <v>15</v>
      </c>
      <c r="AO38" s="31">
        <f t="shared" si="52"/>
        <v>115</v>
      </c>
      <c r="AP38" s="31">
        <f t="shared" si="52"/>
        <v>101</v>
      </c>
      <c r="AQ38" s="31">
        <f t="shared" si="52"/>
        <v>-2</v>
      </c>
      <c r="AR38" s="31">
        <f t="shared" si="52"/>
        <v>-4</v>
      </c>
      <c r="AS38" s="31">
        <f t="shared" si="52"/>
        <v>1</v>
      </c>
      <c r="AT38" s="31">
        <f t="shared" si="52"/>
        <v>0</v>
      </c>
      <c r="AU38" s="31">
        <f t="shared" si="52"/>
        <v>0</v>
      </c>
      <c r="AV38" s="31">
        <f t="shared" si="52"/>
        <v>-1</v>
      </c>
      <c r="AW38" s="31">
        <f t="shared" si="52"/>
        <v>0</v>
      </c>
      <c r="AX38" s="31">
        <f t="shared" si="52"/>
        <v>0</v>
      </c>
      <c r="AY38" s="31">
        <f t="shared" si="52"/>
        <v>0</v>
      </c>
      <c r="AZ38" s="31">
        <f t="shared" si="52"/>
        <v>15</v>
      </c>
      <c r="BA38" s="31">
        <f t="shared" si="52"/>
        <v>115</v>
      </c>
      <c r="BB38" s="31">
        <f t="shared" si="52"/>
        <v>101</v>
      </c>
      <c r="BC38" s="31">
        <f t="shared" si="52"/>
        <v>-2</v>
      </c>
      <c r="BD38" s="31">
        <f t="shared" si="52"/>
        <v>-4</v>
      </c>
      <c r="BE38" s="31">
        <f t="shared" si="52"/>
        <v>1</v>
      </c>
      <c r="BF38" s="31">
        <f t="shared" si="52"/>
        <v>0</v>
      </c>
      <c r="BG38" s="31">
        <f t="shared" si="52"/>
        <v>0</v>
      </c>
      <c r="BH38" s="31">
        <f t="shared" si="52"/>
        <v>-1</v>
      </c>
      <c r="BI38" s="31">
        <f t="shared" si="52"/>
        <v>0</v>
      </c>
      <c r="BJ38" s="31">
        <f t="shared" si="52"/>
        <v>0</v>
      </c>
      <c r="BK38" s="31">
        <f t="shared" si="52"/>
        <v>0</v>
      </c>
      <c r="BL38" s="31">
        <f t="shared" ref="BL38:BW38" si="53">BL36+BL37</f>
        <v>15</v>
      </c>
      <c r="BM38" s="31">
        <f t="shared" si="53"/>
        <v>115</v>
      </c>
      <c r="BN38" s="31">
        <f t="shared" si="53"/>
        <v>101</v>
      </c>
      <c r="BO38" s="31">
        <f t="shared" si="53"/>
        <v>-2</v>
      </c>
      <c r="BP38" s="31">
        <f t="shared" si="53"/>
        <v>-4</v>
      </c>
      <c r="BQ38" s="31">
        <f t="shared" si="53"/>
        <v>1</v>
      </c>
      <c r="BR38" s="31">
        <f t="shared" si="53"/>
        <v>0</v>
      </c>
      <c r="BS38" s="31">
        <f t="shared" si="53"/>
        <v>0</v>
      </c>
      <c r="BT38" s="31">
        <f t="shared" si="53"/>
        <v>-1</v>
      </c>
      <c r="BU38" s="31">
        <f t="shared" si="53"/>
        <v>0</v>
      </c>
      <c r="BV38" s="31">
        <f t="shared" si="53"/>
        <v>0</v>
      </c>
      <c r="BW38" s="31">
        <f t="shared" si="53"/>
        <v>0</v>
      </c>
      <c r="BX38" s="31">
        <f t="shared" ref="BX38:CI38" si="54">BX36+BX37</f>
        <v>15</v>
      </c>
      <c r="BY38" s="31">
        <f t="shared" si="54"/>
        <v>115</v>
      </c>
      <c r="BZ38" s="31">
        <f t="shared" si="54"/>
        <v>101</v>
      </c>
      <c r="CA38" s="31">
        <f t="shared" si="54"/>
        <v>-2</v>
      </c>
      <c r="CB38" s="31">
        <f t="shared" si="54"/>
        <v>-4</v>
      </c>
      <c r="CC38" s="31">
        <f t="shared" si="54"/>
        <v>1</v>
      </c>
      <c r="CD38" s="31">
        <f t="shared" si="54"/>
        <v>0</v>
      </c>
      <c r="CE38" s="31">
        <f t="shared" si="54"/>
        <v>0</v>
      </c>
      <c r="CF38" s="31">
        <f t="shared" si="54"/>
        <v>-1</v>
      </c>
      <c r="CG38" s="31">
        <f t="shared" si="54"/>
        <v>0</v>
      </c>
      <c r="CH38" s="31">
        <f t="shared" si="54"/>
        <v>0</v>
      </c>
      <c r="CI38" s="31">
        <f t="shared" si="54"/>
        <v>0</v>
      </c>
    </row>
    <row r="39" spans="1:87" x14ac:dyDescent="0.2">
      <c r="A39" s="1">
        <v>27</v>
      </c>
      <c r="B39" s="32" t="s">
        <v>301</v>
      </c>
      <c r="C39" s="32"/>
      <c r="D39" s="97">
        <f t="shared" ref="D39:O39" si="55">$C$36*D36+$C$37*D37</f>
        <v>975</v>
      </c>
      <c r="E39" s="97">
        <f t="shared" si="55"/>
        <v>7475</v>
      </c>
      <c r="F39" s="97">
        <f t="shared" si="55"/>
        <v>6565</v>
      </c>
      <c r="G39" s="97">
        <f t="shared" si="55"/>
        <v>-130</v>
      </c>
      <c r="H39" s="97">
        <f t="shared" si="55"/>
        <v>-260</v>
      </c>
      <c r="I39" s="97">
        <f t="shared" si="55"/>
        <v>65</v>
      </c>
      <c r="J39" s="97">
        <f t="shared" si="55"/>
        <v>0</v>
      </c>
      <c r="K39" s="97">
        <f t="shared" si="55"/>
        <v>0</v>
      </c>
      <c r="L39" s="97">
        <f t="shared" si="55"/>
        <v>-65</v>
      </c>
      <c r="M39" s="97">
        <f t="shared" si="55"/>
        <v>0</v>
      </c>
      <c r="N39" s="97">
        <f t="shared" si="55"/>
        <v>0</v>
      </c>
      <c r="O39" s="97">
        <f t="shared" si="55"/>
        <v>0</v>
      </c>
      <c r="P39" s="97">
        <f t="shared" ref="P39:BK39" si="56">$C$36*P36+$C$37*P37</f>
        <v>975</v>
      </c>
      <c r="Q39" s="97">
        <f t="shared" si="56"/>
        <v>7475</v>
      </c>
      <c r="R39" s="97">
        <f t="shared" si="56"/>
        <v>6565</v>
      </c>
      <c r="S39" s="97">
        <f t="shared" si="56"/>
        <v>-130</v>
      </c>
      <c r="T39" s="97">
        <f t="shared" si="56"/>
        <v>-260</v>
      </c>
      <c r="U39" s="97">
        <f t="shared" si="56"/>
        <v>65</v>
      </c>
      <c r="V39" s="97">
        <f t="shared" si="56"/>
        <v>0</v>
      </c>
      <c r="W39" s="97">
        <f t="shared" si="56"/>
        <v>0</v>
      </c>
      <c r="X39" s="97">
        <f t="shared" si="56"/>
        <v>-65</v>
      </c>
      <c r="Y39" s="97">
        <f t="shared" si="56"/>
        <v>0</v>
      </c>
      <c r="Z39" s="97">
        <f t="shared" si="56"/>
        <v>0</v>
      </c>
      <c r="AA39" s="97">
        <f t="shared" si="56"/>
        <v>0</v>
      </c>
      <c r="AB39" s="97">
        <f t="shared" si="56"/>
        <v>975</v>
      </c>
      <c r="AC39" s="97">
        <f t="shared" si="56"/>
        <v>7475</v>
      </c>
      <c r="AD39" s="97">
        <f t="shared" si="56"/>
        <v>6565</v>
      </c>
      <c r="AE39" s="97">
        <f t="shared" si="56"/>
        <v>-130</v>
      </c>
      <c r="AF39" s="97">
        <f t="shared" si="56"/>
        <v>-260</v>
      </c>
      <c r="AG39" s="97">
        <f t="shared" si="56"/>
        <v>65</v>
      </c>
      <c r="AH39" s="97">
        <f t="shared" si="56"/>
        <v>0</v>
      </c>
      <c r="AI39" s="97">
        <f t="shared" si="56"/>
        <v>0</v>
      </c>
      <c r="AJ39" s="97">
        <f t="shared" si="56"/>
        <v>-65</v>
      </c>
      <c r="AK39" s="97">
        <f t="shared" si="56"/>
        <v>0</v>
      </c>
      <c r="AL39" s="97">
        <f t="shared" si="56"/>
        <v>0</v>
      </c>
      <c r="AM39" s="97">
        <f t="shared" si="56"/>
        <v>0</v>
      </c>
      <c r="AN39" s="97">
        <f t="shared" si="56"/>
        <v>975</v>
      </c>
      <c r="AO39" s="97">
        <f t="shared" si="56"/>
        <v>7475</v>
      </c>
      <c r="AP39" s="97">
        <f t="shared" si="56"/>
        <v>6565</v>
      </c>
      <c r="AQ39" s="97">
        <f t="shared" si="56"/>
        <v>-130</v>
      </c>
      <c r="AR39" s="97">
        <f t="shared" si="56"/>
        <v>-260</v>
      </c>
      <c r="AS39" s="97">
        <f t="shared" si="56"/>
        <v>65</v>
      </c>
      <c r="AT39" s="97">
        <f t="shared" si="56"/>
        <v>0</v>
      </c>
      <c r="AU39" s="97">
        <f t="shared" si="56"/>
        <v>0</v>
      </c>
      <c r="AV39" s="97">
        <f t="shared" si="56"/>
        <v>-65</v>
      </c>
      <c r="AW39" s="97">
        <f t="shared" si="56"/>
        <v>0</v>
      </c>
      <c r="AX39" s="97">
        <f t="shared" si="56"/>
        <v>0</v>
      </c>
      <c r="AY39" s="97">
        <f t="shared" si="56"/>
        <v>0</v>
      </c>
      <c r="AZ39" s="97">
        <f t="shared" si="56"/>
        <v>975</v>
      </c>
      <c r="BA39" s="97">
        <f t="shared" si="56"/>
        <v>7475</v>
      </c>
      <c r="BB39" s="97">
        <f t="shared" si="56"/>
        <v>6565</v>
      </c>
      <c r="BC39" s="97">
        <f t="shared" si="56"/>
        <v>-130</v>
      </c>
      <c r="BD39" s="97">
        <f t="shared" si="56"/>
        <v>-260</v>
      </c>
      <c r="BE39" s="97">
        <f t="shared" si="56"/>
        <v>65</v>
      </c>
      <c r="BF39" s="97">
        <f t="shared" si="56"/>
        <v>0</v>
      </c>
      <c r="BG39" s="97">
        <f t="shared" si="56"/>
        <v>0</v>
      </c>
      <c r="BH39" s="97">
        <f t="shared" si="56"/>
        <v>-65</v>
      </c>
      <c r="BI39" s="97">
        <f t="shared" si="56"/>
        <v>0</v>
      </c>
      <c r="BJ39" s="97">
        <f t="shared" si="56"/>
        <v>0</v>
      </c>
      <c r="BK39" s="97">
        <f t="shared" si="56"/>
        <v>0</v>
      </c>
      <c r="BL39" s="97">
        <f t="shared" ref="BL39:BW39" si="57">$C$36*BL36+$C$37*BL37</f>
        <v>975</v>
      </c>
      <c r="BM39" s="97">
        <f t="shared" si="57"/>
        <v>7475</v>
      </c>
      <c r="BN39" s="97">
        <f t="shared" si="57"/>
        <v>6565</v>
      </c>
      <c r="BO39" s="97">
        <f t="shared" si="57"/>
        <v>-130</v>
      </c>
      <c r="BP39" s="97">
        <f t="shared" si="57"/>
        <v>-260</v>
      </c>
      <c r="BQ39" s="97">
        <f t="shared" si="57"/>
        <v>65</v>
      </c>
      <c r="BR39" s="97">
        <f t="shared" si="57"/>
        <v>0</v>
      </c>
      <c r="BS39" s="97">
        <f t="shared" si="57"/>
        <v>0</v>
      </c>
      <c r="BT39" s="97">
        <f t="shared" si="57"/>
        <v>-65</v>
      </c>
      <c r="BU39" s="97">
        <f t="shared" si="57"/>
        <v>0</v>
      </c>
      <c r="BV39" s="97">
        <f t="shared" si="57"/>
        <v>0</v>
      </c>
      <c r="BW39" s="97">
        <f t="shared" si="57"/>
        <v>0</v>
      </c>
      <c r="BX39" s="97">
        <f t="shared" ref="BX39:CI39" si="58">$C$36*BX36+$C$37*BX37</f>
        <v>975</v>
      </c>
      <c r="BY39" s="97">
        <f t="shared" si="58"/>
        <v>7475</v>
      </c>
      <c r="BZ39" s="97">
        <f t="shared" si="58"/>
        <v>6565</v>
      </c>
      <c r="CA39" s="97">
        <f t="shared" si="58"/>
        <v>-130</v>
      </c>
      <c r="CB39" s="97">
        <f t="shared" si="58"/>
        <v>-260</v>
      </c>
      <c r="CC39" s="97">
        <f t="shared" si="58"/>
        <v>65</v>
      </c>
      <c r="CD39" s="97">
        <f t="shared" si="58"/>
        <v>0</v>
      </c>
      <c r="CE39" s="97">
        <f t="shared" si="58"/>
        <v>0</v>
      </c>
      <c r="CF39" s="97">
        <f t="shared" si="58"/>
        <v>-65</v>
      </c>
      <c r="CG39" s="97">
        <f t="shared" si="58"/>
        <v>0</v>
      </c>
      <c r="CH39" s="97">
        <f t="shared" si="58"/>
        <v>0</v>
      </c>
      <c r="CI39" s="97">
        <f t="shared" si="58"/>
        <v>0</v>
      </c>
    </row>
    <row r="40" spans="1:87" x14ac:dyDescent="0.2">
      <c r="A40" s="1">
        <v>28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87" x14ac:dyDescent="0.2">
      <c r="A41" s="1">
        <v>29</v>
      </c>
      <c r="B41" s="168" t="s">
        <v>235</v>
      </c>
      <c r="C41" s="1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</row>
    <row r="42" spans="1:87" x14ac:dyDescent="0.2">
      <c r="A42" s="1">
        <v>30</v>
      </c>
      <c r="B42" s="1" t="s">
        <v>295</v>
      </c>
      <c r="C42" s="11">
        <f>'Rate Design'!L18</f>
        <v>20</v>
      </c>
      <c r="D42" s="70">
        <f>[8]SAP!AJ55</f>
        <v>0</v>
      </c>
      <c r="E42" s="70">
        <f>[8]SAP!AK55</f>
        <v>0</v>
      </c>
      <c r="F42" s="70">
        <f>[8]SAP!AL55</f>
        <v>0</v>
      </c>
      <c r="G42" s="70">
        <f>[8]SAP!AM55</f>
        <v>0</v>
      </c>
      <c r="H42" s="70">
        <f>[8]SAP!AN55</f>
        <v>0</v>
      </c>
      <c r="I42" s="70">
        <f>[8]SAP!AO55</f>
        <v>0</v>
      </c>
      <c r="J42" s="70">
        <f>[8]SAP!AP55</f>
        <v>0</v>
      </c>
      <c r="K42" s="70">
        <f>[8]SAP!AQ55</f>
        <v>0</v>
      </c>
      <c r="L42" s="70">
        <f>[8]SAP!AR55</f>
        <v>0</v>
      </c>
      <c r="M42" s="70">
        <f>[8]SAP!AS55</f>
        <v>0</v>
      </c>
      <c r="N42" s="70">
        <f>[8]SAP!AT55</f>
        <v>0</v>
      </c>
      <c r="O42" s="70">
        <f>[8]SAP!AU55</f>
        <v>0</v>
      </c>
      <c r="P42" s="70">
        <f>D42</f>
        <v>0</v>
      </c>
      <c r="Q42" s="70">
        <f t="shared" ref="Q42:BK43" si="59">E42</f>
        <v>0</v>
      </c>
      <c r="R42" s="70">
        <f t="shared" si="59"/>
        <v>0</v>
      </c>
      <c r="S42" s="70">
        <f t="shared" si="59"/>
        <v>0</v>
      </c>
      <c r="T42" s="70">
        <f t="shared" si="59"/>
        <v>0</v>
      </c>
      <c r="U42" s="70">
        <f t="shared" si="59"/>
        <v>0</v>
      </c>
      <c r="V42" s="70">
        <f t="shared" si="59"/>
        <v>0</v>
      </c>
      <c r="W42" s="70">
        <f t="shared" si="59"/>
        <v>0</v>
      </c>
      <c r="X42" s="70">
        <f t="shared" si="59"/>
        <v>0</v>
      </c>
      <c r="Y42" s="70">
        <f t="shared" si="59"/>
        <v>0</v>
      </c>
      <c r="Z42" s="70">
        <f t="shared" si="59"/>
        <v>0</v>
      </c>
      <c r="AA42" s="70">
        <f t="shared" si="59"/>
        <v>0</v>
      </c>
      <c r="AB42" s="70">
        <f t="shared" si="59"/>
        <v>0</v>
      </c>
      <c r="AC42" s="70">
        <f t="shared" si="59"/>
        <v>0</v>
      </c>
      <c r="AD42" s="70">
        <f t="shared" si="59"/>
        <v>0</v>
      </c>
      <c r="AE42" s="70">
        <f t="shared" si="59"/>
        <v>0</v>
      </c>
      <c r="AF42" s="70">
        <f t="shared" si="59"/>
        <v>0</v>
      </c>
      <c r="AG42" s="70">
        <f t="shared" si="59"/>
        <v>0</v>
      </c>
      <c r="AH42" s="70">
        <f t="shared" si="59"/>
        <v>0</v>
      </c>
      <c r="AI42" s="70">
        <f t="shared" si="59"/>
        <v>0</v>
      </c>
      <c r="AJ42" s="70">
        <f t="shared" si="59"/>
        <v>0</v>
      </c>
      <c r="AK42" s="70">
        <f t="shared" si="59"/>
        <v>0</v>
      </c>
      <c r="AL42" s="70">
        <f t="shared" si="59"/>
        <v>0</v>
      </c>
      <c r="AM42" s="70">
        <f t="shared" si="59"/>
        <v>0</v>
      </c>
      <c r="AN42" s="70">
        <f t="shared" si="59"/>
        <v>0</v>
      </c>
      <c r="AO42" s="70">
        <f t="shared" si="59"/>
        <v>0</v>
      </c>
      <c r="AP42" s="70">
        <f t="shared" si="59"/>
        <v>0</v>
      </c>
      <c r="AQ42" s="70">
        <f t="shared" si="59"/>
        <v>0</v>
      </c>
      <c r="AR42" s="70">
        <f t="shared" si="59"/>
        <v>0</v>
      </c>
      <c r="AS42" s="70">
        <f t="shared" si="59"/>
        <v>0</v>
      </c>
      <c r="AT42" s="70">
        <f t="shared" si="59"/>
        <v>0</v>
      </c>
      <c r="AU42" s="70">
        <f t="shared" si="59"/>
        <v>0</v>
      </c>
      <c r="AV42" s="70">
        <f t="shared" si="59"/>
        <v>0</v>
      </c>
      <c r="AW42" s="70">
        <f t="shared" si="59"/>
        <v>0</v>
      </c>
      <c r="AX42" s="70">
        <f t="shared" si="59"/>
        <v>0</v>
      </c>
      <c r="AY42" s="70">
        <f t="shared" si="59"/>
        <v>0</v>
      </c>
      <c r="AZ42" s="70">
        <f t="shared" si="59"/>
        <v>0</v>
      </c>
      <c r="BA42" s="70">
        <f t="shared" si="59"/>
        <v>0</v>
      </c>
      <c r="BB42" s="70">
        <f t="shared" si="59"/>
        <v>0</v>
      </c>
      <c r="BC42" s="70">
        <f t="shared" si="59"/>
        <v>0</v>
      </c>
      <c r="BD42" s="70">
        <f t="shared" si="59"/>
        <v>0</v>
      </c>
      <c r="BE42" s="70">
        <f t="shared" si="59"/>
        <v>0</v>
      </c>
      <c r="BF42" s="70">
        <f t="shared" si="59"/>
        <v>0</v>
      </c>
      <c r="BG42" s="70">
        <f t="shared" si="59"/>
        <v>0</v>
      </c>
      <c r="BH42" s="70">
        <f t="shared" si="59"/>
        <v>0</v>
      </c>
      <c r="BI42" s="70">
        <f t="shared" si="59"/>
        <v>0</v>
      </c>
      <c r="BJ42" s="70">
        <f t="shared" si="59"/>
        <v>0</v>
      </c>
      <c r="BK42" s="70">
        <f t="shared" si="59"/>
        <v>0</v>
      </c>
      <c r="BL42" s="70">
        <f t="shared" ref="BL42:BW43" si="60">AZ42</f>
        <v>0</v>
      </c>
      <c r="BM42" s="70">
        <f t="shared" si="60"/>
        <v>0</v>
      </c>
      <c r="BN42" s="70">
        <f t="shared" si="60"/>
        <v>0</v>
      </c>
      <c r="BO42" s="70">
        <f t="shared" si="60"/>
        <v>0</v>
      </c>
      <c r="BP42" s="70">
        <f t="shared" si="60"/>
        <v>0</v>
      </c>
      <c r="BQ42" s="70">
        <f t="shared" si="60"/>
        <v>0</v>
      </c>
      <c r="BR42" s="70">
        <f t="shared" si="60"/>
        <v>0</v>
      </c>
      <c r="BS42" s="70">
        <f t="shared" si="60"/>
        <v>0</v>
      </c>
      <c r="BT42" s="70">
        <f t="shared" si="60"/>
        <v>0</v>
      </c>
      <c r="BU42" s="70">
        <f t="shared" si="60"/>
        <v>0</v>
      </c>
      <c r="BV42" s="70">
        <f t="shared" si="60"/>
        <v>0</v>
      </c>
      <c r="BW42" s="70">
        <f t="shared" si="60"/>
        <v>0</v>
      </c>
      <c r="BX42" s="70">
        <f t="shared" ref="BX42:CI43" si="61">BL42</f>
        <v>0</v>
      </c>
      <c r="BY42" s="70">
        <f t="shared" si="61"/>
        <v>0</v>
      </c>
      <c r="BZ42" s="70">
        <f t="shared" si="61"/>
        <v>0</v>
      </c>
      <c r="CA42" s="70">
        <f t="shared" si="61"/>
        <v>0</v>
      </c>
      <c r="CB42" s="70">
        <f t="shared" si="61"/>
        <v>0</v>
      </c>
      <c r="CC42" s="70">
        <f t="shared" si="61"/>
        <v>0</v>
      </c>
      <c r="CD42" s="70">
        <f t="shared" si="61"/>
        <v>0</v>
      </c>
      <c r="CE42" s="70">
        <f t="shared" si="61"/>
        <v>0</v>
      </c>
      <c r="CF42" s="70">
        <f t="shared" si="61"/>
        <v>0</v>
      </c>
      <c r="CG42" s="70">
        <f t="shared" si="61"/>
        <v>0</v>
      </c>
      <c r="CH42" s="70">
        <f t="shared" si="61"/>
        <v>0</v>
      </c>
      <c r="CI42" s="70">
        <f t="shared" si="61"/>
        <v>0</v>
      </c>
    </row>
    <row r="43" spans="1:87" x14ac:dyDescent="0.2">
      <c r="A43" s="1">
        <v>31</v>
      </c>
      <c r="B43" s="1" t="s">
        <v>296</v>
      </c>
      <c r="C43" s="192" t="s">
        <v>302</v>
      </c>
      <c r="D43" s="70">
        <f>[8]SAP!AJ56</f>
        <v>0</v>
      </c>
      <c r="E43" s="70">
        <f>[8]SAP!AK56</f>
        <v>0</v>
      </c>
      <c r="F43" s="70">
        <f>[8]SAP!AL56</f>
        <v>0</v>
      </c>
      <c r="G43" s="70">
        <f>[8]SAP!AM56</f>
        <v>0</v>
      </c>
      <c r="H43" s="70">
        <f>[8]SAP!AN56</f>
        <v>0</v>
      </c>
      <c r="I43" s="70">
        <f>[8]SAP!AO56</f>
        <v>0</v>
      </c>
      <c r="J43" s="70">
        <f>[8]SAP!AP56</f>
        <v>0</v>
      </c>
      <c r="K43" s="70">
        <f>[8]SAP!AQ56</f>
        <v>0</v>
      </c>
      <c r="L43" s="70">
        <f>[8]SAP!AR56</f>
        <v>0</v>
      </c>
      <c r="M43" s="70">
        <f>[8]SAP!AS56</f>
        <v>0</v>
      </c>
      <c r="N43" s="70">
        <f>[8]SAP!AT56</f>
        <v>0</v>
      </c>
      <c r="O43" s="70">
        <f>[8]SAP!AU56</f>
        <v>0</v>
      </c>
      <c r="P43" s="70">
        <f>D43</f>
        <v>0</v>
      </c>
      <c r="Q43" s="70">
        <f t="shared" si="59"/>
        <v>0</v>
      </c>
      <c r="R43" s="70">
        <f t="shared" si="59"/>
        <v>0</v>
      </c>
      <c r="S43" s="70">
        <f t="shared" si="59"/>
        <v>0</v>
      </c>
      <c r="T43" s="70">
        <f t="shared" si="59"/>
        <v>0</v>
      </c>
      <c r="U43" s="70">
        <f t="shared" si="59"/>
        <v>0</v>
      </c>
      <c r="V43" s="70">
        <f t="shared" si="59"/>
        <v>0</v>
      </c>
      <c r="W43" s="70">
        <f t="shared" si="59"/>
        <v>0</v>
      </c>
      <c r="X43" s="70">
        <f t="shared" si="59"/>
        <v>0</v>
      </c>
      <c r="Y43" s="70">
        <f t="shared" si="59"/>
        <v>0</v>
      </c>
      <c r="Z43" s="70">
        <f t="shared" si="59"/>
        <v>0</v>
      </c>
      <c r="AA43" s="70">
        <f t="shared" si="59"/>
        <v>0</v>
      </c>
      <c r="AB43" s="70">
        <f t="shared" si="59"/>
        <v>0</v>
      </c>
      <c r="AC43" s="70">
        <f t="shared" si="59"/>
        <v>0</v>
      </c>
      <c r="AD43" s="70">
        <f t="shared" si="59"/>
        <v>0</v>
      </c>
      <c r="AE43" s="70">
        <f t="shared" si="59"/>
        <v>0</v>
      </c>
      <c r="AF43" s="70">
        <f t="shared" si="59"/>
        <v>0</v>
      </c>
      <c r="AG43" s="70">
        <f t="shared" si="59"/>
        <v>0</v>
      </c>
      <c r="AH43" s="70">
        <f t="shared" si="59"/>
        <v>0</v>
      </c>
      <c r="AI43" s="70">
        <f t="shared" si="59"/>
        <v>0</v>
      </c>
      <c r="AJ43" s="70">
        <f t="shared" si="59"/>
        <v>0</v>
      </c>
      <c r="AK43" s="70">
        <f t="shared" si="59"/>
        <v>0</v>
      </c>
      <c r="AL43" s="70">
        <f t="shared" si="59"/>
        <v>0</v>
      </c>
      <c r="AM43" s="70">
        <f t="shared" si="59"/>
        <v>0</v>
      </c>
      <c r="AN43" s="70">
        <f t="shared" si="59"/>
        <v>0</v>
      </c>
      <c r="AO43" s="70">
        <f t="shared" si="59"/>
        <v>0</v>
      </c>
      <c r="AP43" s="70">
        <f t="shared" si="59"/>
        <v>0</v>
      </c>
      <c r="AQ43" s="70">
        <f t="shared" si="59"/>
        <v>0</v>
      </c>
      <c r="AR43" s="70">
        <f t="shared" si="59"/>
        <v>0</v>
      </c>
      <c r="AS43" s="70">
        <f t="shared" si="59"/>
        <v>0</v>
      </c>
      <c r="AT43" s="70">
        <f t="shared" si="59"/>
        <v>0</v>
      </c>
      <c r="AU43" s="70">
        <f t="shared" si="59"/>
        <v>0</v>
      </c>
      <c r="AV43" s="70">
        <f t="shared" si="59"/>
        <v>0</v>
      </c>
      <c r="AW43" s="70">
        <f t="shared" si="59"/>
        <v>0</v>
      </c>
      <c r="AX43" s="70">
        <f t="shared" si="59"/>
        <v>0</v>
      </c>
      <c r="AY43" s="70">
        <f t="shared" si="59"/>
        <v>0</v>
      </c>
      <c r="AZ43" s="70">
        <f t="shared" si="59"/>
        <v>0</v>
      </c>
      <c r="BA43" s="70">
        <f t="shared" si="59"/>
        <v>0</v>
      </c>
      <c r="BB43" s="70">
        <f t="shared" si="59"/>
        <v>0</v>
      </c>
      <c r="BC43" s="70">
        <f t="shared" si="59"/>
        <v>0</v>
      </c>
      <c r="BD43" s="70">
        <f t="shared" si="59"/>
        <v>0</v>
      </c>
      <c r="BE43" s="70">
        <f t="shared" si="59"/>
        <v>0</v>
      </c>
      <c r="BF43" s="70">
        <f t="shared" si="59"/>
        <v>0</v>
      </c>
      <c r="BG43" s="70">
        <f t="shared" si="59"/>
        <v>0</v>
      </c>
      <c r="BH43" s="70">
        <f t="shared" si="59"/>
        <v>0</v>
      </c>
      <c r="BI43" s="70">
        <f t="shared" si="59"/>
        <v>0</v>
      </c>
      <c r="BJ43" s="70">
        <f t="shared" si="59"/>
        <v>0</v>
      </c>
      <c r="BK43" s="70">
        <f t="shared" si="59"/>
        <v>0</v>
      </c>
      <c r="BL43" s="70">
        <f t="shared" si="60"/>
        <v>0</v>
      </c>
      <c r="BM43" s="70">
        <f t="shared" si="60"/>
        <v>0</v>
      </c>
      <c r="BN43" s="70">
        <f t="shared" si="60"/>
        <v>0</v>
      </c>
      <c r="BO43" s="70">
        <f t="shared" si="60"/>
        <v>0</v>
      </c>
      <c r="BP43" s="70">
        <f t="shared" si="60"/>
        <v>0</v>
      </c>
      <c r="BQ43" s="70">
        <f t="shared" si="60"/>
        <v>0</v>
      </c>
      <c r="BR43" s="70">
        <f t="shared" si="60"/>
        <v>0</v>
      </c>
      <c r="BS43" s="70">
        <f t="shared" si="60"/>
        <v>0</v>
      </c>
      <c r="BT43" s="70">
        <f t="shared" si="60"/>
        <v>0</v>
      </c>
      <c r="BU43" s="70">
        <f t="shared" si="60"/>
        <v>0</v>
      </c>
      <c r="BV43" s="70">
        <f t="shared" si="60"/>
        <v>0</v>
      </c>
      <c r="BW43" s="70">
        <f t="shared" si="60"/>
        <v>0</v>
      </c>
      <c r="BX43" s="70">
        <f t="shared" si="61"/>
        <v>0</v>
      </c>
      <c r="BY43" s="70">
        <f t="shared" si="61"/>
        <v>0</v>
      </c>
      <c r="BZ43" s="70">
        <f t="shared" si="61"/>
        <v>0</v>
      </c>
      <c r="CA43" s="70">
        <f t="shared" si="61"/>
        <v>0</v>
      </c>
      <c r="CB43" s="70">
        <f t="shared" si="61"/>
        <v>0</v>
      </c>
      <c r="CC43" s="70">
        <f t="shared" si="61"/>
        <v>0</v>
      </c>
      <c r="CD43" s="70">
        <f t="shared" si="61"/>
        <v>0</v>
      </c>
      <c r="CE43" s="70">
        <f t="shared" si="61"/>
        <v>0</v>
      </c>
      <c r="CF43" s="70">
        <f t="shared" si="61"/>
        <v>0</v>
      </c>
      <c r="CG43" s="70">
        <f t="shared" si="61"/>
        <v>0</v>
      </c>
      <c r="CH43" s="70">
        <f t="shared" si="61"/>
        <v>0</v>
      </c>
      <c r="CI43" s="70">
        <f t="shared" si="61"/>
        <v>0</v>
      </c>
    </row>
    <row r="44" spans="1:87" x14ac:dyDescent="0.2">
      <c r="A44" s="1">
        <v>32</v>
      </c>
      <c r="B44" s="32" t="s">
        <v>300</v>
      </c>
      <c r="C44" s="32"/>
      <c r="D44" s="31">
        <f t="shared" ref="D44:P44" si="62">D42+D43</f>
        <v>0</v>
      </c>
      <c r="E44" s="31">
        <f t="shared" si="62"/>
        <v>0</v>
      </c>
      <c r="F44" s="31">
        <f t="shared" si="62"/>
        <v>0</v>
      </c>
      <c r="G44" s="31">
        <f t="shared" si="62"/>
        <v>0</v>
      </c>
      <c r="H44" s="31">
        <f t="shared" si="62"/>
        <v>0</v>
      </c>
      <c r="I44" s="31">
        <f t="shared" si="62"/>
        <v>0</v>
      </c>
      <c r="J44" s="31">
        <f t="shared" si="62"/>
        <v>0</v>
      </c>
      <c r="K44" s="31">
        <f t="shared" si="62"/>
        <v>0</v>
      </c>
      <c r="L44" s="31">
        <f t="shared" si="62"/>
        <v>0</v>
      </c>
      <c r="M44" s="31">
        <f t="shared" si="62"/>
        <v>0</v>
      </c>
      <c r="N44" s="31">
        <f t="shared" si="62"/>
        <v>0</v>
      </c>
      <c r="O44" s="31">
        <f t="shared" si="62"/>
        <v>0</v>
      </c>
      <c r="P44" s="31">
        <f t="shared" si="62"/>
        <v>0</v>
      </c>
      <c r="Q44" s="31">
        <f t="shared" ref="Q44:BK44" si="63">Q42+Q43</f>
        <v>0</v>
      </c>
      <c r="R44" s="31">
        <f t="shared" si="63"/>
        <v>0</v>
      </c>
      <c r="S44" s="31">
        <f t="shared" si="63"/>
        <v>0</v>
      </c>
      <c r="T44" s="31">
        <f t="shared" si="63"/>
        <v>0</v>
      </c>
      <c r="U44" s="31">
        <f t="shared" si="63"/>
        <v>0</v>
      </c>
      <c r="V44" s="31">
        <f t="shared" si="63"/>
        <v>0</v>
      </c>
      <c r="W44" s="31">
        <f t="shared" si="63"/>
        <v>0</v>
      </c>
      <c r="X44" s="31">
        <f t="shared" si="63"/>
        <v>0</v>
      </c>
      <c r="Y44" s="31">
        <f t="shared" si="63"/>
        <v>0</v>
      </c>
      <c r="Z44" s="31">
        <f t="shared" si="63"/>
        <v>0</v>
      </c>
      <c r="AA44" s="31">
        <f t="shared" si="63"/>
        <v>0</v>
      </c>
      <c r="AB44" s="31">
        <f t="shared" si="63"/>
        <v>0</v>
      </c>
      <c r="AC44" s="31">
        <f t="shared" si="63"/>
        <v>0</v>
      </c>
      <c r="AD44" s="31">
        <f t="shared" si="63"/>
        <v>0</v>
      </c>
      <c r="AE44" s="31">
        <f t="shared" si="63"/>
        <v>0</v>
      </c>
      <c r="AF44" s="31">
        <f t="shared" si="63"/>
        <v>0</v>
      </c>
      <c r="AG44" s="31">
        <f t="shared" si="63"/>
        <v>0</v>
      </c>
      <c r="AH44" s="31">
        <f t="shared" si="63"/>
        <v>0</v>
      </c>
      <c r="AI44" s="31">
        <f t="shared" si="63"/>
        <v>0</v>
      </c>
      <c r="AJ44" s="31">
        <f t="shared" si="63"/>
        <v>0</v>
      </c>
      <c r="AK44" s="31">
        <f t="shared" si="63"/>
        <v>0</v>
      </c>
      <c r="AL44" s="31">
        <f t="shared" si="63"/>
        <v>0</v>
      </c>
      <c r="AM44" s="31">
        <f t="shared" si="63"/>
        <v>0</v>
      </c>
      <c r="AN44" s="31">
        <f t="shared" si="63"/>
        <v>0</v>
      </c>
      <c r="AO44" s="31">
        <f t="shared" si="63"/>
        <v>0</v>
      </c>
      <c r="AP44" s="31">
        <f t="shared" si="63"/>
        <v>0</v>
      </c>
      <c r="AQ44" s="31">
        <f t="shared" si="63"/>
        <v>0</v>
      </c>
      <c r="AR44" s="31">
        <f t="shared" si="63"/>
        <v>0</v>
      </c>
      <c r="AS44" s="31">
        <f t="shared" si="63"/>
        <v>0</v>
      </c>
      <c r="AT44" s="31">
        <f t="shared" si="63"/>
        <v>0</v>
      </c>
      <c r="AU44" s="31">
        <f t="shared" si="63"/>
        <v>0</v>
      </c>
      <c r="AV44" s="31">
        <f t="shared" si="63"/>
        <v>0</v>
      </c>
      <c r="AW44" s="31">
        <f t="shared" si="63"/>
        <v>0</v>
      </c>
      <c r="AX44" s="31">
        <f t="shared" si="63"/>
        <v>0</v>
      </c>
      <c r="AY44" s="31">
        <f t="shared" si="63"/>
        <v>0</v>
      </c>
      <c r="AZ44" s="31">
        <f t="shared" si="63"/>
        <v>0</v>
      </c>
      <c r="BA44" s="31">
        <f t="shared" si="63"/>
        <v>0</v>
      </c>
      <c r="BB44" s="31">
        <f t="shared" si="63"/>
        <v>0</v>
      </c>
      <c r="BC44" s="31">
        <f t="shared" si="63"/>
        <v>0</v>
      </c>
      <c r="BD44" s="31">
        <f t="shared" si="63"/>
        <v>0</v>
      </c>
      <c r="BE44" s="31">
        <f t="shared" si="63"/>
        <v>0</v>
      </c>
      <c r="BF44" s="31">
        <f t="shared" si="63"/>
        <v>0</v>
      </c>
      <c r="BG44" s="31">
        <f t="shared" si="63"/>
        <v>0</v>
      </c>
      <c r="BH44" s="31">
        <f t="shared" si="63"/>
        <v>0</v>
      </c>
      <c r="BI44" s="31">
        <f t="shared" si="63"/>
        <v>0</v>
      </c>
      <c r="BJ44" s="31">
        <f t="shared" si="63"/>
        <v>0</v>
      </c>
      <c r="BK44" s="31">
        <f t="shared" si="63"/>
        <v>0</v>
      </c>
      <c r="BL44" s="31">
        <f t="shared" ref="BL44:BW44" si="64">BL42+BL43</f>
        <v>0</v>
      </c>
      <c r="BM44" s="31">
        <f t="shared" si="64"/>
        <v>0</v>
      </c>
      <c r="BN44" s="31">
        <f t="shared" si="64"/>
        <v>0</v>
      </c>
      <c r="BO44" s="31">
        <f t="shared" si="64"/>
        <v>0</v>
      </c>
      <c r="BP44" s="31">
        <f t="shared" si="64"/>
        <v>0</v>
      </c>
      <c r="BQ44" s="31">
        <f t="shared" si="64"/>
        <v>0</v>
      </c>
      <c r="BR44" s="31">
        <f t="shared" si="64"/>
        <v>0</v>
      </c>
      <c r="BS44" s="31">
        <f t="shared" si="64"/>
        <v>0</v>
      </c>
      <c r="BT44" s="31">
        <f t="shared" si="64"/>
        <v>0</v>
      </c>
      <c r="BU44" s="31">
        <f t="shared" si="64"/>
        <v>0</v>
      </c>
      <c r="BV44" s="31">
        <f t="shared" si="64"/>
        <v>0</v>
      </c>
      <c r="BW44" s="31">
        <f t="shared" si="64"/>
        <v>0</v>
      </c>
      <c r="BX44" s="31">
        <f t="shared" ref="BX44:CI44" si="65">BX42+BX43</f>
        <v>0</v>
      </c>
      <c r="BY44" s="31">
        <f t="shared" si="65"/>
        <v>0</v>
      </c>
      <c r="BZ44" s="31">
        <f t="shared" si="65"/>
        <v>0</v>
      </c>
      <c r="CA44" s="31">
        <f t="shared" si="65"/>
        <v>0</v>
      </c>
      <c r="CB44" s="31">
        <f t="shared" si="65"/>
        <v>0</v>
      </c>
      <c r="CC44" s="31">
        <f t="shared" si="65"/>
        <v>0</v>
      </c>
      <c r="CD44" s="31">
        <f t="shared" si="65"/>
        <v>0</v>
      </c>
      <c r="CE44" s="31">
        <f t="shared" si="65"/>
        <v>0</v>
      </c>
      <c r="CF44" s="31">
        <f t="shared" si="65"/>
        <v>0</v>
      </c>
      <c r="CG44" s="31">
        <f t="shared" si="65"/>
        <v>0</v>
      </c>
      <c r="CH44" s="31">
        <f t="shared" si="65"/>
        <v>0</v>
      </c>
      <c r="CI44" s="31">
        <f t="shared" si="65"/>
        <v>0</v>
      </c>
    </row>
    <row r="45" spans="1:87" x14ac:dyDescent="0.2">
      <c r="A45" s="1">
        <v>33</v>
      </c>
      <c r="B45" s="32" t="s">
        <v>301</v>
      </c>
      <c r="C45" s="32"/>
      <c r="D45" s="97">
        <f>$C$42*D42+$C$43*D43</f>
        <v>0</v>
      </c>
      <c r="E45" s="97">
        <f t="shared" ref="E45:O45" si="66">$C$36*E42+$C$37*E43</f>
        <v>0</v>
      </c>
      <c r="F45" s="97">
        <f t="shared" si="66"/>
        <v>0</v>
      </c>
      <c r="G45" s="97">
        <f t="shared" si="66"/>
        <v>0</v>
      </c>
      <c r="H45" s="97">
        <f t="shared" si="66"/>
        <v>0</v>
      </c>
      <c r="I45" s="97">
        <f t="shared" si="66"/>
        <v>0</v>
      </c>
      <c r="J45" s="97">
        <f t="shared" si="66"/>
        <v>0</v>
      </c>
      <c r="K45" s="97">
        <f t="shared" si="66"/>
        <v>0</v>
      </c>
      <c r="L45" s="97">
        <f t="shared" si="66"/>
        <v>0</v>
      </c>
      <c r="M45" s="97">
        <f t="shared" si="66"/>
        <v>0</v>
      </c>
      <c r="N45" s="97">
        <f t="shared" si="66"/>
        <v>0</v>
      </c>
      <c r="O45" s="97">
        <f t="shared" si="66"/>
        <v>0</v>
      </c>
      <c r="P45" s="97">
        <f t="shared" ref="P45:BK45" si="67">$C$36*P42+$C$37*P43</f>
        <v>0</v>
      </c>
      <c r="Q45" s="97">
        <f t="shared" si="67"/>
        <v>0</v>
      </c>
      <c r="R45" s="97">
        <f t="shared" si="67"/>
        <v>0</v>
      </c>
      <c r="S45" s="97">
        <f t="shared" si="67"/>
        <v>0</v>
      </c>
      <c r="T45" s="97">
        <f t="shared" si="67"/>
        <v>0</v>
      </c>
      <c r="U45" s="97">
        <f t="shared" si="67"/>
        <v>0</v>
      </c>
      <c r="V45" s="97">
        <f t="shared" si="67"/>
        <v>0</v>
      </c>
      <c r="W45" s="97">
        <f t="shared" si="67"/>
        <v>0</v>
      </c>
      <c r="X45" s="97">
        <f t="shared" si="67"/>
        <v>0</v>
      </c>
      <c r="Y45" s="97">
        <f t="shared" si="67"/>
        <v>0</v>
      </c>
      <c r="Z45" s="97">
        <f t="shared" si="67"/>
        <v>0</v>
      </c>
      <c r="AA45" s="97">
        <f t="shared" si="67"/>
        <v>0</v>
      </c>
      <c r="AB45" s="97">
        <f t="shared" si="67"/>
        <v>0</v>
      </c>
      <c r="AC45" s="97">
        <f t="shared" si="67"/>
        <v>0</v>
      </c>
      <c r="AD45" s="97">
        <f t="shared" si="67"/>
        <v>0</v>
      </c>
      <c r="AE45" s="97">
        <f t="shared" si="67"/>
        <v>0</v>
      </c>
      <c r="AF45" s="97">
        <f t="shared" si="67"/>
        <v>0</v>
      </c>
      <c r="AG45" s="97">
        <f t="shared" si="67"/>
        <v>0</v>
      </c>
      <c r="AH45" s="97">
        <f t="shared" si="67"/>
        <v>0</v>
      </c>
      <c r="AI45" s="97">
        <f t="shared" si="67"/>
        <v>0</v>
      </c>
      <c r="AJ45" s="97">
        <f t="shared" si="67"/>
        <v>0</v>
      </c>
      <c r="AK45" s="97">
        <f t="shared" si="67"/>
        <v>0</v>
      </c>
      <c r="AL45" s="97">
        <f t="shared" si="67"/>
        <v>0</v>
      </c>
      <c r="AM45" s="97">
        <f t="shared" si="67"/>
        <v>0</v>
      </c>
      <c r="AN45" s="97">
        <f t="shared" si="67"/>
        <v>0</v>
      </c>
      <c r="AO45" s="97">
        <f t="shared" si="67"/>
        <v>0</v>
      </c>
      <c r="AP45" s="97">
        <f t="shared" si="67"/>
        <v>0</v>
      </c>
      <c r="AQ45" s="97">
        <f t="shared" si="67"/>
        <v>0</v>
      </c>
      <c r="AR45" s="97">
        <f t="shared" si="67"/>
        <v>0</v>
      </c>
      <c r="AS45" s="97">
        <f t="shared" si="67"/>
        <v>0</v>
      </c>
      <c r="AT45" s="97">
        <f t="shared" si="67"/>
        <v>0</v>
      </c>
      <c r="AU45" s="97">
        <f t="shared" si="67"/>
        <v>0</v>
      </c>
      <c r="AV45" s="97">
        <f t="shared" si="67"/>
        <v>0</v>
      </c>
      <c r="AW45" s="97">
        <f t="shared" si="67"/>
        <v>0</v>
      </c>
      <c r="AX45" s="97">
        <f t="shared" si="67"/>
        <v>0</v>
      </c>
      <c r="AY45" s="97">
        <f t="shared" si="67"/>
        <v>0</v>
      </c>
      <c r="AZ45" s="97">
        <f t="shared" si="67"/>
        <v>0</v>
      </c>
      <c r="BA45" s="97">
        <f t="shared" si="67"/>
        <v>0</v>
      </c>
      <c r="BB45" s="97">
        <f t="shared" si="67"/>
        <v>0</v>
      </c>
      <c r="BC45" s="97">
        <f t="shared" si="67"/>
        <v>0</v>
      </c>
      <c r="BD45" s="97">
        <f t="shared" si="67"/>
        <v>0</v>
      </c>
      <c r="BE45" s="97">
        <f t="shared" si="67"/>
        <v>0</v>
      </c>
      <c r="BF45" s="97">
        <f t="shared" si="67"/>
        <v>0</v>
      </c>
      <c r="BG45" s="97">
        <f t="shared" si="67"/>
        <v>0</v>
      </c>
      <c r="BH45" s="97">
        <f t="shared" si="67"/>
        <v>0</v>
      </c>
      <c r="BI45" s="97">
        <f t="shared" si="67"/>
        <v>0</v>
      </c>
      <c r="BJ45" s="97">
        <f t="shared" si="67"/>
        <v>0</v>
      </c>
      <c r="BK45" s="97">
        <f t="shared" si="67"/>
        <v>0</v>
      </c>
      <c r="BL45" s="97">
        <f t="shared" ref="BL45:BW45" si="68">$C$36*BL42+$C$37*BL43</f>
        <v>0</v>
      </c>
      <c r="BM45" s="97">
        <f t="shared" si="68"/>
        <v>0</v>
      </c>
      <c r="BN45" s="97">
        <f t="shared" si="68"/>
        <v>0</v>
      </c>
      <c r="BO45" s="97">
        <f t="shared" si="68"/>
        <v>0</v>
      </c>
      <c r="BP45" s="97">
        <f t="shared" si="68"/>
        <v>0</v>
      </c>
      <c r="BQ45" s="97">
        <f t="shared" si="68"/>
        <v>0</v>
      </c>
      <c r="BR45" s="97">
        <f t="shared" si="68"/>
        <v>0</v>
      </c>
      <c r="BS45" s="97">
        <f t="shared" si="68"/>
        <v>0</v>
      </c>
      <c r="BT45" s="97">
        <f t="shared" si="68"/>
        <v>0</v>
      </c>
      <c r="BU45" s="97">
        <f t="shared" si="68"/>
        <v>0</v>
      </c>
      <c r="BV45" s="97">
        <f t="shared" si="68"/>
        <v>0</v>
      </c>
      <c r="BW45" s="97">
        <f t="shared" si="68"/>
        <v>0</v>
      </c>
      <c r="BX45" s="97">
        <f t="shared" ref="BX45:CI45" si="69">$C$36*BX42+$C$37*BX43</f>
        <v>0</v>
      </c>
      <c r="BY45" s="97">
        <f t="shared" si="69"/>
        <v>0</v>
      </c>
      <c r="BZ45" s="97">
        <f t="shared" si="69"/>
        <v>0</v>
      </c>
      <c r="CA45" s="97">
        <f t="shared" si="69"/>
        <v>0</v>
      </c>
      <c r="CB45" s="97">
        <f t="shared" si="69"/>
        <v>0</v>
      </c>
      <c r="CC45" s="97">
        <f t="shared" si="69"/>
        <v>0</v>
      </c>
      <c r="CD45" s="97">
        <f t="shared" si="69"/>
        <v>0</v>
      </c>
      <c r="CE45" s="97">
        <f t="shared" si="69"/>
        <v>0</v>
      </c>
      <c r="CF45" s="97">
        <f t="shared" si="69"/>
        <v>0</v>
      </c>
      <c r="CG45" s="97">
        <f t="shared" si="69"/>
        <v>0</v>
      </c>
      <c r="CH45" s="97">
        <f t="shared" si="69"/>
        <v>0</v>
      </c>
      <c r="CI45" s="97">
        <f t="shared" si="69"/>
        <v>0</v>
      </c>
    </row>
    <row r="46" spans="1:87" x14ac:dyDescent="0.2">
      <c r="A46" s="1">
        <v>34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87" x14ac:dyDescent="0.2">
      <c r="A47" s="1">
        <v>35</v>
      </c>
      <c r="C47" s="14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</row>
    <row r="48" spans="1:87" x14ac:dyDescent="0.2">
      <c r="A48" s="1">
        <v>36</v>
      </c>
      <c r="B48" s="168" t="s">
        <v>298</v>
      </c>
      <c r="C48" s="1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</row>
    <row r="49" spans="1:97" x14ac:dyDescent="0.2">
      <c r="A49" s="1">
        <v>37</v>
      </c>
      <c r="B49" s="1" t="s">
        <v>295</v>
      </c>
      <c r="C49" s="11">
        <f>'Rate Design'!L19</f>
        <v>25</v>
      </c>
      <c r="D49" s="70">
        <f>[8]SAP!AJ58</f>
        <v>135</v>
      </c>
      <c r="E49" s="70">
        <f>[8]SAP!AK58</f>
        <v>186</v>
      </c>
      <c r="F49" s="70">
        <f>[8]SAP!AL58</f>
        <v>177</v>
      </c>
      <c r="G49" s="70">
        <f>[8]SAP!AM58</f>
        <v>243</v>
      </c>
      <c r="H49" s="70">
        <f>[8]SAP!AN58</f>
        <v>265</v>
      </c>
      <c r="I49" s="70">
        <f>[8]SAP!AO58</f>
        <v>264</v>
      </c>
      <c r="J49" s="70">
        <f>[8]SAP!AP58</f>
        <v>281</v>
      </c>
      <c r="K49" s="70">
        <f>[8]SAP!AQ58</f>
        <v>233</v>
      </c>
      <c r="L49" s="70">
        <f>[8]SAP!AR58</f>
        <v>224</v>
      </c>
      <c r="M49" s="70">
        <f>[8]SAP!AS58</f>
        <v>219</v>
      </c>
      <c r="N49" s="70">
        <f>[8]SAP!AT58</f>
        <v>171</v>
      </c>
      <c r="O49" s="70">
        <f>[8]SAP!AU58</f>
        <v>159</v>
      </c>
      <c r="P49" s="70">
        <f>D49</f>
        <v>135</v>
      </c>
      <c r="Q49" s="70">
        <f t="shared" ref="Q49:BK50" si="70">E49</f>
        <v>186</v>
      </c>
      <c r="R49" s="70">
        <f t="shared" si="70"/>
        <v>177</v>
      </c>
      <c r="S49" s="70">
        <f t="shared" si="70"/>
        <v>243</v>
      </c>
      <c r="T49" s="70">
        <f t="shared" si="70"/>
        <v>265</v>
      </c>
      <c r="U49" s="70">
        <f t="shared" si="70"/>
        <v>264</v>
      </c>
      <c r="V49" s="70">
        <f t="shared" si="70"/>
        <v>281</v>
      </c>
      <c r="W49" s="70">
        <f t="shared" si="70"/>
        <v>233</v>
      </c>
      <c r="X49" s="70">
        <f t="shared" si="70"/>
        <v>224</v>
      </c>
      <c r="Y49" s="70">
        <f t="shared" si="70"/>
        <v>219</v>
      </c>
      <c r="Z49" s="70">
        <f t="shared" si="70"/>
        <v>171</v>
      </c>
      <c r="AA49" s="70">
        <f t="shared" si="70"/>
        <v>159</v>
      </c>
      <c r="AB49" s="70">
        <f t="shared" si="70"/>
        <v>135</v>
      </c>
      <c r="AC49" s="70">
        <f t="shared" si="70"/>
        <v>186</v>
      </c>
      <c r="AD49" s="70">
        <f t="shared" si="70"/>
        <v>177</v>
      </c>
      <c r="AE49" s="70">
        <f t="shared" si="70"/>
        <v>243</v>
      </c>
      <c r="AF49" s="70">
        <f t="shared" si="70"/>
        <v>265</v>
      </c>
      <c r="AG49" s="70">
        <f t="shared" si="70"/>
        <v>264</v>
      </c>
      <c r="AH49" s="70">
        <f t="shared" si="70"/>
        <v>281</v>
      </c>
      <c r="AI49" s="70">
        <f t="shared" si="70"/>
        <v>233</v>
      </c>
      <c r="AJ49" s="70">
        <f t="shared" si="70"/>
        <v>224</v>
      </c>
      <c r="AK49" s="70">
        <f t="shared" si="70"/>
        <v>219</v>
      </c>
      <c r="AL49" s="70">
        <f t="shared" si="70"/>
        <v>171</v>
      </c>
      <c r="AM49" s="70">
        <f t="shared" si="70"/>
        <v>159</v>
      </c>
      <c r="AN49" s="70">
        <f t="shared" si="70"/>
        <v>135</v>
      </c>
      <c r="AO49" s="70">
        <f t="shared" si="70"/>
        <v>186</v>
      </c>
      <c r="AP49" s="70">
        <f t="shared" si="70"/>
        <v>177</v>
      </c>
      <c r="AQ49" s="70">
        <f t="shared" si="70"/>
        <v>243</v>
      </c>
      <c r="AR49" s="70">
        <f t="shared" si="70"/>
        <v>265</v>
      </c>
      <c r="AS49" s="70">
        <f t="shared" si="70"/>
        <v>264</v>
      </c>
      <c r="AT49" s="70">
        <f t="shared" si="70"/>
        <v>281</v>
      </c>
      <c r="AU49" s="70">
        <f t="shared" si="70"/>
        <v>233</v>
      </c>
      <c r="AV49" s="70">
        <f t="shared" si="70"/>
        <v>224</v>
      </c>
      <c r="AW49" s="70">
        <f t="shared" si="70"/>
        <v>219</v>
      </c>
      <c r="AX49" s="70">
        <f t="shared" si="70"/>
        <v>171</v>
      </c>
      <c r="AY49" s="70">
        <f t="shared" si="70"/>
        <v>159</v>
      </c>
      <c r="AZ49" s="70">
        <f t="shared" si="70"/>
        <v>135</v>
      </c>
      <c r="BA49" s="70">
        <f t="shared" si="70"/>
        <v>186</v>
      </c>
      <c r="BB49" s="70">
        <f t="shared" si="70"/>
        <v>177</v>
      </c>
      <c r="BC49" s="70">
        <f t="shared" si="70"/>
        <v>243</v>
      </c>
      <c r="BD49" s="70">
        <f t="shared" si="70"/>
        <v>265</v>
      </c>
      <c r="BE49" s="70">
        <f t="shared" si="70"/>
        <v>264</v>
      </c>
      <c r="BF49" s="70">
        <f t="shared" si="70"/>
        <v>281</v>
      </c>
      <c r="BG49" s="70">
        <f t="shared" si="70"/>
        <v>233</v>
      </c>
      <c r="BH49" s="70">
        <f t="shared" si="70"/>
        <v>224</v>
      </c>
      <c r="BI49" s="70">
        <f t="shared" si="70"/>
        <v>219</v>
      </c>
      <c r="BJ49" s="70">
        <f t="shared" si="70"/>
        <v>171</v>
      </c>
      <c r="BK49" s="70">
        <f t="shared" si="70"/>
        <v>159</v>
      </c>
      <c r="BL49" s="70">
        <f t="shared" ref="BL49:BW50" si="71">AZ49</f>
        <v>135</v>
      </c>
      <c r="BM49" s="70">
        <f t="shared" si="71"/>
        <v>186</v>
      </c>
      <c r="BN49" s="70">
        <f t="shared" si="71"/>
        <v>177</v>
      </c>
      <c r="BO49" s="70">
        <f t="shared" si="71"/>
        <v>243</v>
      </c>
      <c r="BP49" s="70">
        <f t="shared" si="71"/>
        <v>265</v>
      </c>
      <c r="BQ49" s="70">
        <f t="shared" si="71"/>
        <v>264</v>
      </c>
      <c r="BR49" s="70">
        <f t="shared" si="71"/>
        <v>281</v>
      </c>
      <c r="BS49" s="70">
        <f t="shared" si="71"/>
        <v>233</v>
      </c>
      <c r="BT49" s="70">
        <f t="shared" si="71"/>
        <v>224</v>
      </c>
      <c r="BU49" s="70">
        <f t="shared" si="71"/>
        <v>219</v>
      </c>
      <c r="BV49" s="70">
        <f t="shared" si="71"/>
        <v>171</v>
      </c>
      <c r="BW49" s="70">
        <f t="shared" si="71"/>
        <v>159</v>
      </c>
      <c r="BX49" s="70">
        <f t="shared" ref="BX49:CI50" si="72">BL49</f>
        <v>135</v>
      </c>
      <c r="BY49" s="70">
        <f t="shared" si="72"/>
        <v>186</v>
      </c>
      <c r="BZ49" s="70">
        <f t="shared" si="72"/>
        <v>177</v>
      </c>
      <c r="CA49" s="70">
        <f t="shared" si="72"/>
        <v>243</v>
      </c>
      <c r="CB49" s="70">
        <f t="shared" si="72"/>
        <v>265</v>
      </c>
      <c r="CC49" s="70">
        <f t="shared" si="72"/>
        <v>264</v>
      </c>
      <c r="CD49" s="70">
        <f t="shared" si="72"/>
        <v>281</v>
      </c>
      <c r="CE49" s="70">
        <f t="shared" si="72"/>
        <v>233</v>
      </c>
      <c r="CF49" s="70">
        <f t="shared" si="72"/>
        <v>224</v>
      </c>
      <c r="CG49" s="70">
        <f t="shared" si="72"/>
        <v>219</v>
      </c>
      <c r="CH49" s="70">
        <f t="shared" si="72"/>
        <v>171</v>
      </c>
      <c r="CI49" s="70">
        <f t="shared" si="72"/>
        <v>159</v>
      </c>
    </row>
    <row r="50" spans="1:97" x14ac:dyDescent="0.2">
      <c r="A50" s="1">
        <v>38</v>
      </c>
      <c r="B50" s="1" t="s">
        <v>296</v>
      </c>
      <c r="C50" s="192" t="s">
        <v>302</v>
      </c>
      <c r="D50" s="70">
        <f>[8]SAP!AJ59</f>
        <v>0</v>
      </c>
      <c r="E50" s="70">
        <f>[8]SAP!AK59</f>
        <v>0</v>
      </c>
      <c r="F50" s="70">
        <f>[8]SAP!AL59</f>
        <v>0</v>
      </c>
      <c r="G50" s="70">
        <f>[8]SAP!AM59</f>
        <v>0</v>
      </c>
      <c r="H50" s="70">
        <f>[8]SAP!AN59</f>
        <v>0</v>
      </c>
      <c r="I50" s="70">
        <f>[8]SAP!AO59</f>
        <v>0</v>
      </c>
      <c r="J50" s="70">
        <f>[8]SAP!AP59</f>
        <v>0</v>
      </c>
      <c r="K50" s="70">
        <f>[8]SAP!AQ59</f>
        <v>0</v>
      </c>
      <c r="L50" s="70">
        <f>[8]SAP!AR59</f>
        <v>0</v>
      </c>
      <c r="M50" s="70">
        <f>[8]SAP!AS59</f>
        <v>0</v>
      </c>
      <c r="N50" s="70">
        <f>[8]SAP!AT59</f>
        <v>0</v>
      </c>
      <c r="O50" s="70">
        <f>[8]SAP!AU59</f>
        <v>0</v>
      </c>
      <c r="P50" s="70">
        <f>D50</f>
        <v>0</v>
      </c>
      <c r="Q50" s="70">
        <f t="shared" si="70"/>
        <v>0</v>
      </c>
      <c r="R50" s="70">
        <f t="shared" si="70"/>
        <v>0</v>
      </c>
      <c r="S50" s="70">
        <f t="shared" si="70"/>
        <v>0</v>
      </c>
      <c r="T50" s="70">
        <f t="shared" si="70"/>
        <v>0</v>
      </c>
      <c r="U50" s="70">
        <f t="shared" si="70"/>
        <v>0</v>
      </c>
      <c r="V50" s="70">
        <f t="shared" si="70"/>
        <v>0</v>
      </c>
      <c r="W50" s="70">
        <f t="shared" si="70"/>
        <v>0</v>
      </c>
      <c r="X50" s="70">
        <f t="shared" si="70"/>
        <v>0</v>
      </c>
      <c r="Y50" s="70">
        <f t="shared" si="70"/>
        <v>0</v>
      </c>
      <c r="Z50" s="70">
        <f t="shared" si="70"/>
        <v>0</v>
      </c>
      <c r="AA50" s="70">
        <f t="shared" si="70"/>
        <v>0</v>
      </c>
      <c r="AB50" s="70">
        <f t="shared" si="70"/>
        <v>0</v>
      </c>
      <c r="AC50" s="70">
        <f t="shared" si="70"/>
        <v>0</v>
      </c>
      <c r="AD50" s="70">
        <f t="shared" si="70"/>
        <v>0</v>
      </c>
      <c r="AE50" s="70">
        <f t="shared" si="70"/>
        <v>0</v>
      </c>
      <c r="AF50" s="70">
        <f t="shared" si="70"/>
        <v>0</v>
      </c>
      <c r="AG50" s="70">
        <f t="shared" si="70"/>
        <v>0</v>
      </c>
      <c r="AH50" s="70">
        <f t="shared" si="70"/>
        <v>0</v>
      </c>
      <c r="AI50" s="70">
        <f t="shared" si="70"/>
        <v>0</v>
      </c>
      <c r="AJ50" s="70">
        <f t="shared" si="70"/>
        <v>0</v>
      </c>
      <c r="AK50" s="70">
        <f t="shared" si="70"/>
        <v>0</v>
      </c>
      <c r="AL50" s="70">
        <f t="shared" si="70"/>
        <v>0</v>
      </c>
      <c r="AM50" s="70">
        <f t="shared" si="70"/>
        <v>0</v>
      </c>
      <c r="AN50" s="70">
        <f t="shared" si="70"/>
        <v>0</v>
      </c>
      <c r="AO50" s="70">
        <f t="shared" si="70"/>
        <v>0</v>
      </c>
      <c r="AP50" s="70">
        <f t="shared" si="70"/>
        <v>0</v>
      </c>
      <c r="AQ50" s="70">
        <f t="shared" si="70"/>
        <v>0</v>
      </c>
      <c r="AR50" s="70">
        <f t="shared" si="70"/>
        <v>0</v>
      </c>
      <c r="AS50" s="70">
        <f t="shared" si="70"/>
        <v>0</v>
      </c>
      <c r="AT50" s="70">
        <f t="shared" si="70"/>
        <v>0</v>
      </c>
      <c r="AU50" s="70">
        <f t="shared" si="70"/>
        <v>0</v>
      </c>
      <c r="AV50" s="70">
        <f t="shared" si="70"/>
        <v>0</v>
      </c>
      <c r="AW50" s="70">
        <f t="shared" si="70"/>
        <v>0</v>
      </c>
      <c r="AX50" s="70">
        <f t="shared" si="70"/>
        <v>0</v>
      </c>
      <c r="AY50" s="70">
        <f t="shared" si="70"/>
        <v>0</v>
      </c>
      <c r="AZ50" s="70">
        <f t="shared" si="70"/>
        <v>0</v>
      </c>
      <c r="BA50" s="70">
        <f t="shared" si="70"/>
        <v>0</v>
      </c>
      <c r="BB50" s="70">
        <f t="shared" si="70"/>
        <v>0</v>
      </c>
      <c r="BC50" s="70">
        <f t="shared" si="70"/>
        <v>0</v>
      </c>
      <c r="BD50" s="70">
        <f t="shared" si="70"/>
        <v>0</v>
      </c>
      <c r="BE50" s="70">
        <f t="shared" si="70"/>
        <v>0</v>
      </c>
      <c r="BF50" s="70">
        <f t="shared" si="70"/>
        <v>0</v>
      </c>
      <c r="BG50" s="70">
        <f t="shared" si="70"/>
        <v>0</v>
      </c>
      <c r="BH50" s="70">
        <f t="shared" si="70"/>
        <v>0</v>
      </c>
      <c r="BI50" s="70">
        <f t="shared" si="70"/>
        <v>0</v>
      </c>
      <c r="BJ50" s="70">
        <f t="shared" si="70"/>
        <v>0</v>
      </c>
      <c r="BK50" s="70">
        <f t="shared" si="70"/>
        <v>0</v>
      </c>
      <c r="BL50" s="70">
        <f t="shared" si="71"/>
        <v>0</v>
      </c>
      <c r="BM50" s="70">
        <f t="shared" si="71"/>
        <v>0</v>
      </c>
      <c r="BN50" s="70">
        <f t="shared" si="71"/>
        <v>0</v>
      </c>
      <c r="BO50" s="70">
        <f t="shared" si="71"/>
        <v>0</v>
      </c>
      <c r="BP50" s="70">
        <f t="shared" si="71"/>
        <v>0</v>
      </c>
      <c r="BQ50" s="70">
        <f t="shared" si="71"/>
        <v>0</v>
      </c>
      <c r="BR50" s="70">
        <f t="shared" si="71"/>
        <v>0</v>
      </c>
      <c r="BS50" s="70">
        <f t="shared" si="71"/>
        <v>0</v>
      </c>
      <c r="BT50" s="70">
        <f t="shared" si="71"/>
        <v>0</v>
      </c>
      <c r="BU50" s="70">
        <f t="shared" si="71"/>
        <v>0</v>
      </c>
      <c r="BV50" s="70">
        <f t="shared" si="71"/>
        <v>0</v>
      </c>
      <c r="BW50" s="70">
        <f t="shared" si="71"/>
        <v>0</v>
      </c>
      <c r="BX50" s="70">
        <f t="shared" si="72"/>
        <v>0</v>
      </c>
      <c r="BY50" s="70">
        <f t="shared" si="72"/>
        <v>0</v>
      </c>
      <c r="BZ50" s="70">
        <f t="shared" si="72"/>
        <v>0</v>
      </c>
      <c r="CA50" s="70">
        <f t="shared" si="72"/>
        <v>0</v>
      </c>
      <c r="CB50" s="70">
        <f t="shared" si="72"/>
        <v>0</v>
      </c>
      <c r="CC50" s="70">
        <f t="shared" si="72"/>
        <v>0</v>
      </c>
      <c r="CD50" s="70">
        <f t="shared" si="72"/>
        <v>0</v>
      </c>
      <c r="CE50" s="70">
        <f t="shared" si="72"/>
        <v>0</v>
      </c>
      <c r="CF50" s="70">
        <f t="shared" si="72"/>
        <v>0</v>
      </c>
      <c r="CG50" s="70">
        <f t="shared" si="72"/>
        <v>0</v>
      </c>
      <c r="CH50" s="70">
        <f t="shared" si="72"/>
        <v>0</v>
      </c>
      <c r="CI50" s="70">
        <f t="shared" si="72"/>
        <v>0</v>
      </c>
    </row>
    <row r="51" spans="1:97" x14ac:dyDescent="0.2">
      <c r="A51" s="1">
        <v>39</v>
      </c>
      <c r="B51" s="32" t="s">
        <v>300</v>
      </c>
      <c r="C51" s="32"/>
      <c r="D51" s="31">
        <f t="shared" ref="D51:P51" si="73">D49+D50</f>
        <v>135</v>
      </c>
      <c r="E51" s="31">
        <f t="shared" si="73"/>
        <v>186</v>
      </c>
      <c r="F51" s="31">
        <f t="shared" si="73"/>
        <v>177</v>
      </c>
      <c r="G51" s="31">
        <f t="shared" si="73"/>
        <v>243</v>
      </c>
      <c r="H51" s="31">
        <f t="shared" si="73"/>
        <v>265</v>
      </c>
      <c r="I51" s="31">
        <f t="shared" si="73"/>
        <v>264</v>
      </c>
      <c r="J51" s="31">
        <f t="shared" si="73"/>
        <v>281</v>
      </c>
      <c r="K51" s="31">
        <f t="shared" si="73"/>
        <v>233</v>
      </c>
      <c r="L51" s="31">
        <f t="shared" si="73"/>
        <v>224</v>
      </c>
      <c r="M51" s="31">
        <f t="shared" si="73"/>
        <v>219</v>
      </c>
      <c r="N51" s="31">
        <f t="shared" si="73"/>
        <v>171</v>
      </c>
      <c r="O51" s="31">
        <f t="shared" si="73"/>
        <v>159</v>
      </c>
      <c r="P51" s="31">
        <f t="shared" si="73"/>
        <v>135</v>
      </c>
      <c r="Q51" s="31">
        <f t="shared" ref="Q51:BK51" si="74">Q49+Q50</f>
        <v>186</v>
      </c>
      <c r="R51" s="31">
        <f t="shared" si="74"/>
        <v>177</v>
      </c>
      <c r="S51" s="31">
        <f t="shared" si="74"/>
        <v>243</v>
      </c>
      <c r="T51" s="31">
        <f t="shared" si="74"/>
        <v>265</v>
      </c>
      <c r="U51" s="31">
        <f t="shared" si="74"/>
        <v>264</v>
      </c>
      <c r="V51" s="31">
        <f t="shared" si="74"/>
        <v>281</v>
      </c>
      <c r="W51" s="31">
        <f t="shared" si="74"/>
        <v>233</v>
      </c>
      <c r="X51" s="31">
        <f t="shared" si="74"/>
        <v>224</v>
      </c>
      <c r="Y51" s="31">
        <f t="shared" si="74"/>
        <v>219</v>
      </c>
      <c r="Z51" s="31">
        <f t="shared" si="74"/>
        <v>171</v>
      </c>
      <c r="AA51" s="31">
        <f t="shared" si="74"/>
        <v>159</v>
      </c>
      <c r="AB51" s="31">
        <f t="shared" si="74"/>
        <v>135</v>
      </c>
      <c r="AC51" s="31">
        <f t="shared" si="74"/>
        <v>186</v>
      </c>
      <c r="AD51" s="31">
        <f t="shared" si="74"/>
        <v>177</v>
      </c>
      <c r="AE51" s="31">
        <f t="shared" si="74"/>
        <v>243</v>
      </c>
      <c r="AF51" s="31">
        <f t="shared" si="74"/>
        <v>265</v>
      </c>
      <c r="AG51" s="31">
        <f t="shared" si="74"/>
        <v>264</v>
      </c>
      <c r="AH51" s="31">
        <f t="shared" si="74"/>
        <v>281</v>
      </c>
      <c r="AI51" s="31">
        <f t="shared" si="74"/>
        <v>233</v>
      </c>
      <c r="AJ51" s="31">
        <f t="shared" si="74"/>
        <v>224</v>
      </c>
      <c r="AK51" s="31">
        <f t="shared" si="74"/>
        <v>219</v>
      </c>
      <c r="AL51" s="31">
        <f t="shared" si="74"/>
        <v>171</v>
      </c>
      <c r="AM51" s="31">
        <f t="shared" si="74"/>
        <v>159</v>
      </c>
      <c r="AN51" s="31">
        <f t="shared" si="74"/>
        <v>135</v>
      </c>
      <c r="AO51" s="31">
        <f t="shared" si="74"/>
        <v>186</v>
      </c>
      <c r="AP51" s="31">
        <f t="shared" si="74"/>
        <v>177</v>
      </c>
      <c r="AQ51" s="31">
        <f t="shared" si="74"/>
        <v>243</v>
      </c>
      <c r="AR51" s="31">
        <f t="shared" si="74"/>
        <v>265</v>
      </c>
      <c r="AS51" s="31">
        <f t="shared" si="74"/>
        <v>264</v>
      </c>
      <c r="AT51" s="31">
        <f t="shared" si="74"/>
        <v>281</v>
      </c>
      <c r="AU51" s="31">
        <f t="shared" si="74"/>
        <v>233</v>
      </c>
      <c r="AV51" s="31">
        <f t="shared" si="74"/>
        <v>224</v>
      </c>
      <c r="AW51" s="31">
        <f t="shared" si="74"/>
        <v>219</v>
      </c>
      <c r="AX51" s="31">
        <f t="shared" si="74"/>
        <v>171</v>
      </c>
      <c r="AY51" s="31">
        <f t="shared" si="74"/>
        <v>159</v>
      </c>
      <c r="AZ51" s="31">
        <f t="shared" si="74"/>
        <v>135</v>
      </c>
      <c r="BA51" s="31">
        <f t="shared" si="74"/>
        <v>186</v>
      </c>
      <c r="BB51" s="31">
        <f t="shared" si="74"/>
        <v>177</v>
      </c>
      <c r="BC51" s="31">
        <f t="shared" si="74"/>
        <v>243</v>
      </c>
      <c r="BD51" s="31">
        <f t="shared" si="74"/>
        <v>265</v>
      </c>
      <c r="BE51" s="31">
        <f t="shared" si="74"/>
        <v>264</v>
      </c>
      <c r="BF51" s="31">
        <f t="shared" si="74"/>
        <v>281</v>
      </c>
      <c r="BG51" s="31">
        <f t="shared" si="74"/>
        <v>233</v>
      </c>
      <c r="BH51" s="31">
        <f t="shared" si="74"/>
        <v>224</v>
      </c>
      <c r="BI51" s="31">
        <f t="shared" si="74"/>
        <v>219</v>
      </c>
      <c r="BJ51" s="31">
        <f t="shared" si="74"/>
        <v>171</v>
      </c>
      <c r="BK51" s="31">
        <f t="shared" si="74"/>
        <v>159</v>
      </c>
      <c r="BL51" s="31">
        <f t="shared" ref="BL51:BW51" si="75">BL49+BL50</f>
        <v>135</v>
      </c>
      <c r="BM51" s="31">
        <f t="shared" si="75"/>
        <v>186</v>
      </c>
      <c r="BN51" s="31">
        <f t="shared" si="75"/>
        <v>177</v>
      </c>
      <c r="BO51" s="31">
        <f t="shared" si="75"/>
        <v>243</v>
      </c>
      <c r="BP51" s="31">
        <f t="shared" si="75"/>
        <v>265</v>
      </c>
      <c r="BQ51" s="31">
        <f t="shared" si="75"/>
        <v>264</v>
      </c>
      <c r="BR51" s="31">
        <f t="shared" si="75"/>
        <v>281</v>
      </c>
      <c r="BS51" s="31">
        <f t="shared" si="75"/>
        <v>233</v>
      </c>
      <c r="BT51" s="31">
        <f t="shared" si="75"/>
        <v>224</v>
      </c>
      <c r="BU51" s="31">
        <f t="shared" si="75"/>
        <v>219</v>
      </c>
      <c r="BV51" s="31">
        <f t="shared" si="75"/>
        <v>171</v>
      </c>
      <c r="BW51" s="31">
        <f t="shared" si="75"/>
        <v>159</v>
      </c>
      <c r="BX51" s="31">
        <f t="shared" ref="BX51:CI51" si="76">BX49+BX50</f>
        <v>135</v>
      </c>
      <c r="BY51" s="31">
        <f t="shared" si="76"/>
        <v>186</v>
      </c>
      <c r="BZ51" s="31">
        <f t="shared" si="76"/>
        <v>177</v>
      </c>
      <c r="CA51" s="31">
        <f t="shared" si="76"/>
        <v>243</v>
      </c>
      <c r="CB51" s="31">
        <f t="shared" si="76"/>
        <v>265</v>
      </c>
      <c r="CC51" s="31">
        <f t="shared" si="76"/>
        <v>264</v>
      </c>
      <c r="CD51" s="31">
        <f t="shared" si="76"/>
        <v>281</v>
      </c>
      <c r="CE51" s="31">
        <f t="shared" si="76"/>
        <v>233</v>
      </c>
      <c r="CF51" s="31">
        <f t="shared" si="76"/>
        <v>224</v>
      </c>
      <c r="CG51" s="31">
        <f t="shared" si="76"/>
        <v>219</v>
      </c>
      <c r="CH51" s="31">
        <f t="shared" si="76"/>
        <v>171</v>
      </c>
      <c r="CI51" s="31">
        <f t="shared" si="76"/>
        <v>159</v>
      </c>
    </row>
    <row r="52" spans="1:97" x14ac:dyDescent="0.2">
      <c r="A52" s="1">
        <v>40</v>
      </c>
      <c r="B52" s="32" t="s">
        <v>301</v>
      </c>
      <c r="C52" s="32"/>
      <c r="D52" s="97">
        <f t="shared" ref="D52:O52" si="77">$C$49*D49+$C$50*D50</f>
        <v>3375</v>
      </c>
      <c r="E52" s="97">
        <f t="shared" si="77"/>
        <v>4650</v>
      </c>
      <c r="F52" s="97">
        <f t="shared" si="77"/>
        <v>4425</v>
      </c>
      <c r="G52" s="97">
        <f t="shared" si="77"/>
        <v>6075</v>
      </c>
      <c r="H52" s="97">
        <f t="shared" si="77"/>
        <v>6625</v>
      </c>
      <c r="I52" s="97">
        <f t="shared" si="77"/>
        <v>6600</v>
      </c>
      <c r="J52" s="97">
        <f t="shared" si="77"/>
        <v>7025</v>
      </c>
      <c r="K52" s="97">
        <f t="shared" si="77"/>
        <v>5825</v>
      </c>
      <c r="L52" s="97">
        <f t="shared" si="77"/>
        <v>5600</v>
      </c>
      <c r="M52" s="97">
        <f t="shared" si="77"/>
        <v>5475</v>
      </c>
      <c r="N52" s="97">
        <f t="shared" si="77"/>
        <v>4275</v>
      </c>
      <c r="O52" s="97">
        <f t="shared" si="77"/>
        <v>3975</v>
      </c>
      <c r="P52" s="97">
        <f t="shared" ref="P52:BK52" si="78">$C$49*P49+$C$50*P50</f>
        <v>3375</v>
      </c>
      <c r="Q52" s="97">
        <f t="shared" si="78"/>
        <v>4650</v>
      </c>
      <c r="R52" s="97">
        <f t="shared" si="78"/>
        <v>4425</v>
      </c>
      <c r="S52" s="97">
        <f t="shared" si="78"/>
        <v>6075</v>
      </c>
      <c r="T52" s="97">
        <f t="shared" si="78"/>
        <v>6625</v>
      </c>
      <c r="U52" s="97">
        <f t="shared" si="78"/>
        <v>6600</v>
      </c>
      <c r="V52" s="97">
        <f t="shared" si="78"/>
        <v>7025</v>
      </c>
      <c r="W52" s="97">
        <f t="shared" si="78"/>
        <v>5825</v>
      </c>
      <c r="X52" s="97">
        <f t="shared" si="78"/>
        <v>5600</v>
      </c>
      <c r="Y52" s="97">
        <f t="shared" si="78"/>
        <v>5475</v>
      </c>
      <c r="Z52" s="97">
        <f t="shared" si="78"/>
        <v>4275</v>
      </c>
      <c r="AA52" s="97">
        <f t="shared" si="78"/>
        <v>3975</v>
      </c>
      <c r="AB52" s="97">
        <f t="shared" si="78"/>
        <v>3375</v>
      </c>
      <c r="AC52" s="97">
        <f t="shared" si="78"/>
        <v>4650</v>
      </c>
      <c r="AD52" s="97">
        <f t="shared" si="78"/>
        <v>4425</v>
      </c>
      <c r="AE52" s="97">
        <f t="shared" si="78"/>
        <v>6075</v>
      </c>
      <c r="AF52" s="97">
        <f t="shared" si="78"/>
        <v>6625</v>
      </c>
      <c r="AG52" s="97">
        <f t="shared" si="78"/>
        <v>6600</v>
      </c>
      <c r="AH52" s="97">
        <f t="shared" si="78"/>
        <v>7025</v>
      </c>
      <c r="AI52" s="97">
        <f t="shared" si="78"/>
        <v>5825</v>
      </c>
      <c r="AJ52" s="97">
        <f t="shared" si="78"/>
        <v>5600</v>
      </c>
      <c r="AK52" s="97">
        <f t="shared" si="78"/>
        <v>5475</v>
      </c>
      <c r="AL52" s="97">
        <f t="shared" si="78"/>
        <v>4275</v>
      </c>
      <c r="AM52" s="97">
        <f t="shared" si="78"/>
        <v>3975</v>
      </c>
      <c r="AN52" s="97">
        <f t="shared" si="78"/>
        <v>3375</v>
      </c>
      <c r="AO52" s="97">
        <f t="shared" si="78"/>
        <v>4650</v>
      </c>
      <c r="AP52" s="97">
        <f t="shared" si="78"/>
        <v>4425</v>
      </c>
      <c r="AQ52" s="97">
        <f t="shared" si="78"/>
        <v>6075</v>
      </c>
      <c r="AR52" s="97">
        <f t="shared" si="78"/>
        <v>6625</v>
      </c>
      <c r="AS52" s="97">
        <f t="shared" si="78"/>
        <v>6600</v>
      </c>
      <c r="AT52" s="97">
        <f t="shared" si="78"/>
        <v>7025</v>
      </c>
      <c r="AU52" s="97">
        <f t="shared" si="78"/>
        <v>5825</v>
      </c>
      <c r="AV52" s="97">
        <f t="shared" si="78"/>
        <v>5600</v>
      </c>
      <c r="AW52" s="97">
        <f t="shared" si="78"/>
        <v>5475</v>
      </c>
      <c r="AX52" s="97">
        <f t="shared" si="78"/>
        <v>4275</v>
      </c>
      <c r="AY52" s="97">
        <f t="shared" si="78"/>
        <v>3975</v>
      </c>
      <c r="AZ52" s="97">
        <f t="shared" si="78"/>
        <v>3375</v>
      </c>
      <c r="BA52" s="97">
        <f t="shared" si="78"/>
        <v>4650</v>
      </c>
      <c r="BB52" s="97">
        <f t="shared" si="78"/>
        <v>4425</v>
      </c>
      <c r="BC52" s="97">
        <f t="shared" si="78"/>
        <v>6075</v>
      </c>
      <c r="BD52" s="97">
        <f t="shared" si="78"/>
        <v>6625</v>
      </c>
      <c r="BE52" s="97">
        <f t="shared" si="78"/>
        <v>6600</v>
      </c>
      <c r="BF52" s="97">
        <f t="shared" si="78"/>
        <v>7025</v>
      </c>
      <c r="BG52" s="97">
        <f t="shared" si="78"/>
        <v>5825</v>
      </c>
      <c r="BH52" s="97">
        <f t="shared" si="78"/>
        <v>5600</v>
      </c>
      <c r="BI52" s="97">
        <f t="shared" si="78"/>
        <v>5475</v>
      </c>
      <c r="BJ52" s="97">
        <f t="shared" si="78"/>
        <v>4275</v>
      </c>
      <c r="BK52" s="97">
        <f t="shared" si="78"/>
        <v>3975</v>
      </c>
      <c r="BL52" s="97">
        <f t="shared" ref="BL52:BW52" si="79">$C$49*BL49+$C$50*BL50</f>
        <v>3375</v>
      </c>
      <c r="BM52" s="97">
        <f t="shared" si="79"/>
        <v>4650</v>
      </c>
      <c r="BN52" s="97">
        <f t="shared" si="79"/>
        <v>4425</v>
      </c>
      <c r="BO52" s="97">
        <f t="shared" si="79"/>
        <v>6075</v>
      </c>
      <c r="BP52" s="97">
        <f t="shared" si="79"/>
        <v>6625</v>
      </c>
      <c r="BQ52" s="97">
        <f t="shared" si="79"/>
        <v>6600</v>
      </c>
      <c r="BR52" s="97">
        <f t="shared" si="79"/>
        <v>7025</v>
      </c>
      <c r="BS52" s="97">
        <f t="shared" si="79"/>
        <v>5825</v>
      </c>
      <c r="BT52" s="97">
        <f t="shared" si="79"/>
        <v>5600</v>
      </c>
      <c r="BU52" s="97">
        <f t="shared" si="79"/>
        <v>5475</v>
      </c>
      <c r="BV52" s="97">
        <f t="shared" si="79"/>
        <v>4275</v>
      </c>
      <c r="BW52" s="97">
        <f t="shared" si="79"/>
        <v>3975</v>
      </c>
      <c r="BX52" s="97">
        <f t="shared" ref="BX52:CI52" si="80">$C$49*BX49+$C$50*BX50</f>
        <v>3375</v>
      </c>
      <c r="BY52" s="97">
        <f t="shared" si="80"/>
        <v>4650</v>
      </c>
      <c r="BZ52" s="97">
        <f t="shared" si="80"/>
        <v>4425</v>
      </c>
      <c r="CA52" s="97">
        <f t="shared" si="80"/>
        <v>6075</v>
      </c>
      <c r="CB52" s="97">
        <f t="shared" si="80"/>
        <v>6625</v>
      </c>
      <c r="CC52" s="97">
        <f t="shared" si="80"/>
        <v>6600</v>
      </c>
      <c r="CD52" s="97">
        <f t="shared" si="80"/>
        <v>7025</v>
      </c>
      <c r="CE52" s="97">
        <f t="shared" si="80"/>
        <v>5825</v>
      </c>
      <c r="CF52" s="97">
        <f t="shared" si="80"/>
        <v>5600</v>
      </c>
      <c r="CG52" s="97">
        <f t="shared" si="80"/>
        <v>5475</v>
      </c>
      <c r="CH52" s="97">
        <f t="shared" si="80"/>
        <v>4275</v>
      </c>
      <c r="CI52" s="97">
        <f t="shared" si="80"/>
        <v>3975</v>
      </c>
    </row>
    <row r="53" spans="1:97" x14ac:dyDescent="0.2">
      <c r="A53" s="1">
        <v>41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97" x14ac:dyDescent="0.2">
      <c r="A54" s="1">
        <v>42</v>
      </c>
      <c r="B54" s="1" t="s">
        <v>299</v>
      </c>
      <c r="C54" s="16"/>
      <c r="D54" s="38">
        <f>D15+D21+D27+D33+D39+D45+D52</f>
        <v>61445</v>
      </c>
      <c r="E54" s="38">
        <f t="shared" ref="E54:P54" si="81">E15+E21+E27+E33+E39+E45+E52</f>
        <v>120749</v>
      </c>
      <c r="F54" s="38">
        <f t="shared" si="81"/>
        <v>125695</v>
      </c>
      <c r="G54" s="38">
        <f t="shared" si="81"/>
        <v>56798</v>
      </c>
      <c r="H54" s="38">
        <f t="shared" si="81"/>
        <v>53861</v>
      </c>
      <c r="I54" s="38">
        <f t="shared" si="81"/>
        <v>48764</v>
      </c>
      <c r="J54" s="38">
        <f t="shared" si="81"/>
        <v>61274</v>
      </c>
      <c r="K54" s="38">
        <f t="shared" si="81"/>
        <v>55115</v>
      </c>
      <c r="L54" s="38">
        <f t="shared" si="81"/>
        <v>56750</v>
      </c>
      <c r="M54" s="38">
        <f t="shared" si="81"/>
        <v>53147</v>
      </c>
      <c r="N54" s="38">
        <f t="shared" si="81"/>
        <v>52352</v>
      </c>
      <c r="O54" s="38">
        <f t="shared" si="81"/>
        <v>49875</v>
      </c>
      <c r="P54" s="38">
        <f t="shared" si="81"/>
        <v>61445</v>
      </c>
      <c r="Q54" s="38">
        <f t="shared" ref="Q54:BK54" si="82">Q15+Q21+Q27+Q33+Q39+Q45+Q52</f>
        <v>120749</v>
      </c>
      <c r="R54" s="38">
        <f t="shared" si="82"/>
        <v>125695</v>
      </c>
      <c r="S54" s="38">
        <f t="shared" si="82"/>
        <v>56798</v>
      </c>
      <c r="T54" s="38">
        <f t="shared" si="82"/>
        <v>53861</v>
      </c>
      <c r="U54" s="38">
        <f t="shared" si="82"/>
        <v>48764</v>
      </c>
      <c r="V54" s="38">
        <f t="shared" si="82"/>
        <v>61274</v>
      </c>
      <c r="W54" s="38">
        <f t="shared" si="82"/>
        <v>55115</v>
      </c>
      <c r="X54" s="38">
        <f t="shared" si="82"/>
        <v>56750</v>
      </c>
      <c r="Y54" s="38">
        <f t="shared" si="82"/>
        <v>53147</v>
      </c>
      <c r="Z54" s="38">
        <f t="shared" si="82"/>
        <v>52352</v>
      </c>
      <c r="AA54" s="38">
        <f t="shared" si="82"/>
        <v>49875</v>
      </c>
      <c r="AB54" s="38">
        <f t="shared" si="82"/>
        <v>61445</v>
      </c>
      <c r="AC54" s="38">
        <f t="shared" si="82"/>
        <v>120749</v>
      </c>
      <c r="AD54" s="38">
        <f t="shared" si="82"/>
        <v>125695</v>
      </c>
      <c r="AE54" s="38">
        <f t="shared" si="82"/>
        <v>56798</v>
      </c>
      <c r="AF54" s="38">
        <f t="shared" si="82"/>
        <v>53861</v>
      </c>
      <c r="AG54" s="38">
        <f t="shared" si="82"/>
        <v>48764</v>
      </c>
      <c r="AH54" s="38">
        <f t="shared" si="82"/>
        <v>61274</v>
      </c>
      <c r="AI54" s="38">
        <f t="shared" si="82"/>
        <v>55115</v>
      </c>
      <c r="AJ54" s="38">
        <f t="shared" si="82"/>
        <v>56750</v>
      </c>
      <c r="AK54" s="38">
        <f t="shared" si="82"/>
        <v>53147</v>
      </c>
      <c r="AL54" s="38">
        <f t="shared" si="82"/>
        <v>52352</v>
      </c>
      <c r="AM54" s="38">
        <f t="shared" si="82"/>
        <v>49875</v>
      </c>
      <c r="AN54" s="38">
        <f t="shared" si="82"/>
        <v>61445</v>
      </c>
      <c r="AO54" s="38">
        <f t="shared" si="82"/>
        <v>120749</v>
      </c>
      <c r="AP54" s="38">
        <f t="shared" si="82"/>
        <v>125695</v>
      </c>
      <c r="AQ54" s="38">
        <f t="shared" si="82"/>
        <v>56798</v>
      </c>
      <c r="AR54" s="38">
        <f t="shared" si="82"/>
        <v>53861</v>
      </c>
      <c r="AS54" s="38">
        <f t="shared" si="82"/>
        <v>48764</v>
      </c>
      <c r="AT54" s="38">
        <f t="shared" si="82"/>
        <v>61274</v>
      </c>
      <c r="AU54" s="38">
        <f t="shared" si="82"/>
        <v>55115</v>
      </c>
      <c r="AV54" s="38">
        <f t="shared" si="82"/>
        <v>56750</v>
      </c>
      <c r="AW54" s="38">
        <f t="shared" si="82"/>
        <v>53147</v>
      </c>
      <c r="AX54" s="38">
        <f t="shared" si="82"/>
        <v>52352</v>
      </c>
      <c r="AY54" s="38">
        <f t="shared" si="82"/>
        <v>49875</v>
      </c>
      <c r="AZ54" s="38">
        <f t="shared" si="82"/>
        <v>61445</v>
      </c>
      <c r="BA54" s="38">
        <f t="shared" si="82"/>
        <v>120749</v>
      </c>
      <c r="BB54" s="38">
        <f t="shared" si="82"/>
        <v>125695</v>
      </c>
      <c r="BC54" s="38">
        <f t="shared" si="82"/>
        <v>56798</v>
      </c>
      <c r="BD54" s="38">
        <f t="shared" si="82"/>
        <v>53861</v>
      </c>
      <c r="BE54" s="38">
        <f t="shared" si="82"/>
        <v>48764</v>
      </c>
      <c r="BF54" s="38">
        <f t="shared" si="82"/>
        <v>61274</v>
      </c>
      <c r="BG54" s="38">
        <f t="shared" si="82"/>
        <v>55115</v>
      </c>
      <c r="BH54" s="38">
        <f t="shared" si="82"/>
        <v>56750</v>
      </c>
      <c r="BI54" s="38">
        <f t="shared" si="82"/>
        <v>53147</v>
      </c>
      <c r="BJ54" s="38">
        <f t="shared" si="82"/>
        <v>52352</v>
      </c>
      <c r="BK54" s="38">
        <f t="shared" si="82"/>
        <v>49875</v>
      </c>
      <c r="BL54" s="38">
        <f t="shared" ref="BL54:BW54" si="83">BL15+BL21+BL27+BL33+BL39+BL45+BL52</f>
        <v>61445</v>
      </c>
      <c r="BM54" s="38">
        <f t="shared" si="83"/>
        <v>120749</v>
      </c>
      <c r="BN54" s="38">
        <f t="shared" si="83"/>
        <v>125695</v>
      </c>
      <c r="BO54" s="38">
        <f t="shared" si="83"/>
        <v>56798</v>
      </c>
      <c r="BP54" s="38">
        <f t="shared" si="83"/>
        <v>53861</v>
      </c>
      <c r="BQ54" s="38">
        <f t="shared" si="83"/>
        <v>48764</v>
      </c>
      <c r="BR54" s="38">
        <f t="shared" si="83"/>
        <v>61274</v>
      </c>
      <c r="BS54" s="38">
        <f t="shared" si="83"/>
        <v>55115</v>
      </c>
      <c r="BT54" s="38">
        <f t="shared" si="83"/>
        <v>56750</v>
      </c>
      <c r="BU54" s="38">
        <f t="shared" si="83"/>
        <v>53147</v>
      </c>
      <c r="BV54" s="38">
        <f t="shared" si="83"/>
        <v>52352</v>
      </c>
      <c r="BW54" s="38">
        <f t="shared" si="83"/>
        <v>49875</v>
      </c>
      <c r="BX54" s="38">
        <f t="shared" ref="BX54:CI54" si="84">BX15+BX21+BX27+BX33+BX39+BX45+BX52</f>
        <v>61445</v>
      </c>
      <c r="BY54" s="38">
        <f t="shared" si="84"/>
        <v>120749</v>
      </c>
      <c r="BZ54" s="38">
        <f t="shared" si="84"/>
        <v>125695</v>
      </c>
      <c r="CA54" s="38">
        <f t="shared" si="84"/>
        <v>56798</v>
      </c>
      <c r="CB54" s="38">
        <f t="shared" si="84"/>
        <v>53861</v>
      </c>
      <c r="CC54" s="38">
        <f t="shared" si="84"/>
        <v>48764</v>
      </c>
      <c r="CD54" s="38">
        <f t="shared" si="84"/>
        <v>61274</v>
      </c>
      <c r="CE54" s="38">
        <f t="shared" si="84"/>
        <v>55115</v>
      </c>
      <c r="CF54" s="38">
        <f t="shared" si="84"/>
        <v>56750</v>
      </c>
      <c r="CG54" s="38">
        <f t="shared" si="84"/>
        <v>53147</v>
      </c>
      <c r="CH54" s="38">
        <f t="shared" si="84"/>
        <v>52352</v>
      </c>
      <c r="CI54" s="38">
        <f t="shared" si="84"/>
        <v>49875</v>
      </c>
    </row>
    <row r="55" spans="1:97" x14ac:dyDescent="0.2">
      <c r="A55" s="1">
        <v>43</v>
      </c>
      <c r="B55" s="16"/>
      <c r="C55" s="1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</row>
    <row r="56" spans="1:97" x14ac:dyDescent="0.2">
      <c r="A56" s="16">
        <v>44</v>
      </c>
      <c r="B56" s="168" t="s">
        <v>363</v>
      </c>
      <c r="C56" s="1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</row>
    <row r="57" spans="1:97" x14ac:dyDescent="0.2">
      <c r="A57" s="1">
        <v>45</v>
      </c>
      <c r="B57" s="1" t="s">
        <v>6</v>
      </c>
      <c r="C57" s="216">
        <v>0.05</v>
      </c>
      <c r="D57" s="60">
        <f>[9]DR!$N$38</f>
        <v>46777.11</v>
      </c>
      <c r="E57" s="60">
        <f>$B$64*('Monthly Forecast'!D11+'Monthly Forecast'!D18+'Monthly Forecast'!D20+'Monthly Forecast'!D27+'Monthly Forecast'!D38+'Monthly Forecast'!D45)</f>
        <v>51862.394904118693</v>
      </c>
      <c r="F57" s="60">
        <f>$B$64*('Monthly Forecast'!E11+'Monthly Forecast'!E18+'Monthly Forecast'!E20+'Monthly Forecast'!E27+'Monthly Forecast'!E38+'Monthly Forecast'!E45)</f>
        <v>67870.188902252616</v>
      </c>
      <c r="G57" s="60">
        <f>$B$64*('Monthly Forecast'!F11+'Monthly Forecast'!F18+'Monthly Forecast'!F20+'Monthly Forecast'!F27+'Monthly Forecast'!F38+'Monthly Forecast'!F45)</f>
        <v>113000.43331465998</v>
      </c>
      <c r="H57" s="60">
        <f>$B$64*('Monthly Forecast'!G11+'Monthly Forecast'!G18+'Monthly Forecast'!G20+'Monthly Forecast'!G27+'Monthly Forecast'!G38+'Monthly Forecast'!G45)</f>
        <v>171564.42566711994</v>
      </c>
      <c r="I57" s="60">
        <f>$B$64*('Monthly Forecast'!H11+'Monthly Forecast'!H18+'Monthly Forecast'!H20+'Monthly Forecast'!H27+'Monthly Forecast'!H38+'Monthly Forecast'!H45)</f>
        <v>198108.14034898984</v>
      </c>
      <c r="J57" s="60">
        <f>$B$64*('Monthly Forecast'!I11+'Monthly Forecast'!I18+'Monthly Forecast'!I20+'Monthly Forecast'!I27+'Monthly Forecast'!I38+'Monthly Forecast'!I45)</f>
        <v>192332.78914020109</v>
      </c>
      <c r="K57" s="60">
        <f>$B$64*('Monthly Forecast'!J11+'Monthly Forecast'!J18+'Monthly Forecast'!J20+'Monthly Forecast'!J27+'Monthly Forecast'!J38+'Monthly Forecast'!J45)</f>
        <v>178270.20812811854</v>
      </c>
      <c r="L57" s="60">
        <f>$B$64*('Monthly Forecast'!K11+'Monthly Forecast'!K18+'Monthly Forecast'!K20+'Monthly Forecast'!K27+'Monthly Forecast'!K38+'Monthly Forecast'!K45)</f>
        <v>111702.08729558266</v>
      </c>
      <c r="M57" s="60">
        <f>$B$64*('Monthly Forecast'!L11+'Monthly Forecast'!L18+'Monthly Forecast'!L20+'Monthly Forecast'!L27+'Monthly Forecast'!L38+'Monthly Forecast'!L45)</f>
        <v>67499.878390754646</v>
      </c>
      <c r="N57" s="60">
        <f>$B$64*('Monthly Forecast'!M11+'Monthly Forecast'!M18+'Monthly Forecast'!M20+'Monthly Forecast'!M27+'Monthly Forecast'!M38+'Monthly Forecast'!M45)</f>
        <v>52256.437178325301</v>
      </c>
      <c r="O57" s="60">
        <f>$B$64*('Monthly Forecast'!N11+'Monthly Forecast'!N18+'Monthly Forecast'!N20+'Monthly Forecast'!N27+'Monthly Forecast'!N38+'Monthly Forecast'!N45)</f>
        <v>48197.681236385106</v>
      </c>
      <c r="P57" s="60">
        <f>$B$64*('Monthly Forecast'!O11+'Monthly Forecast'!O18+'Monthly Forecast'!O20+'Monthly Forecast'!O27+'Monthly Forecast'!O38+'Monthly Forecast'!O45)</f>
        <v>44791.383644271991</v>
      </c>
      <c r="Q57" s="60">
        <f>$B$64*('Monthly Forecast'!P11+'Monthly Forecast'!P18+'Monthly Forecast'!P20+'Monthly Forecast'!P27+'Monthly Forecast'!P38+'Monthly Forecast'!P45)</f>
        <v>45091.96811961769</v>
      </c>
      <c r="R57" s="60">
        <f>$B$64*('Monthly Forecast'!Q11+'Monthly Forecast'!Q18+'Monthly Forecast'!Q20+'Monthly Forecast'!Q27+'Monthly Forecast'!Q38+'Monthly Forecast'!Q45)</f>
        <v>56262.756654776204</v>
      </c>
      <c r="S57" s="60">
        <f>$B$64*('Monthly Forecast'!R11+'Monthly Forecast'!R18+'Monthly Forecast'!R20+'Monthly Forecast'!R27+'Monthly Forecast'!R38+'Monthly Forecast'!R45)</f>
        <v>96549.413802119583</v>
      </c>
      <c r="T57" s="60">
        <f>$B$64*('Monthly Forecast'!S11+'Monthly Forecast'!S18+'Monthly Forecast'!S20+'Monthly Forecast'!S27+'Monthly Forecast'!S38+'Monthly Forecast'!S45)</f>
        <v>143697.08057829188</v>
      </c>
      <c r="U57" s="60">
        <f>$B$64*('Monthly Forecast'!T11+'Monthly Forecast'!T18+'Monthly Forecast'!T20+'Monthly Forecast'!T27+'Monthly Forecast'!T38+'Monthly Forecast'!T45)</f>
        <v>162832.31072609653</v>
      </c>
      <c r="V57" s="60">
        <f>$B$64*('Monthly Forecast'!U11+'Monthly Forecast'!U18+'Monthly Forecast'!U20+'Monthly Forecast'!U27+'Monthly Forecast'!U38+'Monthly Forecast'!U45)</f>
        <v>160631.42246284056</v>
      </c>
      <c r="W57" s="60">
        <f>$B$64*('Monthly Forecast'!V11+'Monthly Forecast'!V18+'Monthly Forecast'!V20+'Monthly Forecast'!V27+'Monthly Forecast'!V38+'Monthly Forecast'!V45)</f>
        <v>150470.99221481421</v>
      </c>
      <c r="X57" s="60">
        <f>$B$64*('Monthly Forecast'!W11+'Monthly Forecast'!W18+'Monthly Forecast'!W20+'Monthly Forecast'!W27+'Monthly Forecast'!W38+'Monthly Forecast'!W45)</f>
        <v>97972.340902852709</v>
      </c>
      <c r="Y57" s="60">
        <f>$B$64*('Monthly Forecast'!X11+'Monthly Forecast'!X18+'Monthly Forecast'!X20+'Monthly Forecast'!X27+'Monthly Forecast'!X38+'Monthly Forecast'!X45)</f>
        <v>64359.484880450655</v>
      </c>
      <c r="Z57" s="60">
        <f>$B$64*('Monthly Forecast'!Y11+'Monthly Forecast'!Y18+'Monthly Forecast'!Y20+'Monthly Forecast'!Y27+'Monthly Forecast'!Y38+'Monthly Forecast'!Y45)</f>
        <v>50430.816667139916</v>
      </c>
      <c r="AA57" s="60">
        <f>$B$64*('Monthly Forecast'!Z11+'Monthly Forecast'!Z18+'Monthly Forecast'!Z20+'Monthly Forecast'!Z27+'Monthly Forecast'!Z38+'Monthly Forecast'!Z45)</f>
        <v>46693.460565744826</v>
      </c>
      <c r="AB57" s="60">
        <f>$B$64*('Monthly Forecast'!AA11+'Monthly Forecast'!AA18+'Monthly Forecast'!AA20+'Monthly Forecast'!AA27+'Monthly Forecast'!AA38+'Monthly Forecast'!AA45)</f>
        <v>45925.383208012761</v>
      </c>
      <c r="AC57" s="60">
        <f>$B$64*('Monthly Forecast'!AB11+'Monthly Forecast'!AB18+'Monthly Forecast'!AB20+'Monthly Forecast'!AB27+'Monthly Forecast'!AB38+'Monthly Forecast'!AB45)</f>
        <v>46253.95138550202</v>
      </c>
      <c r="AD57" s="60">
        <f>$B$64*('Monthly Forecast'!AC11+'Monthly Forecast'!AC18+'Monthly Forecast'!AC20+'Monthly Forecast'!AC27+'Monthly Forecast'!AC38+'Monthly Forecast'!AC45)</f>
        <v>58211.918307893335</v>
      </c>
      <c r="AE57" s="60">
        <f>$B$64*('Monthly Forecast'!AD11+'Monthly Forecast'!AD18+'Monthly Forecast'!AD20+'Monthly Forecast'!AD27+'Monthly Forecast'!AD38+'Monthly Forecast'!AD45)</f>
        <v>99267.594643623204</v>
      </c>
      <c r="AF57" s="60">
        <f>$B$64*('Monthly Forecast'!AE11+'Monthly Forecast'!AE18+'Monthly Forecast'!AE20+'Monthly Forecast'!AE27+'Monthly Forecast'!AE38+'Monthly Forecast'!AE45)</f>
        <v>148251.73521202765</v>
      </c>
      <c r="AG57" s="60">
        <f>$B$64*('Monthly Forecast'!AF11+'Monthly Forecast'!AF18+'Monthly Forecast'!AF20+'Monthly Forecast'!AF27+'Monthly Forecast'!AF38+'Monthly Forecast'!AF45)</f>
        <v>168154.64563045249</v>
      </c>
      <c r="AH57" s="60">
        <f>$B$64*('Monthly Forecast'!AG11+'Monthly Forecast'!AG18+'Monthly Forecast'!AG20+'Monthly Forecast'!AG27+'Monthly Forecast'!AG38+'Monthly Forecast'!AG45)</f>
        <v>162432.45197172367</v>
      </c>
      <c r="AI57" s="60">
        <f>$B$64*('Monthly Forecast'!AH11+'Monthly Forecast'!AH18+'Monthly Forecast'!AH20+'Monthly Forecast'!AH27+'Monthly Forecast'!AH38+'Monthly Forecast'!AH45)</f>
        <v>152013.47087655027</v>
      </c>
      <c r="AJ57" s="60">
        <f>$B$64*('Monthly Forecast'!AI11+'Monthly Forecast'!AI18+'Monthly Forecast'!AI20+'Monthly Forecast'!AI27+'Monthly Forecast'!AI38+'Monthly Forecast'!AI45)</f>
        <v>98892.265646552856</v>
      </c>
      <c r="AK57" s="60">
        <f>$B$64*('Monthly Forecast'!AJ11+'Monthly Forecast'!AJ18+'Monthly Forecast'!AJ20+'Monthly Forecast'!AJ27+'Monthly Forecast'!AJ38+'Monthly Forecast'!AJ45)</f>
        <v>65944.755245916691</v>
      </c>
      <c r="AL57" s="60">
        <f>$B$64*('Monthly Forecast'!AK11+'Monthly Forecast'!AK18+'Monthly Forecast'!AK20+'Monthly Forecast'!AK27+'Monthly Forecast'!AK38+'Monthly Forecast'!AK45)</f>
        <v>51384.191093183879</v>
      </c>
      <c r="AM57" s="60">
        <f>$B$64*('Monthly Forecast'!AL11+'Monthly Forecast'!AL18+'Monthly Forecast'!AL20+'Monthly Forecast'!AL27+'Monthly Forecast'!AL38+'Monthly Forecast'!AL45)</f>
        <v>47492.74497762636</v>
      </c>
      <c r="AN57" s="60">
        <f>$B$64*('Monthly Forecast'!AM11+'Monthly Forecast'!AM18+'Monthly Forecast'!AM20+'Monthly Forecast'!AM27+'Monthly Forecast'!AM38+'Monthly Forecast'!AM45)</f>
        <v>46671.612766407889</v>
      </c>
      <c r="AO57" s="60">
        <f>$B$64*('Monthly Forecast'!AN11+'Monthly Forecast'!AN18+'Monthly Forecast'!AN20+'Monthly Forecast'!AN27+'Monthly Forecast'!AN38+'Monthly Forecast'!AN45)</f>
        <v>47018.141120793422</v>
      </c>
      <c r="AP57" s="60">
        <f>$B$64*('Monthly Forecast'!AO11+'Monthly Forecast'!AO18+'Monthly Forecast'!AO20+'Monthly Forecast'!AO27+'Monthly Forecast'!AO38+'Monthly Forecast'!AO45)</f>
        <v>59481.592982246002</v>
      </c>
      <c r="AQ57" s="60">
        <f>$B$64*('Monthly Forecast'!AP11+'Monthly Forecast'!AP18+'Monthly Forecast'!AP20+'Monthly Forecast'!AP27+'Monthly Forecast'!AP38+'Monthly Forecast'!AP45)</f>
        <v>101458.23913931544</v>
      </c>
      <c r="AR57" s="60">
        <f>$B$64*('Monthly Forecast'!AQ11+'Monthly Forecast'!AQ18+'Monthly Forecast'!AQ20+'Monthly Forecast'!AQ27+'Monthly Forecast'!AQ38+'Monthly Forecast'!AQ45)</f>
        <v>151912.86051894474</v>
      </c>
      <c r="AS57" s="60">
        <f>$B$64*('Monthly Forecast'!AR11+'Monthly Forecast'!AR18+'Monthly Forecast'!AR20+'Monthly Forecast'!AR27+'Monthly Forecast'!AR38+'Monthly Forecast'!AR45)</f>
        <v>172430.4864596141</v>
      </c>
      <c r="AT57" s="60">
        <f>$B$64*('Monthly Forecast'!AS11+'Monthly Forecast'!AS18+'Monthly Forecast'!AS20+'Monthly Forecast'!AS27+'Monthly Forecast'!AS38+'Monthly Forecast'!AS45)</f>
        <v>166051.12905300868</v>
      </c>
      <c r="AU57" s="60">
        <f>$B$64*('Monthly Forecast'!AT11+'Monthly Forecast'!AT18+'Monthly Forecast'!AT20+'Monthly Forecast'!AT27+'Monthly Forecast'!AT38+'Monthly Forecast'!AT45)</f>
        <v>155145.2621856175</v>
      </c>
      <c r="AV57" s="60">
        <f>$B$64*('Monthly Forecast'!AU11+'Monthly Forecast'!AU18+'Monthly Forecast'!AU20+'Monthly Forecast'!AU27+'Monthly Forecast'!AU38+'Monthly Forecast'!AU45)</f>
        <v>100725.78768452292</v>
      </c>
      <c r="AW57" s="60">
        <f>$B$64*('Monthly Forecast'!AV11+'Monthly Forecast'!AV18+'Monthly Forecast'!AV20+'Monthly Forecast'!AV27+'Monthly Forecast'!AV38+'Monthly Forecast'!AV45)</f>
        <v>66542.763196751461</v>
      </c>
      <c r="AX57" s="60">
        <f>$B$64*('Monthly Forecast'!AW11+'Monthly Forecast'!AW18+'Monthly Forecast'!AW20+'Monthly Forecast'!AW27+'Monthly Forecast'!AW38+'Monthly Forecast'!AW45)</f>
        <v>51756.473724700663</v>
      </c>
      <c r="AY57" s="60">
        <f>$B$64*('Monthly Forecast'!AX11+'Monthly Forecast'!AX18+'Monthly Forecast'!AX20+'Monthly Forecast'!AX27+'Monthly Forecast'!AX38+'Monthly Forecast'!AX45)</f>
        <v>47810.335610732611</v>
      </c>
      <c r="AZ57" s="60">
        <f>$B$64*('Monthly Forecast'!AY11+'Monthly Forecast'!AY18+'Monthly Forecast'!AY20+'Monthly Forecast'!AY27+'Monthly Forecast'!AY38+'Monthly Forecast'!AY45)</f>
        <v>46945.360608982293</v>
      </c>
      <c r="BA57" s="60">
        <f>$B$64*('Monthly Forecast'!AZ11+'Monthly Forecast'!AZ18+'Monthly Forecast'!AZ20+'Monthly Forecast'!AZ27+'Monthly Forecast'!AZ38+'Monthly Forecast'!AZ45)</f>
        <v>47297.637223689264</v>
      </c>
      <c r="BB57" s="60">
        <f>$B$64*('Monthly Forecast'!BA11+'Monthly Forecast'!BA18+'Monthly Forecast'!BA20+'Monthly Forecast'!BA27+'Monthly Forecast'!BA38+'Monthly Forecast'!BA45)</f>
        <v>59922.776844032822</v>
      </c>
      <c r="BC57" s="60">
        <f>$B$64*('Monthly Forecast'!BB11+'Monthly Forecast'!BB18+'Monthly Forecast'!BB20+'Monthly Forecast'!BB27+'Monthly Forecast'!BB38+'Monthly Forecast'!BB45)</f>
        <v>102681.60728930055</v>
      </c>
      <c r="BD57" s="60">
        <f>$B$64*('Monthly Forecast'!BC11+'Monthly Forecast'!BC18+'Monthly Forecast'!BC20+'Monthly Forecast'!BC27+'Monthly Forecast'!BC38+'Monthly Forecast'!BC45)</f>
        <v>153939.28119993038</v>
      </c>
      <c r="BE57" s="60">
        <f>$B$64*('Monthly Forecast'!BD11+'Monthly Forecast'!BD18+'Monthly Forecast'!BD20+'Monthly Forecast'!BD27+'Monthly Forecast'!BD38+'Monthly Forecast'!BD45)</f>
        <v>174793.01126951774</v>
      </c>
      <c r="BF57" s="60">
        <f>$B$64*('Monthly Forecast'!BE11+'Monthly Forecast'!BE18+'Monthly Forecast'!BE20+'Monthly Forecast'!BE27+'Monthly Forecast'!BE38+'Monthly Forecast'!BE45)</f>
        <v>168521.77591819584</v>
      </c>
      <c r="BG57" s="60">
        <f>$B$64*('Monthly Forecast'!BF11+'Monthly Forecast'!BF18+'Monthly Forecast'!BF20+'Monthly Forecast'!BF27+'Monthly Forecast'!BF38+'Monthly Forecast'!BF45)</f>
        <v>157270.36455599157</v>
      </c>
      <c r="BH57" s="60">
        <f>$B$64*('Monthly Forecast'!BG11+'Monthly Forecast'!BG18+'Monthly Forecast'!BG20+'Monthly Forecast'!BG27+'Monthly Forecast'!BG38+'Monthly Forecast'!BG45)</f>
        <v>101981.30466597342</v>
      </c>
      <c r="BI57" s="60">
        <f>$B$64*('Monthly Forecast'!BH11+'Monthly Forecast'!BH18+'Monthly Forecast'!BH20+'Monthly Forecast'!BH27+'Monthly Forecast'!BH38+'Monthly Forecast'!BH45)</f>
        <v>67163.420160687019</v>
      </c>
      <c r="BJ57" s="60">
        <f>$B$64*('Monthly Forecast'!BI11+'Monthly Forecast'!BI18+'Monthly Forecast'!BI20+'Monthly Forecast'!BI27+'Monthly Forecast'!BI38+'Monthly Forecast'!BI45)</f>
        <v>52142.430492476145</v>
      </c>
      <c r="BK57" s="60">
        <f>$B$64*('Monthly Forecast'!BJ11+'Monthly Forecast'!BJ18+'Monthly Forecast'!BJ20+'Monthly Forecast'!BJ27+'Monthly Forecast'!BJ38+'Monthly Forecast'!BJ45)</f>
        <v>48139.226239551303</v>
      </c>
      <c r="BL57" s="60">
        <f>$B$64*('Monthly Forecast'!BK11+'Monthly Forecast'!BK18+'Monthly Forecast'!BK20+'Monthly Forecast'!BK27+'Monthly Forecast'!BK38+'Monthly Forecast'!BK45)</f>
        <v>47278.711591175568</v>
      </c>
      <c r="BM57" s="60">
        <f>$B$64*('Monthly Forecast'!BL11+'Monthly Forecast'!BL18+'Monthly Forecast'!BL20+'Monthly Forecast'!BL27+'Monthly Forecast'!BL38+'Monthly Forecast'!BL45)</f>
        <v>47638.284513313949</v>
      </c>
      <c r="BN57" s="60">
        <f>$B$64*('Monthly Forecast'!BM11+'Monthly Forecast'!BM18+'Monthly Forecast'!BM20+'Monthly Forecast'!BM27+'Monthly Forecast'!BM38+'Monthly Forecast'!BM45)</f>
        <v>60469.471237593578</v>
      </c>
      <c r="BO57" s="60">
        <f>$B$64*('Monthly Forecast'!BN11+'Monthly Forecast'!BN18+'Monthly Forecast'!BN20+'Monthly Forecast'!BN27+'Monthly Forecast'!BN38+'Monthly Forecast'!BN45)</f>
        <v>104121.76916539717</v>
      </c>
      <c r="BP57" s="60">
        <f>$B$64*('Monthly Forecast'!BO11+'Monthly Forecast'!BO18+'Monthly Forecast'!BO20+'Monthly Forecast'!BO27+'Monthly Forecast'!BO38+'Monthly Forecast'!BO45)</f>
        <v>156331.00261819275</v>
      </c>
      <c r="BQ57" s="60">
        <f>$B$64*('Monthly Forecast'!BP11+'Monthly Forecast'!BP18+'Monthly Forecast'!BP20+'Monthly Forecast'!BP27+'Monthly Forecast'!BP38+'Monthly Forecast'!BP45)</f>
        <v>177583.13393465348</v>
      </c>
      <c r="BR57" s="60">
        <f>$B$64*('Monthly Forecast'!BQ11+'Monthly Forecast'!BQ18+'Monthly Forecast'!BQ20+'Monthly Forecast'!BQ27+'Monthly Forecast'!BQ38+'Monthly Forecast'!BQ45)</f>
        <v>171383.97210770595</v>
      </c>
      <c r="BS57" s="60">
        <f>$B$64*('Monthly Forecast'!BR11+'Monthly Forecast'!BR18+'Monthly Forecast'!BR20+'Monthly Forecast'!BR27+'Monthly Forecast'!BR38+'Monthly Forecast'!BR45)</f>
        <v>159736.1824091865</v>
      </c>
      <c r="BT57" s="60">
        <f>$B$64*('Monthly Forecast'!BS11+'Monthly Forecast'!BS18+'Monthly Forecast'!BS20+'Monthly Forecast'!BS27+'Monthly Forecast'!BS38+'Monthly Forecast'!BS45)</f>
        <v>103432.797065217</v>
      </c>
      <c r="BU57" s="60">
        <f>$B$64*('Monthly Forecast'!BT11+'Monthly Forecast'!BT18+'Monthly Forecast'!BT20+'Monthly Forecast'!BT27+'Monthly Forecast'!BT38+'Monthly Forecast'!BT45)</f>
        <v>67978.599938038693</v>
      </c>
      <c r="BV57" s="60">
        <f>$B$64*('Monthly Forecast'!BU11+'Monthly Forecast'!BU18+'Monthly Forecast'!BU20+'Monthly Forecast'!BU27+'Monthly Forecast'!BU38+'Monthly Forecast'!BU45)</f>
        <v>52643.41405381143</v>
      </c>
      <c r="BW57" s="60">
        <f>$B$64*('Monthly Forecast'!BV11+'Monthly Forecast'!BV18+'Monthly Forecast'!BV20+'Monthly Forecast'!BV27+'Monthly Forecast'!BV38+'Monthly Forecast'!BV45)</f>
        <v>48562.725650669512</v>
      </c>
      <c r="BX57" s="60">
        <f>$B$64*('Monthly Forecast'!BW11+'Monthly Forecast'!BW18+'Monthly Forecast'!BW20+'Monthly Forecast'!BW27+'Monthly Forecast'!BW38+'Monthly Forecast'!BW45)</f>
        <v>47721.843426371481</v>
      </c>
      <c r="BY57" s="60">
        <f>$B$64*('Monthly Forecast'!BX11+'Monthly Forecast'!BX18+'Monthly Forecast'!BX20+'Monthly Forecast'!BX27+'Monthly Forecast'!BX38+'Monthly Forecast'!BX45)</f>
        <v>48091.562753421</v>
      </c>
      <c r="BZ57" s="60">
        <f>$B$64*('Monthly Forecast'!BY11+'Monthly Forecast'!BY18+'Monthly Forecast'!BY20+'Monthly Forecast'!BY27+'Monthly Forecast'!BY38+'Monthly Forecast'!BY45)</f>
        <v>61208.26155665797</v>
      </c>
      <c r="CA57" s="60">
        <f>$B$64*('Monthly Forecast'!BZ11+'Monthly Forecast'!BZ18+'Monthly Forecast'!BZ20+'Monthly Forecast'!BZ27+'Monthly Forecast'!BZ38+'Monthly Forecast'!BZ45)</f>
        <v>105910.66771415604</v>
      </c>
      <c r="CB57" s="60">
        <f>$B$64*('Monthly Forecast'!CA11+'Monthly Forecast'!CA18+'Monthly Forecast'!CA20+'Monthly Forecast'!CA27+'Monthly Forecast'!CA38+'Monthly Forecast'!CA45)</f>
        <v>159313.72365478837</v>
      </c>
      <c r="CC57" s="60">
        <f>$B$64*('Monthly Forecast'!CB11+'Monthly Forecast'!CB18+'Monthly Forecast'!CB20+'Monthly Forecast'!CB27+'Monthly Forecast'!CB38+'Monthly Forecast'!CB45)</f>
        <v>181065.03745336714</v>
      </c>
      <c r="CD57" s="60">
        <f>$B$64*('Monthly Forecast'!CC11+'Monthly Forecast'!CC18+'Monthly Forecast'!CC20+'Monthly Forecast'!CC27+'Monthly Forecast'!CC38+'Monthly Forecast'!CC45)</f>
        <v>174859.35030333872</v>
      </c>
      <c r="CE57" s="60">
        <f>$B$64*('Monthly Forecast'!CD11+'Monthly Forecast'!CD18+'Monthly Forecast'!CD20+'Monthly Forecast'!CD27+'Monthly Forecast'!CD38+'Monthly Forecast'!CD45)</f>
        <v>162737.20850486998</v>
      </c>
      <c r="CF57" s="60">
        <f>$B$64*('Monthly Forecast'!CE11+'Monthly Forecast'!CE18+'Monthly Forecast'!CE20+'Monthly Forecast'!CE27+'Monthly Forecast'!CE38+'Monthly Forecast'!CE45)</f>
        <v>105192.8112658664</v>
      </c>
      <c r="CG57" s="60">
        <f>$B$64*('Monthly Forecast'!CF11+'Monthly Forecast'!CF18+'Monthly Forecast'!CF20+'Monthly Forecast'!CF27+'Monthly Forecast'!CF38+'Monthly Forecast'!CF45)</f>
        <v>68943.582229678359</v>
      </c>
      <c r="CH57" s="60">
        <f>$B$64*('Monthly Forecast'!CG11+'Monthly Forecast'!CG18+'Monthly Forecast'!CG20+'Monthly Forecast'!CG27+'Monthly Forecast'!CG38+'Monthly Forecast'!CG45)</f>
        <v>53231.482667547061</v>
      </c>
      <c r="CI57" s="60">
        <f>$B$64*('Monthly Forecast'!CH11+'Monthly Forecast'!CH18+'Monthly Forecast'!CH20+'Monthly Forecast'!CH27+'Monthly Forecast'!CH38+'Monthly Forecast'!CH45)</f>
        <v>49058.99773174397</v>
      </c>
      <c r="CJ57" s="60"/>
    </row>
    <row r="58" spans="1:97" x14ac:dyDescent="0.2">
      <c r="A58" s="1">
        <v>46</v>
      </c>
      <c r="B58" s="32" t="s">
        <v>301</v>
      </c>
      <c r="C58" s="32"/>
      <c r="D58" s="103">
        <f>D54+D57</f>
        <v>108222.11</v>
      </c>
      <c r="E58" s="103">
        <f t="shared" ref="E58:BP58" si="85">E54+E57</f>
        <v>172611.3949041187</v>
      </c>
      <c r="F58" s="103">
        <f t="shared" si="85"/>
        <v>193565.18890225262</v>
      </c>
      <c r="G58" s="103">
        <f t="shared" si="85"/>
        <v>169798.43331465998</v>
      </c>
      <c r="H58" s="103">
        <f t="shared" si="85"/>
        <v>225425.42566711994</v>
      </c>
      <c r="I58" s="103">
        <f t="shared" si="85"/>
        <v>246872.14034898984</v>
      </c>
      <c r="J58" s="103">
        <f t="shared" si="85"/>
        <v>253606.78914020109</v>
      </c>
      <c r="K58" s="103">
        <f t="shared" si="85"/>
        <v>233385.20812811854</v>
      </c>
      <c r="L58" s="103">
        <f t="shared" si="85"/>
        <v>168452.08729558266</v>
      </c>
      <c r="M58" s="103">
        <f t="shared" si="85"/>
        <v>120646.87839075465</v>
      </c>
      <c r="N58" s="103">
        <f t="shared" si="85"/>
        <v>104608.4371783253</v>
      </c>
      <c r="O58" s="103">
        <f t="shared" si="85"/>
        <v>98072.681236385106</v>
      </c>
      <c r="P58" s="103">
        <f t="shared" si="85"/>
        <v>106236.38364427199</v>
      </c>
      <c r="Q58" s="103">
        <f t="shared" si="85"/>
        <v>165840.9681196177</v>
      </c>
      <c r="R58" s="103">
        <f t="shared" si="85"/>
        <v>181957.7566547762</v>
      </c>
      <c r="S58" s="103">
        <f t="shared" si="85"/>
        <v>153347.41380211958</v>
      </c>
      <c r="T58" s="103">
        <f t="shared" si="85"/>
        <v>197558.08057829188</v>
      </c>
      <c r="U58" s="103">
        <f t="shared" si="85"/>
        <v>211596.31072609653</v>
      </c>
      <c r="V58" s="103">
        <f t="shared" si="85"/>
        <v>221905.42246284056</v>
      </c>
      <c r="W58" s="103">
        <f t="shared" si="85"/>
        <v>205585.99221481421</v>
      </c>
      <c r="X58" s="103">
        <f t="shared" si="85"/>
        <v>154722.34090285271</v>
      </c>
      <c r="Y58" s="103">
        <f t="shared" si="85"/>
        <v>117506.48488045065</v>
      </c>
      <c r="Z58" s="103">
        <f t="shared" si="85"/>
        <v>102782.81666713991</v>
      </c>
      <c r="AA58" s="103">
        <f t="shared" si="85"/>
        <v>96568.460565744826</v>
      </c>
      <c r="AB58" s="103">
        <f t="shared" si="85"/>
        <v>107370.38320801276</v>
      </c>
      <c r="AC58" s="103">
        <f t="shared" si="85"/>
        <v>167002.951385502</v>
      </c>
      <c r="AD58" s="103">
        <f t="shared" si="85"/>
        <v>183906.91830789333</v>
      </c>
      <c r="AE58" s="103">
        <f t="shared" si="85"/>
        <v>156065.59464362322</v>
      </c>
      <c r="AF58" s="103">
        <f t="shared" si="85"/>
        <v>202112.73521202765</v>
      </c>
      <c r="AG58" s="103">
        <f t="shared" si="85"/>
        <v>216918.64563045249</v>
      </c>
      <c r="AH58" s="103">
        <f t="shared" si="85"/>
        <v>223706.45197172367</v>
      </c>
      <c r="AI58" s="103">
        <f t="shared" si="85"/>
        <v>207128.47087655027</v>
      </c>
      <c r="AJ58" s="103">
        <f t="shared" si="85"/>
        <v>155642.26564655284</v>
      </c>
      <c r="AK58" s="103">
        <f t="shared" si="85"/>
        <v>119091.75524591669</v>
      </c>
      <c r="AL58" s="103">
        <f t="shared" si="85"/>
        <v>103736.19109318388</v>
      </c>
      <c r="AM58" s="103">
        <f t="shared" si="85"/>
        <v>97367.744977626367</v>
      </c>
      <c r="AN58" s="103">
        <f t="shared" si="85"/>
        <v>108116.6127664079</v>
      </c>
      <c r="AO58" s="103">
        <f t="shared" si="85"/>
        <v>167767.14112079341</v>
      </c>
      <c r="AP58" s="103">
        <f t="shared" si="85"/>
        <v>185176.59298224602</v>
      </c>
      <c r="AQ58" s="103">
        <f t="shared" si="85"/>
        <v>158256.23913931544</v>
      </c>
      <c r="AR58" s="103">
        <f t="shared" si="85"/>
        <v>205773.86051894474</v>
      </c>
      <c r="AS58" s="103">
        <f t="shared" si="85"/>
        <v>221194.4864596141</v>
      </c>
      <c r="AT58" s="103">
        <f t="shared" si="85"/>
        <v>227325.12905300868</v>
      </c>
      <c r="AU58" s="103">
        <f t="shared" si="85"/>
        <v>210260.2621856175</v>
      </c>
      <c r="AV58" s="103">
        <f t="shared" si="85"/>
        <v>157475.78768452292</v>
      </c>
      <c r="AW58" s="103">
        <f t="shared" si="85"/>
        <v>119689.76319675146</v>
      </c>
      <c r="AX58" s="103">
        <f t="shared" si="85"/>
        <v>104108.47372470066</v>
      </c>
      <c r="AY58" s="103">
        <f t="shared" si="85"/>
        <v>97685.335610732611</v>
      </c>
      <c r="AZ58" s="103">
        <f t="shared" si="85"/>
        <v>108390.3606089823</v>
      </c>
      <c r="BA58" s="103">
        <f t="shared" si="85"/>
        <v>168046.63722368926</v>
      </c>
      <c r="BB58" s="103">
        <f t="shared" si="85"/>
        <v>185617.77684403281</v>
      </c>
      <c r="BC58" s="103">
        <f t="shared" si="85"/>
        <v>159479.60728930053</v>
      </c>
      <c r="BD58" s="103">
        <f t="shared" si="85"/>
        <v>207800.28119993038</v>
      </c>
      <c r="BE58" s="103">
        <f t="shared" si="85"/>
        <v>223557.01126951774</v>
      </c>
      <c r="BF58" s="103">
        <f t="shared" si="85"/>
        <v>229795.77591819584</v>
      </c>
      <c r="BG58" s="103">
        <f t="shared" si="85"/>
        <v>212385.36455599157</v>
      </c>
      <c r="BH58" s="103">
        <f t="shared" si="85"/>
        <v>158731.30466597341</v>
      </c>
      <c r="BI58" s="103">
        <f t="shared" si="85"/>
        <v>120310.42016068702</v>
      </c>
      <c r="BJ58" s="103">
        <f t="shared" si="85"/>
        <v>104494.43049247615</v>
      </c>
      <c r="BK58" s="103">
        <f t="shared" si="85"/>
        <v>98014.226239551295</v>
      </c>
      <c r="BL58" s="103">
        <f t="shared" si="85"/>
        <v>108723.71159117557</v>
      </c>
      <c r="BM58" s="103">
        <f t="shared" si="85"/>
        <v>168387.28451331396</v>
      </c>
      <c r="BN58" s="103">
        <f t="shared" si="85"/>
        <v>186164.47123759356</v>
      </c>
      <c r="BO58" s="103">
        <f t="shared" si="85"/>
        <v>160919.76916539716</v>
      </c>
      <c r="BP58" s="103">
        <f t="shared" si="85"/>
        <v>210192.00261819275</v>
      </c>
      <c r="BQ58" s="103">
        <f t="shared" ref="BQ58:CI58" si="86">BQ54+BQ57</f>
        <v>226347.13393465348</v>
      </c>
      <c r="BR58" s="103">
        <f t="shared" si="86"/>
        <v>232657.97210770595</v>
      </c>
      <c r="BS58" s="103">
        <f t="shared" si="86"/>
        <v>214851.1824091865</v>
      </c>
      <c r="BT58" s="103">
        <f t="shared" si="86"/>
        <v>160182.79706521699</v>
      </c>
      <c r="BU58" s="103">
        <f t="shared" si="86"/>
        <v>121125.59993803869</v>
      </c>
      <c r="BV58" s="103">
        <f t="shared" si="86"/>
        <v>104995.41405381143</v>
      </c>
      <c r="BW58" s="103">
        <f t="shared" si="86"/>
        <v>98437.725650669512</v>
      </c>
      <c r="BX58" s="103">
        <f t="shared" si="86"/>
        <v>109166.84342637149</v>
      </c>
      <c r="BY58" s="103">
        <f t="shared" si="86"/>
        <v>168840.56275342099</v>
      </c>
      <c r="BZ58" s="103">
        <f t="shared" si="86"/>
        <v>186903.26155665796</v>
      </c>
      <c r="CA58" s="103">
        <f t="shared" si="86"/>
        <v>162708.66771415604</v>
      </c>
      <c r="CB58" s="103">
        <f t="shared" si="86"/>
        <v>213174.72365478837</v>
      </c>
      <c r="CC58" s="103">
        <f t="shared" si="86"/>
        <v>229829.03745336714</v>
      </c>
      <c r="CD58" s="103">
        <f t="shared" si="86"/>
        <v>236133.35030333872</v>
      </c>
      <c r="CE58" s="103">
        <f t="shared" si="86"/>
        <v>217852.20850486998</v>
      </c>
      <c r="CF58" s="103">
        <f t="shared" si="86"/>
        <v>161942.81126586639</v>
      </c>
      <c r="CG58" s="103">
        <f t="shared" si="86"/>
        <v>122090.58222967836</v>
      </c>
      <c r="CH58" s="103">
        <f t="shared" si="86"/>
        <v>105583.48266754707</v>
      </c>
      <c r="CI58" s="103">
        <f t="shared" si="86"/>
        <v>98933.997731743963</v>
      </c>
    </row>
    <row r="59" spans="1:97" x14ac:dyDescent="0.2">
      <c r="B59" s="171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</row>
    <row r="60" spans="1:97" x14ac:dyDescent="0.2">
      <c r="B60" s="710"/>
      <c r="C60" s="1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16"/>
      <c r="CK60" s="16"/>
      <c r="CL60" s="16"/>
      <c r="CM60" s="16"/>
      <c r="CN60" s="16"/>
      <c r="CO60" s="16"/>
      <c r="CP60" s="16"/>
      <c r="CQ60" s="16"/>
      <c r="CR60" s="16"/>
      <c r="CS60" s="16"/>
    </row>
    <row r="61" spans="1:97" x14ac:dyDescent="0.2">
      <c r="B61" s="16"/>
      <c r="C61" s="140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16"/>
      <c r="CK61" s="16"/>
      <c r="CL61" s="16"/>
      <c r="CM61" s="16"/>
      <c r="CN61" s="16"/>
      <c r="CO61" s="16"/>
      <c r="CP61" s="16"/>
      <c r="CQ61" s="16"/>
      <c r="CR61" s="16"/>
      <c r="CS61" s="16"/>
    </row>
    <row r="62" spans="1:97" x14ac:dyDescent="0.2">
      <c r="B62" s="16"/>
      <c r="C62" s="16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6"/>
      <c r="CK62" s="16"/>
      <c r="CL62" s="16"/>
      <c r="CM62" s="16"/>
      <c r="CN62" s="16"/>
      <c r="CO62" s="16"/>
      <c r="CP62" s="16"/>
      <c r="CQ62" s="16"/>
      <c r="CR62" s="16"/>
      <c r="CS62" s="16"/>
    </row>
    <row r="63" spans="1:97" x14ac:dyDescent="0.2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</row>
    <row r="64" spans="1:97" x14ac:dyDescent="0.2">
      <c r="B64" s="215">
        <f>[9]DR!$O$67</f>
        <v>8.0000000000000002E-3</v>
      </c>
      <c r="C64" s="14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</row>
    <row r="65" spans="1:87" s="16" customFormat="1" x14ac:dyDescent="0.2">
      <c r="A65" s="1"/>
      <c r="C65" s="23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</row>
    <row r="66" spans="1:87" s="16" customFormat="1" x14ac:dyDescent="0.2">
      <c r="A66" s="1"/>
      <c r="C66" s="23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</row>
    <row r="67" spans="1:87" s="16" customFormat="1" x14ac:dyDescent="0.2">
      <c r="A67" s="1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</row>
    <row r="68" spans="1:87" s="16" customFormat="1" x14ac:dyDescent="0.2">
      <c r="A68" s="1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</row>
    <row r="69" spans="1:87" s="16" customFormat="1" x14ac:dyDescent="0.2">
      <c r="A69" s="1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</row>
    <row r="70" spans="1:87" s="16" customFormat="1" x14ac:dyDescent="0.2">
      <c r="A70" s="1"/>
    </row>
    <row r="71" spans="1:87" s="16" customFormat="1" x14ac:dyDescent="0.2">
      <c r="A71" s="1"/>
      <c r="B71" s="35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</row>
    <row r="72" spans="1:87" s="16" customFormat="1" x14ac:dyDescent="0.2">
      <c r="A72" s="1"/>
      <c r="C72" s="55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</row>
    <row r="73" spans="1:87" s="16" customFormat="1" x14ac:dyDescent="0.2">
      <c r="A73" s="1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</row>
    <row r="74" spans="1:87" s="16" customFormat="1" x14ac:dyDescent="0.2">
      <c r="A74" s="1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</row>
    <row r="75" spans="1:87" s="16" customFormat="1" x14ac:dyDescent="0.2">
      <c r="A75" s="1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</row>
    <row r="76" spans="1:87" s="16" customFormat="1" x14ac:dyDescent="0.2">
      <c r="A76" s="1"/>
      <c r="C76" s="23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</row>
    <row r="77" spans="1:87" s="16" customFormat="1" x14ac:dyDescent="0.2">
      <c r="A77" s="1"/>
      <c r="C77" s="23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</row>
    <row r="78" spans="1:87" s="16" customFormat="1" x14ac:dyDescent="0.2">
      <c r="A78" s="1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</row>
    <row r="79" spans="1:87" s="16" customFormat="1" x14ac:dyDescent="0.2">
      <c r="A79" s="1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</row>
    <row r="80" spans="1:87" s="16" customFormat="1" x14ac:dyDescent="0.2">
      <c r="A80" s="1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</row>
    <row r="81" spans="1:63" s="16" customFormat="1" x14ac:dyDescent="0.2">
      <c r="A81" s="1"/>
    </row>
    <row r="82" spans="1:63" s="16" customFormat="1" x14ac:dyDescent="0.2">
      <c r="A82" s="1"/>
      <c r="B82" s="35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</row>
    <row r="83" spans="1:63" s="16" customFormat="1" x14ac:dyDescent="0.2">
      <c r="A83" s="1"/>
      <c r="C83" s="55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</row>
    <row r="84" spans="1:63" s="16" customFormat="1" x14ac:dyDescent="0.2">
      <c r="A84" s="1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</row>
    <row r="85" spans="1:63" s="16" customFormat="1" x14ac:dyDescent="0.2">
      <c r="A85" s="1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</row>
    <row r="86" spans="1:63" s="16" customFormat="1" x14ac:dyDescent="0.2">
      <c r="A86" s="1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</row>
    <row r="87" spans="1:63" s="16" customFormat="1" x14ac:dyDescent="0.2">
      <c r="A87" s="1"/>
      <c r="C87" s="23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</row>
    <row r="88" spans="1:63" s="16" customFormat="1" x14ac:dyDescent="0.2">
      <c r="A88" s="1"/>
      <c r="C88" s="23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</row>
    <row r="89" spans="1:63" s="16" customFormat="1" x14ac:dyDescent="0.2">
      <c r="A89" s="1"/>
      <c r="C89" s="23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</row>
    <row r="90" spans="1:63" s="16" customFormat="1" x14ac:dyDescent="0.2">
      <c r="A90" s="1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</row>
    <row r="91" spans="1:63" s="16" customFormat="1" x14ac:dyDescent="0.2">
      <c r="A91" s="1"/>
      <c r="Z91" s="23"/>
      <c r="AA91" s="22"/>
    </row>
    <row r="92" spans="1:63" s="16" customFormat="1" x14ac:dyDescent="0.2">
      <c r="A92" s="1"/>
      <c r="B92" s="35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</row>
    <row r="93" spans="1:63" s="16" customFormat="1" x14ac:dyDescent="0.2">
      <c r="A93" s="1"/>
      <c r="C93" s="55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</row>
    <row r="94" spans="1:63" s="16" customFormat="1" x14ac:dyDescent="0.2">
      <c r="A94" s="1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</row>
    <row r="95" spans="1:63" s="16" customFormat="1" x14ac:dyDescent="0.2">
      <c r="A95" s="1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</row>
    <row r="96" spans="1:63" s="16" customFormat="1" x14ac:dyDescent="0.2">
      <c r="A96" s="1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</row>
    <row r="97" spans="1:63" s="16" customFormat="1" x14ac:dyDescent="0.2">
      <c r="A97" s="1"/>
      <c r="C97" s="23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</row>
    <row r="98" spans="1:63" s="16" customFormat="1" x14ac:dyDescent="0.2">
      <c r="A98" s="1"/>
      <c r="C98" s="23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</row>
    <row r="99" spans="1:63" s="16" customFormat="1" x14ac:dyDescent="0.2">
      <c r="A99" s="1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</row>
    <row r="100" spans="1:63" s="16" customFormat="1" x14ac:dyDescent="0.2">
      <c r="A100" s="1"/>
    </row>
    <row r="101" spans="1:63" s="16" customFormat="1" x14ac:dyDescent="0.2">
      <c r="A101" s="1"/>
      <c r="B101" s="35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</row>
    <row r="102" spans="1:63" s="16" customFormat="1" x14ac:dyDescent="0.2">
      <c r="A102" s="1"/>
      <c r="C102" s="55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</row>
    <row r="103" spans="1:63" s="16" customFormat="1" x14ac:dyDescent="0.2">
      <c r="A103" s="1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</row>
    <row r="104" spans="1:63" s="16" customFormat="1" x14ac:dyDescent="0.2">
      <c r="A104" s="1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</row>
    <row r="105" spans="1:63" s="16" customFormat="1" x14ac:dyDescent="0.2">
      <c r="A105" s="1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</row>
    <row r="106" spans="1:63" s="16" customFormat="1" x14ac:dyDescent="0.2">
      <c r="A106" s="1"/>
      <c r="C106" s="98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</row>
    <row r="107" spans="1:63" s="16" customFormat="1" x14ac:dyDescent="0.2">
      <c r="C107" s="9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</row>
    <row r="108" spans="1:63" s="16" customFormat="1" x14ac:dyDescent="0.2"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</row>
    <row r="109" spans="1:63" s="16" customFormat="1" x14ac:dyDescent="0.2"/>
    <row r="110" spans="1:63" s="16" customFormat="1" x14ac:dyDescent="0.2"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</row>
    <row r="111" spans="1:63" s="16" customFormat="1" x14ac:dyDescent="0.2">
      <c r="C111" s="37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</row>
    <row r="112" spans="1:63" s="16" customFormat="1" x14ac:dyDescent="0.2">
      <c r="C112" s="37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</row>
    <row r="113" spans="1:63" s="16" customFormat="1" x14ac:dyDescent="0.2"/>
    <row r="114" spans="1:63" s="16" customFormat="1" x14ac:dyDescent="0.2"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</row>
    <row r="115" spans="1:63" s="16" customFormat="1" x14ac:dyDescent="0.2"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</row>
    <row r="116" spans="1:63" s="16" customFormat="1" x14ac:dyDescent="0.2"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</row>
    <row r="117" spans="1:63" s="16" customFormat="1" x14ac:dyDescent="0.2"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</row>
    <row r="118" spans="1:63" s="16" customFormat="1" x14ac:dyDescent="0.2"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</row>
    <row r="119" spans="1:63" s="16" customFormat="1" x14ac:dyDescent="0.2"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</row>
    <row r="120" spans="1:63" s="16" customFormat="1" x14ac:dyDescent="0.2"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</row>
    <row r="121" spans="1:63" s="16" customFormat="1" x14ac:dyDescent="0.2"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</row>
    <row r="122" spans="1:63" s="16" customFormat="1" x14ac:dyDescent="0.2"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</row>
    <row r="123" spans="1:63" s="16" customFormat="1" x14ac:dyDescent="0.2">
      <c r="B123" s="35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4"/>
      <c r="AA123" s="22"/>
    </row>
    <row r="124" spans="1:63" s="16" customFormat="1" x14ac:dyDescent="0.2">
      <c r="C124" s="55"/>
      <c r="P124" s="22"/>
      <c r="R124" s="55"/>
      <c r="S124" s="21"/>
      <c r="U124" s="37"/>
      <c r="Z124" s="23"/>
      <c r="AA124" s="22"/>
    </row>
    <row r="125" spans="1:63" s="16" customFormat="1" x14ac:dyDescent="0.2">
      <c r="C125" s="55"/>
      <c r="P125" s="22"/>
      <c r="R125" s="55"/>
      <c r="S125" s="22"/>
      <c r="U125" s="37"/>
      <c r="Z125" s="23"/>
      <c r="AA125" s="22"/>
    </row>
    <row r="126" spans="1:63" s="16" customFormat="1" x14ac:dyDescent="0.2">
      <c r="C126" s="15"/>
      <c r="R126" s="15"/>
      <c r="S126" s="37"/>
      <c r="U126" s="37"/>
      <c r="Z126" s="23"/>
      <c r="AA126" s="22"/>
    </row>
    <row r="127" spans="1:63" x14ac:dyDescent="0.2">
      <c r="A127" s="16"/>
      <c r="B127" s="16"/>
      <c r="C127" s="5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22"/>
      <c r="Q127" s="77"/>
      <c r="R127" s="56"/>
      <c r="S127" s="22"/>
      <c r="T127" s="16"/>
      <c r="U127" s="52"/>
      <c r="V127" s="76"/>
      <c r="Z127" s="23"/>
      <c r="AA127" s="22"/>
    </row>
    <row r="128" spans="1:63" x14ac:dyDescent="0.2">
      <c r="A128" s="16"/>
      <c r="B128" s="16"/>
      <c r="C128" s="23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22"/>
      <c r="R128" s="23"/>
      <c r="S128" s="22"/>
      <c r="T128" s="16"/>
      <c r="U128" s="52"/>
      <c r="V128" s="23"/>
      <c r="Y128" s="22"/>
      <c r="Z128" s="23"/>
      <c r="AA128" s="22"/>
    </row>
    <row r="129" spans="1:27" x14ac:dyDescent="0.2">
      <c r="A129" s="16"/>
      <c r="B129" s="16"/>
      <c r="C129" s="23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22"/>
      <c r="R129" s="23"/>
      <c r="S129" s="22"/>
      <c r="T129" s="16"/>
      <c r="U129" s="52"/>
      <c r="V129" s="23"/>
      <c r="Y129" s="22"/>
      <c r="Z129" s="23"/>
      <c r="AA129" s="22"/>
    </row>
    <row r="130" spans="1:27" x14ac:dyDescent="0.2">
      <c r="A130" s="16"/>
      <c r="B130" s="16"/>
      <c r="C130" s="23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22"/>
      <c r="R130" s="23"/>
      <c r="S130" s="22"/>
      <c r="T130" s="16"/>
      <c r="U130" s="52"/>
      <c r="V130" s="23"/>
      <c r="Y130" s="22"/>
      <c r="Z130" s="23"/>
      <c r="AA130" s="22"/>
    </row>
    <row r="131" spans="1:27" x14ac:dyDescent="0.2">
      <c r="A131" s="16"/>
      <c r="B131" s="16"/>
      <c r="C131" s="23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22"/>
      <c r="Q131" s="22"/>
      <c r="R131" s="23"/>
      <c r="S131" s="22"/>
      <c r="T131" s="16"/>
      <c r="U131" s="37"/>
      <c r="V131" s="22"/>
      <c r="W131" s="37"/>
      <c r="Y131" s="22"/>
      <c r="Z131" s="23"/>
      <c r="AA131" s="22"/>
    </row>
    <row r="132" spans="1:27" x14ac:dyDescent="0.2">
      <c r="A132" s="16"/>
      <c r="B132" s="16"/>
      <c r="C132" s="23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22"/>
      <c r="Q132" s="22"/>
      <c r="R132" s="23"/>
      <c r="S132" s="22"/>
      <c r="T132" s="16"/>
      <c r="U132" s="37"/>
      <c r="V132" s="22"/>
      <c r="W132" s="37"/>
      <c r="Y132" s="22"/>
      <c r="Z132" s="23"/>
      <c r="AA132" s="22"/>
    </row>
    <row r="133" spans="1:27" x14ac:dyDescent="0.2">
      <c r="A133" s="16"/>
      <c r="B133" s="16"/>
      <c r="C133" s="23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22"/>
      <c r="Q133" s="22"/>
      <c r="R133" s="23"/>
      <c r="S133" s="22"/>
      <c r="T133" s="16"/>
      <c r="U133" s="37"/>
      <c r="V133" s="23"/>
      <c r="W133" s="51"/>
      <c r="Y133" s="22"/>
      <c r="Z133" s="23"/>
      <c r="AA133" s="22"/>
    </row>
    <row r="134" spans="1:27" x14ac:dyDescent="0.2">
      <c r="A134" s="16"/>
      <c r="B134" s="16"/>
      <c r="C134" s="23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22"/>
      <c r="Q134" s="22"/>
      <c r="R134" s="23"/>
      <c r="S134" s="22"/>
      <c r="T134" s="16"/>
      <c r="U134" s="37"/>
      <c r="V134" s="23"/>
      <c r="Y134" s="22"/>
      <c r="Z134" s="23"/>
      <c r="AA134" s="22"/>
    </row>
    <row r="135" spans="1:27" x14ac:dyDescent="0.2">
      <c r="A135" s="16"/>
      <c r="B135" s="16"/>
      <c r="C135" s="23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22"/>
      <c r="Q135" s="22"/>
      <c r="R135" s="23"/>
      <c r="S135" s="22"/>
      <c r="T135" s="16"/>
      <c r="U135" s="37"/>
      <c r="V135" s="23"/>
      <c r="Y135" s="22"/>
      <c r="Z135" s="23"/>
      <c r="AA135" s="22"/>
    </row>
    <row r="136" spans="1:27" x14ac:dyDescent="0.2">
      <c r="A136" s="16"/>
      <c r="B136" s="16"/>
      <c r="C136" s="23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22"/>
      <c r="Q136" s="22"/>
      <c r="R136" s="23"/>
      <c r="S136" s="22"/>
      <c r="T136" s="16"/>
      <c r="U136" s="37"/>
      <c r="V136" s="23"/>
      <c r="Y136" s="22"/>
      <c r="Z136" s="23"/>
      <c r="AA136" s="22"/>
    </row>
    <row r="137" spans="1:27" x14ac:dyDescent="0.2">
      <c r="A137" s="16"/>
      <c r="B137" s="16"/>
      <c r="C137" s="23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22"/>
      <c r="R137" s="23"/>
      <c r="S137" s="22"/>
      <c r="T137" s="16"/>
      <c r="U137" s="52"/>
      <c r="V137" s="23"/>
      <c r="Y137" s="22"/>
      <c r="Z137" s="23"/>
      <c r="AA137" s="22"/>
    </row>
    <row r="138" spans="1:27" x14ac:dyDescent="0.2">
      <c r="A138" s="16"/>
      <c r="B138" s="16"/>
      <c r="C138" s="23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22"/>
      <c r="R138" s="23"/>
      <c r="S138" s="22"/>
      <c r="T138" s="16"/>
      <c r="U138" s="52"/>
      <c r="V138" s="23"/>
      <c r="Y138" s="22"/>
      <c r="Z138" s="23"/>
      <c r="AA138" s="22"/>
    </row>
    <row r="139" spans="1:27" x14ac:dyDescent="0.2">
      <c r="A139" s="16"/>
      <c r="B139" s="16"/>
      <c r="C139" s="23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22"/>
      <c r="R139" s="23"/>
      <c r="S139" s="22"/>
      <c r="T139" s="16"/>
      <c r="U139" s="52"/>
      <c r="Z139" s="23"/>
      <c r="AA139" s="22"/>
    </row>
    <row r="140" spans="1:27" x14ac:dyDescent="0.2">
      <c r="A140" s="16"/>
      <c r="B140" s="16"/>
      <c r="C140" s="23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22"/>
      <c r="R140" s="23"/>
      <c r="S140" s="22"/>
      <c r="T140" s="16"/>
      <c r="U140" s="52"/>
      <c r="Z140" s="23"/>
      <c r="AA140" s="22"/>
    </row>
    <row r="141" spans="1:27" x14ac:dyDescent="0.2">
      <c r="A141" s="16"/>
      <c r="B141" s="16"/>
      <c r="C141" s="78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76"/>
      <c r="R141" s="78"/>
      <c r="S141" s="22"/>
      <c r="T141" s="16"/>
      <c r="U141" s="52"/>
      <c r="Z141" s="23"/>
      <c r="AA141" s="22"/>
    </row>
    <row r="142" spans="1:27" x14ac:dyDescent="0.2">
      <c r="A142" s="16"/>
      <c r="B142" s="16"/>
      <c r="C142" s="23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44"/>
      <c r="R142" s="23"/>
      <c r="S142" s="22"/>
      <c r="T142" s="16"/>
      <c r="U142" s="37"/>
      <c r="V142" s="22"/>
      <c r="X142" s="51"/>
      <c r="Y142" s="22"/>
      <c r="Z142" s="23"/>
      <c r="AA142" s="22"/>
    </row>
    <row r="143" spans="1:27" x14ac:dyDescent="0.2">
      <c r="A143" s="16"/>
      <c r="B143" s="16"/>
      <c r="C143" s="78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44"/>
      <c r="R143" s="78"/>
      <c r="S143" s="22"/>
      <c r="T143" s="16"/>
      <c r="U143" s="37"/>
      <c r="V143" s="48"/>
      <c r="X143" s="51"/>
      <c r="Y143" s="22"/>
      <c r="Z143" s="23"/>
      <c r="AA143" s="22"/>
    </row>
    <row r="144" spans="1:27" x14ac:dyDescent="0.2">
      <c r="A144" s="16"/>
      <c r="B144" s="16"/>
      <c r="C144" s="23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22"/>
      <c r="Q144" s="22"/>
      <c r="R144" s="23"/>
      <c r="S144" s="22"/>
      <c r="T144" s="16"/>
      <c r="U144" s="37"/>
      <c r="V144" s="23"/>
      <c r="Y144" s="22"/>
      <c r="Z144" s="23"/>
      <c r="AA144" s="22"/>
    </row>
    <row r="145" spans="1:27" x14ac:dyDescent="0.2">
      <c r="A145" s="16"/>
      <c r="B145" s="16"/>
      <c r="C145" s="78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22"/>
      <c r="Q145" s="22"/>
      <c r="R145" s="78"/>
      <c r="S145" s="22"/>
      <c r="T145" s="16"/>
      <c r="U145" s="37"/>
      <c r="V145" s="23"/>
      <c r="Y145" s="22"/>
      <c r="Z145" s="23"/>
      <c r="AA145" s="22"/>
    </row>
    <row r="146" spans="1:27" x14ac:dyDescent="0.2">
      <c r="A146" s="16"/>
      <c r="B146" s="16"/>
      <c r="C146" s="23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22"/>
      <c r="R146" s="23"/>
      <c r="S146" s="22"/>
      <c r="T146" s="16"/>
      <c r="U146" s="37"/>
      <c r="V146" s="23"/>
      <c r="Y146" s="22"/>
      <c r="Z146" s="23"/>
      <c r="AA146" s="22"/>
    </row>
    <row r="147" spans="1:27" x14ac:dyDescent="0.2">
      <c r="A147" s="16"/>
      <c r="B147" s="16"/>
      <c r="C147" s="78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22"/>
      <c r="R147" s="78"/>
      <c r="S147" s="22"/>
      <c r="T147" s="16"/>
      <c r="U147" s="37"/>
      <c r="V147" s="22"/>
      <c r="Y147" s="22"/>
      <c r="Z147" s="23"/>
      <c r="AA147" s="22"/>
    </row>
    <row r="148" spans="1:27" x14ac:dyDescent="0.2">
      <c r="A148" s="16"/>
      <c r="B148" s="16"/>
      <c r="C148" s="23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23"/>
      <c r="S148" s="22"/>
      <c r="T148" s="16"/>
      <c r="U148" s="37"/>
      <c r="V148" s="23"/>
      <c r="Y148" s="22"/>
      <c r="Z148" s="23"/>
      <c r="AA148" s="22"/>
    </row>
    <row r="149" spans="1:27" x14ac:dyDescent="0.2">
      <c r="A149" s="16"/>
      <c r="B149" s="16"/>
      <c r="C149" s="23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76"/>
      <c r="Q149" s="16"/>
      <c r="R149" s="23"/>
      <c r="S149" s="22"/>
      <c r="T149" s="63"/>
      <c r="U149" s="37"/>
      <c r="V149" s="23"/>
      <c r="Y149" s="22"/>
      <c r="Z149" s="23"/>
      <c r="AA149" s="22"/>
    </row>
    <row r="150" spans="1:27" x14ac:dyDescent="0.2">
      <c r="A150" s="16"/>
      <c r="B150" s="16"/>
      <c r="C150" s="23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76"/>
      <c r="R150" s="23"/>
      <c r="S150" s="22"/>
      <c r="T150" s="16"/>
      <c r="U150" s="52"/>
      <c r="V150" s="23"/>
      <c r="Y150" s="22"/>
      <c r="Z150" s="23"/>
      <c r="AA150" s="22"/>
    </row>
    <row r="151" spans="1:27" x14ac:dyDescent="0.2">
      <c r="A151" s="16"/>
      <c r="B151" s="16"/>
      <c r="C151" s="79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22"/>
      <c r="Q151" s="44"/>
      <c r="R151" s="79"/>
      <c r="S151" s="22"/>
      <c r="T151" s="16"/>
      <c r="U151" s="37"/>
      <c r="V151" s="23"/>
      <c r="Y151" s="22"/>
      <c r="Z151" s="23"/>
      <c r="AA151" s="22"/>
    </row>
    <row r="152" spans="1:27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37"/>
      <c r="Q152" s="37"/>
      <c r="R152" s="16"/>
      <c r="S152" s="38"/>
      <c r="T152" s="16"/>
      <c r="U152" s="37"/>
      <c r="V152" s="48"/>
      <c r="Y152" s="22"/>
      <c r="Z152" s="23"/>
      <c r="AA152" s="22"/>
    </row>
    <row r="153" spans="1:27" x14ac:dyDescent="0.2">
      <c r="A153" s="16"/>
      <c r="B153" s="16"/>
      <c r="C153" s="23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22"/>
      <c r="Q153" s="22"/>
      <c r="R153" s="23"/>
      <c r="S153" s="22"/>
      <c r="T153" s="16"/>
      <c r="U153" s="44"/>
      <c r="V153" s="23"/>
      <c r="Y153" s="22"/>
      <c r="Z153" s="23"/>
      <c r="AA153" s="22"/>
    </row>
    <row r="154" spans="1:27" x14ac:dyDescent="0.2">
      <c r="A154" s="16"/>
      <c r="B154" s="16"/>
      <c r="C154" s="23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22"/>
      <c r="Q154" s="22"/>
      <c r="R154" s="23"/>
      <c r="S154" s="22"/>
      <c r="T154" s="16"/>
      <c r="U154" s="22"/>
      <c r="V154" s="23"/>
      <c r="Y154" s="22"/>
      <c r="Z154" s="23"/>
      <c r="AA154" s="22"/>
    </row>
    <row r="155" spans="1:27" x14ac:dyDescent="0.2">
      <c r="A155" s="16"/>
      <c r="B155" s="41"/>
      <c r="C155" s="23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22"/>
      <c r="Q155" s="22"/>
      <c r="R155" s="23"/>
      <c r="S155" s="22"/>
      <c r="T155" s="16"/>
      <c r="V155" s="23"/>
      <c r="Y155" s="22"/>
      <c r="Z155" s="23"/>
      <c r="AA155" s="22"/>
    </row>
    <row r="156" spans="1:27" x14ac:dyDescent="0.2">
      <c r="A156" s="16"/>
      <c r="B156" s="41"/>
      <c r="C156" s="55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22"/>
      <c r="Q156" s="22"/>
      <c r="R156" s="55"/>
      <c r="S156" s="22"/>
      <c r="T156" s="63"/>
      <c r="V156" s="48"/>
      <c r="Y156" s="22"/>
      <c r="Z156" s="23"/>
      <c r="AA156" s="22"/>
    </row>
    <row r="157" spans="1:27" x14ac:dyDescent="0.2">
      <c r="A157" s="16"/>
      <c r="B157" s="41"/>
      <c r="C157" s="48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22"/>
      <c r="Q157" s="22"/>
      <c r="R157" s="48"/>
      <c r="S157" s="16"/>
      <c r="T157" s="63"/>
      <c r="U157" s="37"/>
      <c r="V157" s="48"/>
      <c r="Y157" s="22"/>
      <c r="Z157" s="23"/>
      <c r="AA157" s="22"/>
    </row>
    <row r="158" spans="1:27" x14ac:dyDescent="0.2">
      <c r="A158" s="16"/>
      <c r="B158" s="41"/>
      <c r="C158" s="79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22"/>
      <c r="Q158" s="22"/>
      <c r="R158" s="79"/>
      <c r="S158" s="37"/>
      <c r="T158" s="63"/>
      <c r="U158" s="37"/>
      <c r="V158" s="63"/>
      <c r="Y158" s="22"/>
      <c r="Z158" s="23"/>
      <c r="AA158" s="22"/>
    </row>
    <row r="159" spans="1:27" x14ac:dyDescent="0.2">
      <c r="A159" s="16"/>
      <c r="B159" s="41"/>
      <c r="C159" s="23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22"/>
      <c r="Q159" s="22"/>
      <c r="R159" s="23"/>
      <c r="S159" s="22"/>
      <c r="T159" s="63"/>
      <c r="U159" s="37"/>
      <c r="V159" s="23"/>
      <c r="Y159" s="22"/>
      <c r="Z159" s="23"/>
      <c r="AA159" s="22"/>
    </row>
    <row r="160" spans="1:27" x14ac:dyDescent="0.2">
      <c r="A160" s="16"/>
      <c r="B160" s="41"/>
      <c r="C160" s="23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22"/>
      <c r="Q160" s="22"/>
      <c r="R160" s="23"/>
      <c r="S160" s="22"/>
      <c r="T160" s="16"/>
      <c r="U160" s="37"/>
      <c r="V160" s="23"/>
      <c r="Y160" s="22"/>
      <c r="Z160" s="23"/>
      <c r="AA160" s="22"/>
    </row>
    <row r="161" spans="1:27" x14ac:dyDescent="0.2">
      <c r="A161" s="16"/>
      <c r="B161" s="41"/>
      <c r="C161" s="23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22"/>
      <c r="Q161" s="22"/>
      <c r="R161" s="23"/>
      <c r="S161" s="22"/>
      <c r="T161" s="16"/>
      <c r="U161" s="37"/>
      <c r="V161" s="23"/>
      <c r="Y161" s="22"/>
      <c r="Z161" s="23"/>
      <c r="AA161" s="22"/>
    </row>
    <row r="162" spans="1:27" x14ac:dyDescent="0.2">
      <c r="A162" s="16"/>
      <c r="B162" s="41"/>
      <c r="C162" s="23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22"/>
      <c r="Q162" s="22"/>
      <c r="R162" s="23"/>
      <c r="S162" s="22"/>
      <c r="T162" s="16"/>
      <c r="U162" s="37"/>
      <c r="V162" s="23"/>
      <c r="Y162" s="22"/>
      <c r="Z162" s="23"/>
      <c r="AA162" s="22"/>
    </row>
    <row r="163" spans="1:27" x14ac:dyDescent="0.2">
      <c r="A163" s="16"/>
      <c r="B163" s="41"/>
      <c r="C163" s="23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22"/>
      <c r="Q163" s="22"/>
      <c r="R163" s="23"/>
      <c r="S163" s="22"/>
      <c r="T163" s="16"/>
      <c r="U163" s="37"/>
      <c r="V163" s="23"/>
      <c r="Y163" s="22"/>
      <c r="Z163" s="23"/>
      <c r="AA163" s="22"/>
    </row>
    <row r="164" spans="1:27" x14ac:dyDescent="0.2">
      <c r="A164" s="16"/>
      <c r="B164" s="41"/>
      <c r="C164" s="23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22"/>
      <c r="Q164" s="22"/>
      <c r="R164" s="23"/>
      <c r="S164" s="22"/>
      <c r="T164" s="16"/>
      <c r="U164" s="37"/>
      <c r="V164" s="23"/>
      <c r="Y164" s="22"/>
      <c r="Z164" s="23"/>
      <c r="AA164" s="22"/>
    </row>
    <row r="165" spans="1:27" x14ac:dyDescent="0.2">
      <c r="A165" s="16"/>
      <c r="B165" s="16"/>
      <c r="C165" s="23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22"/>
      <c r="Q165" s="22"/>
      <c r="R165" s="23"/>
      <c r="S165" s="22"/>
      <c r="T165" s="16"/>
      <c r="U165" s="37"/>
      <c r="V165" s="23"/>
      <c r="Y165" s="22"/>
      <c r="Z165" s="23"/>
      <c r="AA165" s="22"/>
    </row>
    <row r="166" spans="1:27" x14ac:dyDescent="0.2">
      <c r="A166" s="16"/>
      <c r="B166" s="16"/>
      <c r="C166" s="23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22"/>
      <c r="Q166" s="22"/>
      <c r="R166" s="23"/>
      <c r="S166" s="22"/>
      <c r="T166" s="16"/>
      <c r="U166" s="37"/>
      <c r="V166" s="23"/>
      <c r="Y166" s="22"/>
      <c r="Z166" s="23"/>
      <c r="AA166" s="22"/>
    </row>
    <row r="167" spans="1:27" x14ac:dyDescent="0.2">
      <c r="A167" s="16"/>
      <c r="B167" s="16"/>
      <c r="C167" s="23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22"/>
      <c r="Q167" s="22"/>
      <c r="R167" s="23"/>
      <c r="S167" s="22"/>
      <c r="T167" s="16"/>
      <c r="U167" s="37"/>
      <c r="V167" s="23"/>
      <c r="Y167" s="22"/>
      <c r="Z167" s="23"/>
      <c r="AA167" s="22"/>
    </row>
    <row r="168" spans="1:27" x14ac:dyDescent="0.2">
      <c r="A168" s="16"/>
      <c r="B168" s="16"/>
      <c r="C168" s="23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22"/>
      <c r="Q168" s="22"/>
      <c r="R168" s="23"/>
      <c r="S168" s="22"/>
      <c r="T168" s="16"/>
      <c r="U168" s="37"/>
      <c r="V168" s="23"/>
      <c r="Y168" s="22"/>
      <c r="Z168" s="23"/>
      <c r="AA168" s="22"/>
    </row>
    <row r="169" spans="1:27" x14ac:dyDescent="0.2">
      <c r="A169" s="16"/>
      <c r="B169" s="16"/>
      <c r="C169" s="23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22"/>
      <c r="Q169" s="22"/>
      <c r="R169" s="23"/>
      <c r="S169" s="22"/>
      <c r="T169" s="16"/>
      <c r="U169" s="37"/>
      <c r="V169" s="23"/>
      <c r="Y169" s="22"/>
      <c r="Z169" s="23"/>
      <c r="AA169" s="22"/>
    </row>
    <row r="170" spans="1:27" x14ac:dyDescent="0.2">
      <c r="A170" s="16"/>
      <c r="B170" s="16"/>
      <c r="C170" s="23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22"/>
      <c r="Q170" s="22"/>
      <c r="R170" s="23"/>
      <c r="S170" s="22"/>
      <c r="T170" s="16"/>
      <c r="U170" s="37"/>
      <c r="V170" s="23"/>
      <c r="Y170" s="22"/>
      <c r="Z170" s="23"/>
      <c r="AA170" s="22"/>
    </row>
    <row r="171" spans="1:27" x14ac:dyDescent="0.2">
      <c r="A171" s="16"/>
      <c r="B171" s="16"/>
      <c r="C171" s="23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22"/>
      <c r="Q171" s="22"/>
      <c r="R171" s="23"/>
      <c r="S171" s="22"/>
      <c r="T171" s="16"/>
      <c r="U171" s="37"/>
      <c r="V171" s="23"/>
      <c r="Y171" s="22"/>
      <c r="Z171" s="23"/>
      <c r="AA171" s="22"/>
    </row>
    <row r="172" spans="1:27" x14ac:dyDescent="0.2">
      <c r="A172" s="16"/>
      <c r="B172" s="16"/>
      <c r="C172" s="23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22"/>
      <c r="Q172" s="22"/>
      <c r="R172" s="23"/>
      <c r="S172" s="22"/>
      <c r="T172" s="16"/>
      <c r="U172" s="37"/>
      <c r="V172" s="23"/>
      <c r="Y172" s="22"/>
      <c r="Z172" s="23"/>
      <c r="AA172" s="22"/>
    </row>
    <row r="173" spans="1:27" x14ac:dyDescent="0.2">
      <c r="A173" s="16"/>
      <c r="B173" s="16"/>
      <c r="C173" s="78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22"/>
      <c r="Q173" s="22"/>
      <c r="R173" s="78"/>
      <c r="S173" s="22"/>
      <c r="T173" s="16"/>
      <c r="U173" s="37"/>
      <c r="V173" s="23"/>
      <c r="Y173" s="22"/>
      <c r="Z173" s="23"/>
      <c r="AA173" s="22"/>
    </row>
    <row r="174" spans="1:27" x14ac:dyDescent="0.2">
      <c r="A174" s="16"/>
      <c r="B174" s="16"/>
      <c r="C174" s="2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22"/>
      <c r="Q174" s="22"/>
      <c r="R174" s="23"/>
      <c r="S174" s="22"/>
      <c r="T174" s="16"/>
      <c r="U174" s="37"/>
      <c r="V174" s="22"/>
      <c r="W174" s="37"/>
      <c r="Y174" s="22"/>
      <c r="Z174" s="23"/>
      <c r="AA174" s="22"/>
    </row>
    <row r="175" spans="1:27" x14ac:dyDescent="0.2">
      <c r="A175" s="16"/>
      <c r="B175" s="16"/>
      <c r="C175" s="78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22"/>
      <c r="Q175" s="22"/>
      <c r="R175" s="78"/>
      <c r="S175" s="22"/>
      <c r="T175" s="16"/>
      <c r="U175" s="37"/>
      <c r="V175" s="22"/>
      <c r="W175" s="37"/>
      <c r="Y175" s="22"/>
      <c r="Z175" s="23"/>
      <c r="AA175" s="22"/>
    </row>
    <row r="176" spans="1:27" x14ac:dyDescent="0.2">
      <c r="A176" s="16"/>
      <c r="B176" s="16"/>
      <c r="C176" s="23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22"/>
      <c r="Q176" s="22"/>
      <c r="R176" s="23"/>
      <c r="S176" s="22"/>
      <c r="T176" s="16"/>
      <c r="U176" s="37"/>
      <c r="V176" s="23"/>
      <c r="Y176" s="22"/>
      <c r="Z176" s="23"/>
      <c r="AA176" s="22"/>
    </row>
    <row r="177" spans="1:27" x14ac:dyDescent="0.2">
      <c r="A177" s="16"/>
      <c r="B177" s="16"/>
      <c r="C177" s="78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22"/>
      <c r="Q177" s="22"/>
      <c r="R177" s="78"/>
      <c r="S177" s="22"/>
      <c r="T177" s="16"/>
      <c r="U177" s="37"/>
      <c r="V177" s="23"/>
      <c r="Y177" s="22"/>
      <c r="Z177" s="23"/>
      <c r="AA177" s="22"/>
    </row>
    <row r="178" spans="1:27" x14ac:dyDescent="0.2">
      <c r="A178" s="16"/>
      <c r="B178" s="16"/>
      <c r="C178" s="23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22"/>
      <c r="Q178" s="22"/>
      <c r="R178" s="23"/>
      <c r="S178" s="22"/>
      <c r="T178" s="16"/>
      <c r="U178" s="37"/>
      <c r="V178" s="23"/>
      <c r="Y178" s="22"/>
      <c r="Z178" s="23"/>
      <c r="AA178" s="22"/>
    </row>
    <row r="179" spans="1:27" x14ac:dyDescent="0.2">
      <c r="A179" s="16"/>
      <c r="B179" s="16"/>
      <c r="C179" s="78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22"/>
      <c r="Q179" s="22"/>
      <c r="R179" s="78"/>
      <c r="S179" s="22"/>
      <c r="T179" s="16"/>
      <c r="U179" s="37"/>
      <c r="V179" s="23"/>
      <c r="Y179" s="22"/>
      <c r="Z179" s="23"/>
      <c r="AA179" s="22"/>
    </row>
    <row r="180" spans="1:27" x14ac:dyDescent="0.2">
      <c r="A180" s="16"/>
      <c r="B180" s="16"/>
      <c r="C180" s="23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22"/>
      <c r="Q180" s="22"/>
      <c r="R180" s="23"/>
      <c r="S180" s="22"/>
      <c r="T180" s="16"/>
      <c r="U180" s="37"/>
      <c r="V180" s="23"/>
      <c r="Y180" s="22"/>
      <c r="Z180" s="23"/>
      <c r="AA180" s="22"/>
    </row>
    <row r="181" spans="1:27" x14ac:dyDescent="0.2">
      <c r="A181" s="16"/>
      <c r="B181" s="16"/>
      <c r="C181" s="23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22"/>
      <c r="Q181" s="22"/>
      <c r="R181" s="23"/>
      <c r="S181" s="22"/>
      <c r="T181" s="16"/>
      <c r="U181" s="37"/>
      <c r="V181" s="23"/>
      <c r="Y181" s="22"/>
      <c r="Z181" s="23"/>
      <c r="AA181" s="22"/>
    </row>
    <row r="182" spans="1:27" x14ac:dyDescent="0.2">
      <c r="A182" s="16"/>
      <c r="B182" s="16"/>
      <c r="C182" s="23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22"/>
      <c r="Q182" s="22"/>
      <c r="R182" s="23"/>
      <c r="S182" s="22"/>
      <c r="T182" s="16"/>
      <c r="U182" s="37"/>
      <c r="V182" s="23"/>
      <c r="Y182" s="22"/>
      <c r="Z182" s="23"/>
      <c r="AA182" s="22"/>
    </row>
    <row r="183" spans="1:27" x14ac:dyDescent="0.2">
      <c r="A183" s="16"/>
      <c r="B183" s="16"/>
      <c r="C183" s="79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22"/>
      <c r="Q183" s="22"/>
      <c r="R183" s="79"/>
      <c r="S183" s="22"/>
      <c r="T183" s="16"/>
      <c r="U183" s="37"/>
      <c r="V183" s="23"/>
      <c r="Y183" s="22"/>
      <c r="Z183" s="23"/>
      <c r="AA183" s="22"/>
    </row>
    <row r="184" spans="1:27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37"/>
      <c r="Q184" s="37"/>
      <c r="R184" s="16"/>
      <c r="S184" s="38"/>
      <c r="T184" s="16"/>
      <c r="U184" s="37"/>
      <c r="V184" s="23"/>
      <c r="Y184" s="22"/>
      <c r="Z184" s="23"/>
      <c r="AA184" s="22"/>
    </row>
    <row r="185" spans="1:27" x14ac:dyDescent="0.2">
      <c r="A185" s="16"/>
      <c r="B185" s="16"/>
      <c r="C185" s="55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22"/>
      <c r="Q185" s="22"/>
      <c r="R185" s="55"/>
      <c r="S185" s="22"/>
      <c r="T185" s="16"/>
      <c r="V185" s="23"/>
      <c r="Y185" s="22"/>
      <c r="Z185" s="24"/>
      <c r="AA185" s="21"/>
    </row>
    <row r="186" spans="1:27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37"/>
      <c r="R186" s="16"/>
      <c r="S186" s="16"/>
      <c r="T186" s="16"/>
      <c r="V186" s="23"/>
      <c r="Y186" s="22"/>
      <c r="Z186" s="23"/>
      <c r="AA186" s="22"/>
    </row>
    <row r="187" spans="1:27" x14ac:dyDescent="0.2">
      <c r="A187" s="16"/>
      <c r="B187" s="16"/>
      <c r="C187" s="23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22"/>
      <c r="Q187" s="22"/>
      <c r="R187" s="23"/>
      <c r="S187" s="22"/>
      <c r="T187" s="16"/>
      <c r="V187" s="23"/>
      <c r="Y187" s="22"/>
    </row>
    <row r="188" spans="1:27" x14ac:dyDescent="0.2">
      <c r="A188" s="16"/>
      <c r="B188" s="41"/>
      <c r="C188" s="23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22"/>
      <c r="Q188" s="22"/>
      <c r="R188" s="23"/>
      <c r="S188" s="21"/>
      <c r="T188" s="16"/>
      <c r="U188" s="22"/>
      <c r="V188" s="23"/>
      <c r="Y188" s="22"/>
      <c r="AA188" s="15"/>
    </row>
    <row r="189" spans="1:27" x14ac:dyDescent="0.2">
      <c r="A189" s="16"/>
      <c r="B189" s="16"/>
      <c r="C189" s="23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22"/>
      <c r="Q189" s="22"/>
      <c r="R189" s="23"/>
      <c r="S189" s="22"/>
      <c r="T189" s="16"/>
      <c r="V189" s="23"/>
      <c r="Y189" s="22"/>
      <c r="Z189" s="15"/>
      <c r="AA189" s="15"/>
    </row>
    <row r="190" spans="1:27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22"/>
      <c r="Q190" s="23"/>
      <c r="R190" s="16"/>
      <c r="S190" s="22"/>
      <c r="T190" s="16"/>
      <c r="U190" s="63"/>
      <c r="V190" s="23"/>
      <c r="Y190" s="22"/>
    </row>
    <row r="191" spans="1:27" x14ac:dyDescent="0.2">
      <c r="A191" s="16"/>
      <c r="B191" s="16"/>
      <c r="C191" s="23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22"/>
      <c r="Q191" s="22"/>
      <c r="R191" s="23"/>
      <c r="S191" s="22"/>
      <c r="T191" s="16"/>
      <c r="V191" s="23"/>
      <c r="Y191" s="22"/>
    </row>
    <row r="192" spans="1:27" x14ac:dyDescent="0.2">
      <c r="A192" s="16"/>
      <c r="B192" s="16"/>
      <c r="C192" s="48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80"/>
      <c r="Q192" s="22"/>
      <c r="R192" s="48"/>
      <c r="S192" s="22"/>
      <c r="T192" s="16"/>
      <c r="V192" s="23"/>
      <c r="Y192" s="22"/>
    </row>
    <row r="193" spans="1:28" x14ac:dyDescent="0.2">
      <c r="A193" s="16"/>
      <c r="B193" s="41"/>
      <c r="C193" s="16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22"/>
      <c r="Q193" s="16"/>
      <c r="R193" s="16"/>
      <c r="S193" s="22"/>
      <c r="T193" s="16"/>
      <c r="V193" s="23"/>
      <c r="Y193" s="22"/>
    </row>
    <row r="194" spans="1:28" x14ac:dyDescent="0.2">
      <c r="A194" s="16"/>
      <c r="B194" s="41"/>
      <c r="C194" s="16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22"/>
      <c r="Q194" s="22"/>
      <c r="R194" s="16"/>
      <c r="S194" s="22"/>
      <c r="T194" s="16"/>
      <c r="V194" s="23"/>
      <c r="Y194" s="22"/>
    </row>
    <row r="195" spans="1:28" x14ac:dyDescent="0.2">
      <c r="A195" s="16"/>
      <c r="B195" s="16"/>
      <c r="C195" s="23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22"/>
      <c r="Q195" s="22"/>
      <c r="R195" s="23"/>
      <c r="S195" s="22"/>
      <c r="T195" s="16"/>
      <c r="U195" s="22"/>
      <c r="V195" s="23"/>
      <c r="Y195" s="22"/>
    </row>
    <row r="196" spans="1:28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22"/>
      <c r="Q196" s="16"/>
      <c r="R196" s="16"/>
      <c r="S196" s="16"/>
      <c r="T196" s="16"/>
      <c r="U196" s="22"/>
      <c r="V196" s="23"/>
      <c r="Y196" s="22"/>
    </row>
    <row r="197" spans="1:28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22"/>
      <c r="Q197" s="16"/>
      <c r="R197" s="16"/>
      <c r="S197" s="37"/>
      <c r="T197" s="16"/>
      <c r="U197" s="22"/>
      <c r="V197" s="62"/>
      <c r="Y197" s="22"/>
    </row>
    <row r="198" spans="1:28" x14ac:dyDescent="0.2">
      <c r="A198" s="16"/>
      <c r="B198" s="16"/>
      <c r="C198" s="27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22"/>
      <c r="Q198" s="22"/>
      <c r="R198" s="27"/>
      <c r="S198" s="22"/>
      <c r="T198" s="16"/>
      <c r="V198" s="23"/>
      <c r="Y198" s="22"/>
    </row>
    <row r="199" spans="1:28" x14ac:dyDescent="0.2">
      <c r="A199" s="16"/>
      <c r="B199" s="16"/>
      <c r="C199" s="53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37"/>
      <c r="Q199" s="30"/>
      <c r="R199" s="53"/>
      <c r="S199" s="30"/>
      <c r="T199" s="16"/>
      <c r="V199" s="23"/>
      <c r="Y199" s="22"/>
      <c r="AB199" s="37"/>
    </row>
    <row r="200" spans="1:28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37"/>
      <c r="Q200" s="37"/>
      <c r="R200" s="16"/>
      <c r="S200" s="30"/>
      <c r="T200" s="16"/>
      <c r="U200" s="61"/>
      <c r="V200" s="23"/>
      <c r="Y200" s="22"/>
      <c r="AB200" s="37"/>
    </row>
    <row r="201" spans="1:28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22"/>
      <c r="R201" s="16"/>
      <c r="S201" s="30"/>
      <c r="T201" s="16"/>
      <c r="V201" s="23"/>
      <c r="Y201" s="22"/>
      <c r="AB201" s="37"/>
    </row>
    <row r="202" spans="1:28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22"/>
      <c r="Q202" s="22"/>
      <c r="R202" s="16"/>
      <c r="S202" s="30"/>
      <c r="T202" s="16"/>
      <c r="V202" s="23"/>
      <c r="Y202" s="22"/>
    </row>
    <row r="203" spans="1:28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22"/>
      <c r="Q203" s="22"/>
      <c r="R203" s="16"/>
      <c r="S203" s="30"/>
      <c r="T203" s="16"/>
      <c r="U203" s="37"/>
      <c r="V203" s="23"/>
      <c r="Y203" s="22"/>
    </row>
    <row r="204" spans="1:28" x14ac:dyDescent="0.2">
      <c r="A204" s="16"/>
      <c r="B204" s="54"/>
      <c r="C204" s="55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22"/>
      <c r="Q204" s="22"/>
      <c r="R204" s="55"/>
      <c r="S204" s="21"/>
      <c r="T204" s="16"/>
      <c r="V204" s="23"/>
      <c r="Y204" s="22"/>
    </row>
    <row r="205" spans="1:28" x14ac:dyDescent="0.2">
      <c r="A205" s="16"/>
      <c r="B205" s="16"/>
      <c r="C205" s="55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22"/>
      <c r="Q205" s="22"/>
      <c r="R205" s="55"/>
      <c r="S205" s="21"/>
      <c r="T205" s="16"/>
      <c r="U205" s="37"/>
      <c r="V205" s="23"/>
      <c r="Y205" s="22"/>
    </row>
    <row r="206" spans="1:28" x14ac:dyDescent="0.2">
      <c r="A206" s="16"/>
      <c r="B206" s="16"/>
      <c r="C206" s="5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22"/>
      <c r="Q206" s="22"/>
      <c r="R206" s="56"/>
      <c r="S206" s="22"/>
      <c r="T206" s="16"/>
      <c r="V206" s="23"/>
      <c r="Y206" s="22"/>
    </row>
    <row r="207" spans="1:28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22"/>
      <c r="R207" s="16"/>
      <c r="S207" s="22"/>
      <c r="T207" s="16"/>
      <c r="V207" s="23"/>
      <c r="Y207" s="22"/>
    </row>
    <row r="208" spans="1:28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22"/>
      <c r="R208" s="16"/>
      <c r="S208" s="22"/>
      <c r="T208" s="16"/>
      <c r="V208" s="23"/>
      <c r="Y208" s="22"/>
    </row>
    <row r="209" spans="1:25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22"/>
      <c r="R209" s="16"/>
      <c r="S209" s="22"/>
      <c r="T209" s="29"/>
      <c r="V209" s="23"/>
      <c r="Y209" s="22"/>
    </row>
    <row r="210" spans="1:25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22"/>
      <c r="R210" s="16"/>
      <c r="S210" s="22"/>
      <c r="T210" s="29"/>
      <c r="V210" s="23"/>
      <c r="Y210" s="22"/>
    </row>
    <row r="211" spans="1:25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22"/>
      <c r="R211" s="16"/>
      <c r="S211" s="22"/>
      <c r="T211" s="29"/>
      <c r="V211" s="23"/>
      <c r="Y211" s="22"/>
    </row>
    <row r="212" spans="1:25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22"/>
      <c r="R212" s="16"/>
      <c r="S212" s="22"/>
      <c r="T212" s="22"/>
      <c r="V212" s="23"/>
      <c r="Y212" s="22"/>
    </row>
    <row r="213" spans="1:25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22"/>
      <c r="R213" s="16"/>
      <c r="S213" s="22"/>
      <c r="T213" s="16"/>
      <c r="V213" s="23"/>
      <c r="Y213" s="22"/>
    </row>
    <row r="214" spans="1:25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22"/>
      <c r="R214" s="16"/>
      <c r="S214" s="22"/>
      <c r="T214" s="16"/>
      <c r="V214" s="23"/>
      <c r="Y214" s="22"/>
    </row>
    <row r="215" spans="1:25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22"/>
      <c r="R215" s="16"/>
      <c r="S215" s="22"/>
      <c r="T215" s="16"/>
      <c r="V215" s="23"/>
      <c r="Y215" s="22"/>
    </row>
    <row r="216" spans="1:25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22"/>
      <c r="R216" s="16"/>
      <c r="S216" s="22"/>
      <c r="T216" s="16"/>
      <c r="V216" s="23"/>
      <c r="Y216" s="22"/>
    </row>
    <row r="217" spans="1:25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37"/>
      <c r="Q217" s="37"/>
      <c r="R217" s="16"/>
      <c r="S217" s="38"/>
      <c r="T217" s="16"/>
      <c r="V217" s="23"/>
      <c r="Y217" s="22"/>
    </row>
    <row r="218" spans="1:25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</row>
    <row r="219" spans="1:25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</row>
    <row r="220" spans="1:25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</row>
    <row r="221" spans="1:25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</row>
    <row r="222" spans="1:25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</row>
    <row r="223" spans="1:25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</row>
    <row r="224" spans="1:25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</row>
    <row r="225" spans="1:20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</row>
    <row r="226" spans="1:20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</row>
    <row r="227" spans="1:20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</row>
    <row r="228" spans="1:20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</row>
    <row r="229" spans="1:20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</row>
    <row r="230" spans="1:20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</row>
    <row r="231" spans="1:20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</row>
    <row r="232" spans="1:20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</row>
    <row r="233" spans="1:20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</row>
    <row r="234" spans="1:20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</row>
    <row r="235" spans="1:20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</row>
    <row r="236" spans="1:20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</row>
    <row r="237" spans="1:20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</row>
    <row r="238" spans="1:20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</row>
    <row r="239" spans="1:20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</row>
    <row r="240" spans="1:20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</row>
    <row r="241" spans="1:20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</row>
    <row r="242" spans="1:20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</row>
    <row r="243" spans="1:20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</row>
    <row r="244" spans="1:20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</row>
    <row r="245" spans="1:20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</row>
    <row r="246" spans="1:20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</row>
    <row r="247" spans="1:20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</row>
    <row r="248" spans="1:20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</row>
    <row r="249" spans="1:20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</row>
    <row r="250" spans="1:20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</row>
    <row r="251" spans="1:20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</row>
    <row r="252" spans="1:20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</row>
    <row r="253" spans="1:20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</row>
    <row r="254" spans="1:20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</row>
    <row r="255" spans="1:20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</row>
    <row r="256" spans="1:20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</row>
    <row r="257" spans="1:20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</row>
    <row r="258" spans="1:20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</row>
    <row r="259" spans="1:20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</row>
    <row r="260" spans="1:20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</row>
    <row r="262" spans="1:20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</row>
    <row r="263" spans="1:20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</row>
    <row r="264" spans="1:20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</row>
    <row r="265" spans="1:20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</row>
    <row r="266" spans="1:20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</row>
    <row r="267" spans="1:20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</row>
    <row r="268" spans="1:20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</row>
    <row r="269" spans="1:20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</row>
    <row r="270" spans="1:20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</row>
    <row r="271" spans="1:20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</row>
    <row r="272" spans="1:20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</row>
    <row r="273" spans="1:20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</row>
    <row r="274" spans="1:20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</row>
    <row r="275" spans="1:20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</row>
    <row r="276" spans="1:20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</row>
    <row r="277" spans="1:20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</row>
    <row r="278" spans="1:20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</row>
    <row r="279" spans="1:20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</row>
    <row r="280" spans="1:20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</row>
    <row r="281" spans="1:20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</row>
    <row r="282" spans="1:20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</row>
    <row r="283" spans="1:20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</row>
    <row r="284" spans="1:20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</row>
    <row r="285" spans="1:20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</row>
    <row r="286" spans="1:20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</row>
    <row r="287" spans="1:20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</row>
    <row r="288" spans="1:20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</row>
    <row r="289" spans="1:20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</row>
    <row r="290" spans="1:20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</row>
    <row r="291" spans="1:20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</row>
    <row r="292" spans="1:20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</row>
    <row r="293" spans="1:20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</row>
    <row r="294" spans="1:20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</row>
    <row r="295" spans="1:20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</row>
    <row r="296" spans="1:20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</row>
    <row r="297" spans="1:20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</row>
    <row r="298" spans="1:20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</row>
    <row r="299" spans="1:20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</row>
    <row r="300" spans="1:20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</row>
    <row r="301" spans="1:20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</row>
    <row r="302" spans="1:20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</row>
    <row r="303" spans="1:20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</row>
    <row r="304" spans="1:20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</row>
    <row r="305" spans="1:20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</row>
    <row r="306" spans="1:20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</row>
    <row r="307" spans="1:20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</row>
    <row r="308" spans="1:20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</row>
    <row r="309" spans="1:20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</row>
    <row r="310" spans="1:20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</row>
    <row r="311" spans="1:20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</row>
    <row r="312" spans="1:20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</row>
    <row r="313" spans="1:20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</row>
    <row r="314" spans="1:20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</row>
    <row r="315" spans="1:20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</row>
    <row r="316" spans="1:20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</row>
    <row r="317" spans="1:20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</row>
    <row r="318" spans="1:20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</row>
    <row r="319" spans="1:20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</row>
    <row r="320" spans="1:20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</row>
    <row r="321" spans="1:20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</row>
    <row r="322" spans="1:20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</row>
    <row r="323" spans="1:20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</row>
    <row r="324" spans="1:20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</row>
    <row r="325" spans="1:20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</row>
    <row r="326" spans="1:20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</row>
    <row r="327" spans="1:20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</row>
    <row r="328" spans="1:20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</row>
    <row r="329" spans="1:20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</row>
    <row r="330" spans="1:20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</row>
    <row r="331" spans="1:20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</row>
    <row r="332" spans="1:20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</row>
    <row r="333" spans="1:20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</row>
    <row r="334" spans="1:20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</row>
    <row r="335" spans="1:20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</row>
    <row r="336" spans="1:20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</row>
    <row r="337" spans="1:20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</row>
    <row r="338" spans="1:20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</row>
    <row r="339" spans="1:20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</row>
    <row r="340" spans="1:20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</row>
    <row r="341" spans="1:20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</row>
    <row r="342" spans="1:20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</row>
    <row r="343" spans="1:20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</row>
    <row r="344" spans="1:20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</row>
    <row r="345" spans="1:20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</row>
    <row r="346" spans="1:20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</row>
    <row r="347" spans="1:20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</row>
    <row r="348" spans="1:20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</row>
    <row r="349" spans="1:20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</row>
    <row r="350" spans="1:20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</row>
    <row r="351" spans="1:20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</row>
    <row r="352" spans="1:20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</row>
    <row r="353" spans="1:20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</row>
    <row r="354" spans="1:20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5" spans="1:20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</row>
    <row r="356" spans="1:20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</row>
    <row r="357" spans="1:20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</row>
    <row r="358" spans="1:20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</row>
    <row r="359" spans="1:20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</row>
    <row r="360" spans="1:20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</row>
    <row r="362" spans="1:20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</row>
    <row r="363" spans="1:20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</row>
    <row r="364" spans="1:20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5" spans="1:20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</row>
    <row r="366" spans="1:20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</row>
    <row r="367" spans="1:20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</row>
    <row r="368" spans="1:20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</row>
    <row r="369" spans="1:20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</row>
    <row r="370" spans="1:20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</row>
    <row r="371" spans="1:20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</row>
    <row r="372" spans="1:20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</row>
    <row r="373" spans="1:20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</row>
    <row r="374" spans="1:20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</row>
    <row r="375" spans="1:20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</row>
    <row r="376" spans="1:20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</row>
    <row r="377" spans="1:20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</row>
    <row r="378" spans="1:20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</row>
    <row r="379" spans="1:20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</row>
    <row r="380" spans="1:20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</row>
    <row r="381" spans="1:20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</row>
    <row r="382" spans="1:20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</row>
    <row r="383" spans="1:20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</row>
    <row r="384" spans="1:20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</row>
    <row r="385" spans="1:20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</row>
    <row r="386" spans="1:20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</row>
    <row r="387" spans="1:20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</row>
    <row r="388" spans="1:20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</row>
    <row r="389" spans="1:20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</row>
    <row r="390" spans="1:20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</row>
    <row r="391" spans="1:20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</row>
    <row r="392" spans="1:20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</row>
    <row r="393" spans="1:20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</row>
    <row r="394" spans="1:20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</row>
    <row r="395" spans="1:20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</row>
    <row r="396" spans="1:20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</row>
    <row r="397" spans="1:20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</row>
    <row r="398" spans="1:20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</row>
    <row r="399" spans="1:20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</row>
    <row r="400" spans="1:20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</row>
    <row r="401" spans="1:20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</row>
    <row r="402" spans="1:20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</row>
    <row r="403" spans="1:20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</row>
    <row r="404" spans="1:20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</row>
    <row r="405" spans="1:20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</row>
    <row r="406" spans="1:20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</row>
    <row r="407" spans="1:20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</row>
    <row r="408" spans="1:20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</row>
    <row r="409" spans="1:20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</row>
    <row r="410" spans="1:20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0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</row>
    <row r="412" spans="1:20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</row>
    <row r="413" spans="1:20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</row>
    <row r="414" spans="1:20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</row>
    <row r="415" spans="1:20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</row>
    <row r="416" spans="1:20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</row>
    <row r="417" spans="1:20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</row>
    <row r="424" spans="1:20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</row>
    <row r="426" spans="1:20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</row>
    <row r="428" spans="1:20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</row>
    <row r="433" spans="1:20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</row>
    <row r="441" spans="1:20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</row>
    <row r="442" spans="1:20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</row>
    <row r="445" spans="1:20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0" spans="1:20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</row>
    <row r="456" spans="1:20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</row>
    <row r="457" spans="1:20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</row>
    <row r="458" spans="1:20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</row>
    <row r="465" spans="1:20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</row>
    <row r="473" spans="1:20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</row>
    <row r="474" spans="1:20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</row>
    <row r="481" spans="1:20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</row>
    <row r="483" spans="1:20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</row>
    <row r="490" spans="1:20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</row>
    <row r="499" spans="1:20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</row>
    <row r="500" spans="1:20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</row>
    <row r="506" spans="1:20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</row>
    <row r="513" spans="1:20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</row>
    <row r="521" spans="1:20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</row>
    <row r="528" spans="1:20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</row>
    <row r="536" spans="1:20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</row>
    <row r="551" spans="1:20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</row>
    <row r="557" spans="1:20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</row>
    <row r="558" spans="1:20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</row>
    <row r="563" spans="1:20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</row>
    <row r="564" spans="1:20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</row>
    <row r="565" spans="1:20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</row>
    <row r="568" spans="1:20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</row>
    <row r="570" spans="1:20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</row>
    <row r="580" spans="1:20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</row>
    <row r="588" spans="1:20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</row>
    <row r="589" spans="1:20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</row>
    <row r="595" spans="1:20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</row>
    <row r="602" spans="1:20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</row>
    <row r="609" spans="1:20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</row>
    <row r="627" spans="1:20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</row>
    <row r="628" spans="1:20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</row>
    <row r="631" spans="1:20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</row>
    <row r="639" spans="1:20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</row>
    <row r="647" spans="1:20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</row>
    <row r="655" spans="1:20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</row>
    <row r="656" spans="1:20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</row>
    <row r="664" spans="1:20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</row>
    <row r="666" spans="1:20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</row>
    <row r="668" spans="1:20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</row>
    <row r="676" spans="1:20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</row>
    <row r="677" spans="1:20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</row>
    <row r="683" spans="1:20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</row>
    <row r="691" spans="1:20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</row>
    <row r="695" spans="1:20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</row>
    <row r="707" spans="1:20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</row>
    <row r="708" spans="1:20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</row>
    <row r="709" spans="1:20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</row>
    <row r="712" spans="1:20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</row>
    <row r="713" spans="1:20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</row>
    <row r="721" spans="1:20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</row>
    <row r="725" spans="1:20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</row>
    <row r="726" spans="1:20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</row>
    <row r="728" spans="1:20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</row>
    <row r="729" spans="1:20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</row>
    <row r="743" spans="1:20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</row>
    <row r="748" spans="1:20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</row>
    <row r="749" spans="1:20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</row>
    <row r="754" spans="1:20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</row>
    <row r="755" spans="1:20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</row>
    <row r="765" spans="1:20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</row>
    <row r="766" spans="1:20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</row>
    <row r="771" spans="1:20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</row>
    <row r="773" spans="1:20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</row>
    <row r="774" spans="1:20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</row>
    <row r="777" spans="1:20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</row>
    <row r="780" spans="1:20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</row>
    <row r="782" spans="1:20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</row>
    <row r="786" spans="1:20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</row>
    <row r="799" spans="1:20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</row>
    <row r="819" spans="1:20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</row>
    <row r="820" spans="1:20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</row>
    <row r="821" spans="1:20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</row>
    <row r="827" spans="1:20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</row>
    <row r="828" spans="1:20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</row>
    <row r="829" spans="1:20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</row>
    <row r="831" spans="1:20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</row>
    <row r="833" spans="1:20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</row>
    <row r="841" spans="1:20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</row>
    <row r="842" spans="1:20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</row>
    <row r="848" spans="1:20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</row>
    <row r="849" spans="1:20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</row>
    <row r="862" spans="1:20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</row>
    <row r="864" spans="1:20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</row>
    <row r="872" spans="1:20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</row>
    <row r="876" spans="1:20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</row>
    <row r="881" spans="1:20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</row>
    <row r="883" spans="1:20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</row>
    <row r="884" spans="1:20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</row>
    <row r="885" spans="1:20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</row>
    <row r="898" spans="1:20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</row>
    <row r="914" spans="1:20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</row>
    <row r="916" spans="1:20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</row>
    <row r="925" spans="1:20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</row>
    <row r="926" spans="1:20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</row>
    <row r="927" spans="1:20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</row>
    <row r="928" spans="1:20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</row>
    <row r="929" spans="1:20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</row>
    <row r="930" spans="1:20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</row>
    <row r="931" spans="1:20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</row>
    <row r="932" spans="1:20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</row>
    <row r="933" spans="1:20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</row>
    <row r="934" spans="1:20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</row>
    <row r="935" spans="1:20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</row>
    <row r="936" spans="1:20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</row>
    <row r="937" spans="1:20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</row>
    <row r="938" spans="1:20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</row>
    <row r="939" spans="1:20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</row>
    <row r="940" spans="1:20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</row>
    <row r="941" spans="1:20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</row>
    <row r="942" spans="1:20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</row>
    <row r="943" spans="1:20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</row>
    <row r="944" spans="1:20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</row>
    <row r="945" spans="1:20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</row>
    <row r="946" spans="1:20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</row>
    <row r="947" spans="1:20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</row>
    <row r="948" spans="1:20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</row>
    <row r="949" spans="1:20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</row>
    <row r="950" spans="1:20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</row>
    <row r="951" spans="1:20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</row>
    <row r="952" spans="1:20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</row>
    <row r="953" spans="1:20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</row>
    <row r="954" spans="1:20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</row>
    <row r="955" spans="1:20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</row>
    <row r="956" spans="1:20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</row>
    <row r="957" spans="1:20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</row>
    <row r="958" spans="1:20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</row>
    <row r="959" spans="1:20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</row>
    <row r="960" spans="1:20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</row>
    <row r="962" spans="1:20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</row>
    <row r="963" spans="1:20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</row>
    <row r="964" spans="1:20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</row>
    <row r="965" spans="1:20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</row>
    <row r="966" spans="1:20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</row>
    <row r="967" spans="1:20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</row>
    <row r="968" spans="1:20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</row>
    <row r="969" spans="1:20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</row>
    <row r="970" spans="1:20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</row>
    <row r="971" spans="1:20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</row>
    <row r="972" spans="1:20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</row>
    <row r="973" spans="1:20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</row>
    <row r="974" spans="1:20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</row>
    <row r="975" spans="1:20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</row>
    <row r="976" spans="1:20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</row>
    <row r="977" spans="1:20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</row>
    <row r="978" spans="1:20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</row>
    <row r="979" spans="1:20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</row>
    <row r="980" spans="1:20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</row>
    <row r="981" spans="1:20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</row>
    <row r="982" spans="1:20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</row>
    <row r="983" spans="1:20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</row>
    <row r="984" spans="1:20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</row>
    <row r="985" spans="1:20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</row>
    <row r="986" spans="1:20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</row>
    <row r="987" spans="1:20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</row>
    <row r="988" spans="1:20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</row>
    <row r="989" spans="1:20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</row>
    <row r="990" spans="1:20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</row>
    <row r="991" spans="1:20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</row>
    <row r="992" spans="1:20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</row>
    <row r="993" spans="1:20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</row>
    <row r="994" spans="1:20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</row>
    <row r="995" spans="1:20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</row>
    <row r="996" spans="1:20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</row>
    <row r="997" spans="1:20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</row>
    <row r="998" spans="1:20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</row>
    <row r="999" spans="1:20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</row>
    <row r="1000" spans="1:20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</row>
    <row r="1001" spans="1:20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</row>
    <row r="1002" spans="1:20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</row>
    <row r="1003" spans="1:20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</row>
    <row r="1004" spans="1:20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</row>
    <row r="1005" spans="1:20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</row>
    <row r="1006" spans="1:20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</row>
    <row r="1007" spans="1:20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</row>
    <row r="1008" spans="1:20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</row>
    <row r="1009" spans="1:20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</row>
    <row r="1010" spans="1:20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</row>
    <row r="1011" spans="1:20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</row>
    <row r="1012" spans="1:20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</row>
    <row r="1013" spans="1:20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</row>
    <row r="1014" spans="1:20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</row>
    <row r="1015" spans="1:20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</row>
    <row r="1016" spans="1:20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</row>
    <row r="1017" spans="1:20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</row>
    <row r="1018" spans="1:20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</row>
    <row r="1019" spans="1:20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</row>
    <row r="1020" spans="1:20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</row>
    <row r="1021" spans="1:20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</row>
    <row r="1022" spans="1:20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</row>
    <row r="1023" spans="1:20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</row>
    <row r="1024" spans="1:20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</row>
    <row r="1025" spans="1:20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</row>
    <row r="1026" spans="1:20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</row>
    <row r="1027" spans="1:20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</row>
    <row r="1028" spans="1:20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</row>
    <row r="1029" spans="1:20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</row>
    <row r="1030" spans="1:20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</row>
    <row r="1031" spans="1:20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</row>
    <row r="1032" spans="1:20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</row>
    <row r="1033" spans="1:20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</row>
    <row r="1034" spans="1:20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</row>
    <row r="1035" spans="1:20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</row>
    <row r="1036" spans="1:20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</row>
    <row r="1037" spans="1:20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</row>
    <row r="1038" spans="1:20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</row>
    <row r="1039" spans="1:20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</row>
    <row r="1040" spans="1:20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</row>
    <row r="1041" spans="1:20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</row>
    <row r="1042" spans="1:20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</row>
    <row r="1043" spans="1:20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</row>
    <row r="1044" spans="1:20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</row>
    <row r="1045" spans="1:20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</row>
    <row r="1046" spans="1:20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</row>
    <row r="1047" spans="1:20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</row>
    <row r="1048" spans="1:20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</row>
    <row r="1049" spans="1:20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</row>
    <row r="1050" spans="1:20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</row>
    <row r="1051" spans="1:20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</row>
    <row r="1052" spans="1:20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</row>
    <row r="1053" spans="1:20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</row>
    <row r="1054" spans="1:20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</row>
    <row r="1055" spans="1:20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</row>
    <row r="1056" spans="1:20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</row>
    <row r="1057" spans="1:20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</row>
    <row r="1058" spans="1:20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</row>
    <row r="1059" spans="1:20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</row>
    <row r="1060" spans="1:20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</row>
    <row r="1061" spans="1:20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</row>
    <row r="1062" spans="1:20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</row>
    <row r="1063" spans="1:20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</row>
    <row r="1064" spans="1:20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</row>
    <row r="1065" spans="1:20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</row>
    <row r="1066" spans="1:20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</row>
    <row r="1067" spans="1:20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</row>
    <row r="1068" spans="1:20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</row>
    <row r="1069" spans="1:20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</row>
    <row r="1070" spans="1:20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</row>
    <row r="1071" spans="1:20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</row>
    <row r="1072" spans="1:20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</row>
    <row r="1073" spans="1:20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</row>
    <row r="1074" spans="1:20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</row>
    <row r="1075" spans="1:20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</row>
    <row r="1076" spans="1:20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</row>
    <row r="1077" spans="1:20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</row>
    <row r="1078" spans="1:20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</row>
    <row r="1079" spans="1:20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</row>
    <row r="1080" spans="1:20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</row>
    <row r="1081" spans="1:20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</row>
    <row r="1082" spans="1:20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</row>
    <row r="1083" spans="1:20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</row>
    <row r="1084" spans="1:20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</row>
    <row r="1085" spans="1:20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</row>
    <row r="1086" spans="1:20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</row>
    <row r="1087" spans="1:20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</row>
    <row r="1088" spans="1:20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</row>
    <row r="1089" spans="1:20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</row>
    <row r="1090" spans="1:20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</row>
    <row r="1091" spans="1:20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</row>
    <row r="1092" spans="1:20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</row>
    <row r="1093" spans="1:20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</row>
    <row r="1094" spans="1:20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</row>
    <row r="1095" spans="1:20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</row>
    <row r="1096" spans="1:20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</row>
    <row r="1097" spans="1:20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</row>
    <row r="1098" spans="1:20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</row>
    <row r="1099" spans="1:20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</row>
    <row r="1100" spans="1:20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</row>
    <row r="1101" spans="1:20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</row>
    <row r="1102" spans="1:20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</row>
    <row r="1103" spans="1:20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</row>
    <row r="1104" spans="1:20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</row>
    <row r="1105" spans="1:20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</row>
    <row r="1106" spans="1:20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</row>
    <row r="1107" spans="1:20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</row>
    <row r="1108" spans="1:20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</row>
    <row r="1109" spans="1:20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</row>
    <row r="1110" spans="1:20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</row>
    <row r="1111" spans="1:20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</row>
    <row r="1112" spans="1:20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</row>
    <row r="1113" spans="1:20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</row>
    <row r="1114" spans="1:20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</row>
    <row r="1115" spans="1:20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</row>
    <row r="1116" spans="1:20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</row>
    <row r="1117" spans="1:20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</row>
    <row r="1118" spans="1:20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</row>
    <row r="1119" spans="1:20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</row>
    <row r="1120" spans="1:20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</row>
    <row r="1121" spans="1:20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</row>
    <row r="1122" spans="1:20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</row>
    <row r="1123" spans="1:20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</row>
    <row r="1124" spans="1:20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</row>
    <row r="1125" spans="1:20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</row>
    <row r="1126" spans="1:20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</row>
    <row r="1127" spans="1:20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</row>
    <row r="1128" spans="1:20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</row>
    <row r="1129" spans="1:20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</row>
    <row r="1130" spans="1:20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</row>
    <row r="1131" spans="1:20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</row>
    <row r="1132" spans="1:20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</row>
    <row r="1133" spans="1:20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</row>
    <row r="1134" spans="1:20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</row>
    <row r="1135" spans="1:20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</row>
    <row r="1136" spans="1:20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</row>
    <row r="1137" spans="1:20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</row>
    <row r="1138" spans="1:20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</row>
    <row r="1139" spans="1:20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</row>
    <row r="1140" spans="1:20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</row>
    <row r="1141" spans="1:20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</row>
    <row r="1142" spans="1:20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</row>
    <row r="1143" spans="1:20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</row>
    <row r="1144" spans="1:20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</row>
    <row r="1145" spans="1:20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</row>
    <row r="1146" spans="1:20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</row>
    <row r="1147" spans="1:20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</row>
    <row r="1148" spans="1:20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</row>
    <row r="1149" spans="1:20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</row>
    <row r="1150" spans="1:20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</row>
    <row r="1151" spans="1:20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</row>
    <row r="1152" spans="1:20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</row>
    <row r="1153" spans="1:20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</row>
    <row r="1154" spans="1:20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</row>
    <row r="1155" spans="1:20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</row>
    <row r="1156" spans="1:20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</row>
    <row r="1157" spans="1:20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</row>
    <row r="1158" spans="1:20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</row>
    <row r="1159" spans="1:20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</row>
    <row r="1160" spans="1:20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</row>
    <row r="1161" spans="1:20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</row>
    <row r="1162" spans="1:20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</row>
    <row r="1163" spans="1:20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</row>
    <row r="1164" spans="1:20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</row>
    <row r="1165" spans="1:20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</row>
    <row r="1166" spans="1:20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</row>
    <row r="1167" spans="1:20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</row>
    <row r="1168" spans="1:20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</row>
    <row r="1169" spans="1:20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</row>
    <row r="1170" spans="1:20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</row>
    <row r="1171" spans="1:20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</row>
    <row r="1172" spans="1:20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</row>
    <row r="1173" spans="1:20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</row>
    <row r="1174" spans="1:20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</row>
    <row r="1175" spans="1:20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</row>
    <row r="1176" spans="1:20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</row>
    <row r="1177" spans="1:20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</row>
    <row r="1178" spans="1:20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</row>
    <row r="1179" spans="1:20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</row>
    <row r="1180" spans="1:20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</row>
    <row r="1181" spans="1:20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</row>
    <row r="1182" spans="1:20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</row>
    <row r="1183" spans="1:20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</row>
    <row r="1184" spans="1:20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</row>
    <row r="1185" spans="1:20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</row>
    <row r="1186" spans="1:20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</row>
    <row r="1187" spans="1:20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</row>
    <row r="1188" spans="1:20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</row>
    <row r="1189" spans="1:20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</row>
    <row r="1190" spans="1:20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</row>
    <row r="1191" spans="1:20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</row>
    <row r="1192" spans="1:20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</row>
    <row r="1193" spans="1:20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</row>
    <row r="1194" spans="1:20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</row>
    <row r="1195" spans="1:20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</row>
    <row r="1196" spans="1:20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</row>
    <row r="1197" spans="1:20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</row>
    <row r="1198" spans="1:20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</row>
    <row r="1199" spans="1:20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</row>
    <row r="1200" spans="1:20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</row>
    <row r="1201" spans="1:20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</row>
    <row r="1202" spans="1:20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</row>
    <row r="1203" spans="1:20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</row>
    <row r="1204" spans="1:20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</row>
    <row r="1205" spans="1:20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</row>
    <row r="1206" spans="1:20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</row>
    <row r="1207" spans="1:20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</row>
    <row r="1208" spans="1:20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</row>
    <row r="1209" spans="1:20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</row>
    <row r="1210" spans="1:20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</row>
    <row r="1211" spans="1:20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</row>
    <row r="1212" spans="1:20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</row>
    <row r="1213" spans="1:20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</row>
    <row r="1214" spans="1:20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</row>
    <row r="1215" spans="1:20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</row>
    <row r="1216" spans="1:20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</row>
    <row r="1217" spans="1:20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</row>
    <row r="1218" spans="1:20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</row>
    <row r="1219" spans="1:20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</row>
    <row r="1220" spans="1:20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</row>
    <row r="1221" spans="1:20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</row>
    <row r="1222" spans="1:20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</row>
    <row r="1223" spans="1:20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</row>
    <row r="1224" spans="1:20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</row>
    <row r="1225" spans="1:20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</row>
    <row r="1226" spans="1:20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</row>
    <row r="1227" spans="1:20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</row>
    <row r="1228" spans="1:20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</row>
    <row r="1229" spans="1:20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</row>
    <row r="1230" spans="1:20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</row>
    <row r="1231" spans="1:20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</row>
    <row r="1232" spans="1:20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</row>
    <row r="1233" spans="1:20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</row>
    <row r="1234" spans="1:20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</row>
    <row r="1235" spans="1:20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</row>
    <row r="1236" spans="1:20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</row>
    <row r="1237" spans="1:20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</row>
    <row r="1238" spans="1:20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</row>
    <row r="1239" spans="1:20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</row>
    <row r="1240" spans="1:20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</row>
    <row r="1241" spans="1:20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</row>
    <row r="1242" spans="1:20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</row>
    <row r="1243" spans="1:20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</row>
    <row r="1244" spans="1:20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</row>
    <row r="1245" spans="1:20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</row>
    <row r="1246" spans="1:20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</row>
    <row r="1247" spans="1:20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</row>
    <row r="1248" spans="1:20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</row>
    <row r="1249" spans="1:20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</row>
    <row r="1250" spans="1:20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</row>
    <row r="1251" spans="1:20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</row>
    <row r="1252" spans="1:20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</row>
    <row r="1253" spans="1:20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</row>
    <row r="1254" spans="1:20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</row>
    <row r="1255" spans="1:20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</row>
    <row r="1256" spans="1:20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</row>
    <row r="1257" spans="1:20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</row>
    <row r="1258" spans="1:20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</row>
    <row r="1259" spans="1:20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</row>
    <row r="1260" spans="1:20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</row>
    <row r="1261" spans="1:20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</row>
    <row r="1262" spans="1:20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</row>
    <row r="1263" spans="1:20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</row>
    <row r="1264" spans="1:20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</row>
    <row r="1265" spans="1:20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</row>
    <row r="1266" spans="1:20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</row>
    <row r="1267" spans="1:20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</row>
    <row r="1268" spans="1:20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</row>
    <row r="1269" spans="1:20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</row>
    <row r="1270" spans="1:20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</row>
    <row r="1271" spans="1:20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</row>
    <row r="1272" spans="1:20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</row>
    <row r="1273" spans="1:20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</row>
    <row r="1274" spans="1:20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</row>
    <row r="1275" spans="1:20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</row>
    <row r="1276" spans="1:20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</row>
    <row r="1277" spans="1:20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</row>
    <row r="1278" spans="1:20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</row>
    <row r="1279" spans="1:20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</row>
    <row r="1280" spans="1:20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</row>
    <row r="1281" spans="1:20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</row>
    <row r="1282" spans="1:20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</row>
    <row r="1283" spans="1:20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</row>
    <row r="1284" spans="1:20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</row>
    <row r="1285" spans="1:20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</row>
    <row r="1286" spans="1:20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</row>
    <row r="1287" spans="1:20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</row>
    <row r="1288" spans="1:20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</row>
    <row r="1289" spans="1:20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</row>
    <row r="1290" spans="1:20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</row>
    <row r="1291" spans="1:20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</row>
    <row r="1292" spans="1:20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</row>
    <row r="1293" spans="1:20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</row>
    <row r="1294" spans="1:20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</row>
    <row r="1295" spans="1:20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</row>
    <row r="1296" spans="1:20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</row>
    <row r="1297" spans="1:20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</row>
    <row r="1298" spans="1:20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</row>
    <row r="1299" spans="1:20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</row>
    <row r="1300" spans="1:20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</row>
    <row r="1301" spans="1:20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</row>
    <row r="1302" spans="1:20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</row>
    <row r="1303" spans="1:20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</row>
    <row r="1304" spans="1:20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</row>
    <row r="1305" spans="1:20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</row>
    <row r="1306" spans="1:20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</row>
    <row r="1307" spans="1:20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</row>
    <row r="1308" spans="1:20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</row>
    <row r="1309" spans="1:20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</row>
    <row r="1310" spans="1:20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</row>
    <row r="1311" spans="1:20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</row>
    <row r="1312" spans="1:20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</row>
    <row r="1313" spans="1:20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</row>
    <row r="1314" spans="1:20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</row>
    <row r="1315" spans="1:20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</row>
    <row r="1316" spans="1:20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</row>
    <row r="1317" spans="1:20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</row>
    <row r="1318" spans="1:20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</row>
    <row r="1319" spans="1:20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</row>
    <row r="1320" spans="1:20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</row>
    <row r="1321" spans="1:20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</row>
    <row r="1322" spans="1:20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</row>
    <row r="1323" spans="1:20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</row>
    <row r="1324" spans="1:20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</row>
    <row r="1325" spans="1:20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</row>
    <row r="1326" spans="1:20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</row>
    <row r="1327" spans="1:20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</row>
    <row r="1328" spans="1:20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</row>
    <row r="1329" spans="1:20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</row>
    <row r="1330" spans="1:20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</row>
    <row r="1331" spans="1:20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</row>
    <row r="1332" spans="1:20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</row>
    <row r="1333" spans="1:20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</row>
    <row r="1334" spans="1:20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</row>
    <row r="1335" spans="1:20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</row>
    <row r="1336" spans="1:20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</row>
    <row r="1337" spans="1:20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</row>
    <row r="1338" spans="1:20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</row>
    <row r="1339" spans="1:20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</row>
    <row r="1340" spans="1:20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</row>
    <row r="1341" spans="1:20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</row>
    <row r="1342" spans="1:20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</row>
    <row r="1343" spans="1:20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</row>
    <row r="1344" spans="1:20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</row>
    <row r="1345" spans="1:20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</row>
    <row r="1346" spans="1:20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</row>
    <row r="1347" spans="1:20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</row>
    <row r="1348" spans="1:20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</row>
    <row r="1349" spans="1:20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</row>
    <row r="1350" spans="1:20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</row>
    <row r="1351" spans="1:20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</row>
    <row r="1352" spans="1:20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</row>
    <row r="1353" spans="1:20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</row>
    <row r="1354" spans="1:20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</row>
    <row r="1355" spans="1:20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</row>
    <row r="1356" spans="1:20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</row>
    <row r="1357" spans="1:20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</row>
    <row r="1358" spans="1:20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</row>
    <row r="1359" spans="1:20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</row>
    <row r="1360" spans="1:20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</row>
    <row r="1361" spans="1:20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</row>
    <row r="1362" spans="1:20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</row>
    <row r="1363" spans="1:20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</row>
    <row r="1364" spans="1:20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</row>
    <row r="1365" spans="1:20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</row>
    <row r="1366" spans="1:20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</row>
    <row r="1367" spans="1:20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</row>
    <row r="1368" spans="1:20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</row>
    <row r="1369" spans="1:20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</row>
    <row r="1370" spans="1:20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</row>
    <row r="1371" spans="1:20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</row>
    <row r="1372" spans="1:20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</row>
    <row r="1373" spans="1:20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</row>
    <row r="1374" spans="1:20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</row>
    <row r="1375" spans="1:20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</row>
    <row r="1376" spans="1:20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</row>
    <row r="1377" spans="1:20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</row>
    <row r="1378" spans="1:20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</row>
    <row r="1379" spans="1:20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</row>
    <row r="1380" spans="1:20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</row>
    <row r="1381" spans="1:20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</row>
    <row r="1382" spans="1:20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</row>
    <row r="1383" spans="1:20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</row>
    <row r="1384" spans="1:20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</row>
    <row r="1385" spans="1:20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</row>
    <row r="1386" spans="1:20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</row>
    <row r="1387" spans="1:20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</row>
    <row r="1388" spans="1:20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</row>
    <row r="1389" spans="1:20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</row>
    <row r="1390" spans="1:20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</row>
    <row r="1391" spans="1:20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</row>
    <row r="1392" spans="1:20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</row>
    <row r="1393" spans="1:20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</row>
    <row r="1394" spans="1:20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</row>
    <row r="1395" spans="1:20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</row>
    <row r="1396" spans="1:20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</row>
    <row r="1397" spans="1:20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</row>
    <row r="1398" spans="1:20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</row>
    <row r="1399" spans="1:20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</row>
    <row r="1400" spans="1:20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</row>
    <row r="1401" spans="1:20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</row>
    <row r="1402" spans="1:20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</row>
    <row r="1403" spans="1:20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</row>
    <row r="1404" spans="1:20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</row>
    <row r="1405" spans="1:20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</row>
    <row r="1406" spans="1:20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</row>
    <row r="1407" spans="1:20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</row>
    <row r="1408" spans="1:20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</row>
    <row r="1409" spans="1:20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</row>
    <row r="1410" spans="1:20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</row>
    <row r="1411" spans="1:20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</row>
    <row r="1412" spans="1:20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</row>
    <row r="1413" spans="1:20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</row>
    <row r="1414" spans="1:20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</row>
    <row r="1415" spans="1:20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</row>
    <row r="1416" spans="1:20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</row>
    <row r="1417" spans="1:20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</row>
    <row r="1418" spans="1:20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</row>
    <row r="1419" spans="1:20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</row>
    <row r="1420" spans="1:20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</row>
    <row r="1421" spans="1:20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</row>
    <row r="1422" spans="1:20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</row>
    <row r="1423" spans="1:20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</row>
    <row r="1424" spans="1:20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</row>
    <row r="1425" spans="1:20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</row>
    <row r="1426" spans="1:20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</row>
    <row r="1427" spans="1:20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</row>
    <row r="1428" spans="1:20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</row>
    <row r="1429" spans="1:20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</row>
    <row r="1430" spans="1:20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</row>
    <row r="1431" spans="1:20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</row>
    <row r="1432" spans="1:20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</row>
    <row r="1433" spans="1:20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</row>
    <row r="1434" spans="1:20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</row>
    <row r="1435" spans="1:20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</row>
    <row r="1436" spans="1:20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</row>
    <row r="1437" spans="1:20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</row>
    <row r="1438" spans="1:20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</row>
    <row r="1439" spans="1:20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</row>
    <row r="1440" spans="1:20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</row>
    <row r="1441" spans="1:20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</row>
    <row r="1442" spans="1:20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</row>
    <row r="1443" spans="1:20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</row>
    <row r="1444" spans="1:20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</row>
    <row r="1445" spans="1:20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</row>
    <row r="1446" spans="1:20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</row>
    <row r="1447" spans="1:20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</row>
    <row r="1448" spans="1:20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</row>
    <row r="1449" spans="1:20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</row>
    <row r="1450" spans="1:20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</row>
    <row r="1451" spans="1:20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</row>
    <row r="1452" spans="1:20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</row>
    <row r="1453" spans="1:20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</row>
    <row r="1454" spans="1:20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</row>
    <row r="1455" spans="1:20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</row>
    <row r="1456" spans="1:20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</row>
    <row r="1457" spans="1:20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</row>
    <row r="1458" spans="1:20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</row>
    <row r="1459" spans="1:20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</row>
    <row r="1460" spans="1:20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</row>
    <row r="1461" spans="1:20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</row>
    <row r="1462" spans="1:20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</row>
    <row r="1463" spans="1:20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</row>
    <row r="1464" spans="1:20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</row>
    <row r="1465" spans="1:20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</row>
    <row r="1466" spans="1:20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</row>
    <row r="1467" spans="1:20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</row>
    <row r="1468" spans="1:20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</row>
    <row r="1469" spans="1:20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</row>
    <row r="1470" spans="1:20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</row>
    <row r="1471" spans="1:20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</row>
    <row r="1472" spans="1:20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</row>
    <row r="1473" spans="1:20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</row>
    <row r="1474" spans="1:20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</row>
    <row r="1475" spans="1:20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</row>
    <row r="1476" spans="1:20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</row>
    <row r="1477" spans="1:20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</row>
    <row r="1478" spans="1:20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</row>
    <row r="1479" spans="1:20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</row>
    <row r="1480" spans="1:20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</row>
    <row r="1481" spans="1:20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</row>
    <row r="1482" spans="1:20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</row>
    <row r="1483" spans="1:20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</row>
    <row r="1484" spans="1:20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</row>
    <row r="1485" spans="1:20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</row>
    <row r="1486" spans="1:20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</row>
    <row r="1487" spans="1:20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</row>
    <row r="1488" spans="1:20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</row>
    <row r="1489" spans="1:20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</row>
    <row r="1490" spans="1:20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</row>
    <row r="1491" spans="1:20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</row>
    <row r="1492" spans="1:20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</row>
    <row r="1493" spans="1:20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</row>
    <row r="1494" spans="1:20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</row>
    <row r="1495" spans="1:20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</row>
    <row r="1496" spans="1:20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</row>
    <row r="1497" spans="1:20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</row>
    <row r="1498" spans="1:20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</row>
    <row r="1499" spans="1:20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</row>
    <row r="1500" spans="1:20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</row>
    <row r="1501" spans="1:20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</row>
    <row r="1502" spans="1:20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</row>
    <row r="1503" spans="1:20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</row>
    <row r="1504" spans="1:20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</row>
    <row r="1505" spans="1:20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</row>
    <row r="1506" spans="1:20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</row>
    <row r="1507" spans="1:20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</row>
    <row r="1508" spans="1:20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</row>
    <row r="1509" spans="1:20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</row>
    <row r="1510" spans="1:20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</row>
    <row r="1511" spans="1:20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</row>
    <row r="1512" spans="1:20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</row>
    <row r="1513" spans="1:20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</row>
    <row r="1514" spans="1:20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</row>
    <row r="1515" spans="1:20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</row>
    <row r="1516" spans="1:20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</row>
    <row r="1517" spans="1:20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</row>
    <row r="1518" spans="1:20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</row>
    <row r="1519" spans="1:20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</row>
    <row r="1520" spans="1:20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</row>
    <row r="1521" spans="1:20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</row>
    <row r="1522" spans="1:20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</row>
    <row r="1523" spans="1:20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</row>
    <row r="1524" spans="1:20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</row>
    <row r="1525" spans="1:20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</row>
    <row r="1526" spans="1:20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</row>
    <row r="1527" spans="1:20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</row>
    <row r="1528" spans="1:20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</row>
    <row r="1529" spans="1:20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</row>
    <row r="1530" spans="1:20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</row>
    <row r="1531" spans="1:20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</row>
    <row r="1532" spans="1:20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</row>
    <row r="1533" spans="1:20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</row>
    <row r="1534" spans="1:20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</row>
    <row r="1535" spans="1:20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</row>
    <row r="1536" spans="1:20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</row>
    <row r="1537" spans="1:20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</row>
    <row r="1538" spans="1:20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</row>
    <row r="1539" spans="1:20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</row>
    <row r="1540" spans="1:20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</row>
    <row r="1541" spans="1:20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</row>
    <row r="1542" spans="1:20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</row>
    <row r="1543" spans="1:20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</row>
    <row r="1544" spans="1:20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</row>
    <row r="1545" spans="1:20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</row>
    <row r="1546" spans="1:20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</row>
    <row r="1547" spans="1:20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</row>
    <row r="1548" spans="1:20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</row>
    <row r="1549" spans="1:20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</row>
    <row r="1550" spans="1:20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</row>
    <row r="1551" spans="1:20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</row>
    <row r="1552" spans="1:20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</row>
    <row r="1553" spans="1:20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</row>
    <row r="1554" spans="1:20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</row>
    <row r="1555" spans="1:20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</row>
    <row r="1556" spans="1:20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</row>
    <row r="1557" spans="1:20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</row>
    <row r="1558" spans="1:20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</row>
    <row r="1559" spans="1:20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</row>
    <row r="1560" spans="1:20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</row>
    <row r="1561" spans="1:20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</row>
    <row r="1562" spans="1:20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</row>
    <row r="1563" spans="1:20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</row>
    <row r="1564" spans="1:20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</row>
    <row r="1565" spans="1:20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</row>
    <row r="1566" spans="1:20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</row>
    <row r="1567" spans="1:20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</row>
    <row r="1568" spans="1:20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</row>
    <row r="1569" spans="1:20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</row>
    <row r="1570" spans="1:20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</row>
    <row r="1571" spans="1:20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</row>
    <row r="1572" spans="1:20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</row>
    <row r="1573" spans="1:20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</row>
    <row r="1574" spans="1:20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</row>
    <row r="1575" spans="1:20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</row>
    <row r="1576" spans="1:20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</row>
    <row r="1577" spans="1:20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</row>
    <row r="1578" spans="1:20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</row>
    <row r="1579" spans="1:20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</row>
    <row r="1580" spans="1:20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</row>
    <row r="1581" spans="1:20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</row>
    <row r="1582" spans="1:20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</row>
    <row r="1583" spans="1:20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</row>
    <row r="1584" spans="1:20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</row>
    <row r="1585" spans="1:20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</row>
    <row r="1586" spans="1:20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</row>
    <row r="1587" spans="1:20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</row>
    <row r="1588" spans="1:20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</row>
    <row r="1589" spans="1:20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</row>
    <row r="1590" spans="1:20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</row>
    <row r="1591" spans="1:20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</row>
    <row r="1592" spans="1:20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</row>
    <row r="1593" spans="1:20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</row>
    <row r="1594" spans="1:20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</row>
    <row r="1595" spans="1:20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</row>
    <row r="1596" spans="1:20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</row>
    <row r="1597" spans="1:20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</row>
    <row r="1598" spans="1:20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</row>
    <row r="1599" spans="1:20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</row>
    <row r="1600" spans="1:20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</row>
    <row r="1601" spans="1:20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</row>
    <row r="1602" spans="1:20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</row>
    <row r="1603" spans="1:20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</row>
    <row r="1604" spans="1:20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</row>
    <row r="1605" spans="1:20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</row>
    <row r="1606" spans="1:20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</row>
    <row r="1607" spans="1:20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</row>
    <row r="1608" spans="1:20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</row>
    <row r="1609" spans="1:20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</row>
    <row r="1610" spans="1:20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</row>
    <row r="1611" spans="1:20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</row>
    <row r="1612" spans="1:20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</row>
    <row r="1613" spans="1:20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</row>
    <row r="1614" spans="1:20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</row>
    <row r="1615" spans="1:20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</row>
    <row r="1616" spans="1:20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</row>
    <row r="1617" spans="1:20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</row>
    <row r="1618" spans="1:20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</row>
    <row r="1619" spans="1:20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</row>
    <row r="1620" spans="1:20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</row>
    <row r="1621" spans="1:20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</row>
    <row r="1622" spans="1:20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</row>
    <row r="1623" spans="1:20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</row>
    <row r="1624" spans="1:20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</row>
    <row r="1625" spans="1:20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</row>
    <row r="1626" spans="1:20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</row>
    <row r="1627" spans="1:20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</row>
    <row r="1628" spans="1:20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</row>
    <row r="1629" spans="1:20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</row>
    <row r="1630" spans="1:20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</row>
    <row r="1631" spans="1:20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</row>
    <row r="1632" spans="1:20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</row>
    <row r="1633" spans="1:20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</row>
    <row r="1634" spans="1:20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</row>
    <row r="1635" spans="1:20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</row>
    <row r="1636" spans="1:20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</row>
    <row r="1637" spans="1:20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</row>
    <row r="1638" spans="1:20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</row>
    <row r="1639" spans="1:20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</row>
    <row r="1640" spans="1:20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</row>
    <row r="1641" spans="1:20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</row>
    <row r="1642" spans="1:20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</row>
    <row r="1643" spans="1:20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</row>
    <row r="1644" spans="1:20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</row>
    <row r="1645" spans="1:20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</row>
    <row r="1646" spans="1:20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</row>
    <row r="1647" spans="1:20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</row>
    <row r="1648" spans="1:20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</row>
    <row r="1649" spans="1:20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</row>
    <row r="1650" spans="1:20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</row>
    <row r="1651" spans="1:20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</row>
    <row r="1652" spans="1:20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</row>
    <row r="1653" spans="1:20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</row>
    <row r="1654" spans="1:20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</row>
    <row r="1655" spans="1:20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</row>
    <row r="1656" spans="1:20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</row>
    <row r="1657" spans="1:20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</row>
    <row r="1658" spans="1:20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</row>
    <row r="1659" spans="1:20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</row>
    <row r="1660" spans="1:20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</row>
    <row r="1661" spans="1:20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</row>
    <row r="1662" spans="1:20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</row>
    <row r="1663" spans="1:20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</row>
    <row r="1664" spans="1:20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</row>
    <row r="1665" spans="1:20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</row>
    <row r="1666" spans="1:20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</row>
    <row r="1667" spans="1:20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</row>
    <row r="1668" spans="1:20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</row>
    <row r="1669" spans="1:20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</row>
    <row r="1670" spans="1:20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</row>
    <row r="1671" spans="1:20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</row>
    <row r="1672" spans="1:20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</row>
    <row r="1673" spans="1:20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</row>
    <row r="1674" spans="1:20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</row>
    <row r="1675" spans="1:20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</row>
    <row r="1676" spans="1:20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</row>
    <row r="1677" spans="1:20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</row>
    <row r="1678" spans="1:20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</row>
    <row r="1679" spans="1:20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</row>
    <row r="1680" spans="1:20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</row>
    <row r="1681" spans="1:20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</row>
    <row r="1682" spans="1:20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</row>
    <row r="1683" spans="1:20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</row>
    <row r="1684" spans="1:20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</row>
    <row r="1685" spans="1:20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</row>
    <row r="1686" spans="1:20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</row>
    <row r="1687" spans="1:20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</row>
    <row r="1688" spans="1:20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</row>
    <row r="1689" spans="1:20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</row>
    <row r="1690" spans="1:20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</row>
    <row r="1691" spans="1:20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</row>
    <row r="1692" spans="1:20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</row>
    <row r="1693" spans="1:20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</row>
    <row r="1694" spans="1:20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</row>
    <row r="1695" spans="1:20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</row>
    <row r="1696" spans="1:20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</row>
    <row r="1697" spans="1:20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</row>
    <row r="1698" spans="1:20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</row>
    <row r="1699" spans="1:20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</row>
    <row r="1700" spans="1:20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</row>
    <row r="1701" spans="1:20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</row>
    <row r="1702" spans="1:20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</row>
    <row r="1703" spans="1:20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</row>
    <row r="1704" spans="1:20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</row>
    <row r="1705" spans="1:20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</row>
    <row r="1706" spans="1:20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</row>
    <row r="1707" spans="1:20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</row>
    <row r="1708" spans="1:20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</row>
    <row r="1709" spans="1:20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</row>
    <row r="1710" spans="1:20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</row>
    <row r="1711" spans="1:20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</row>
    <row r="1712" spans="1:20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</row>
    <row r="1713" spans="1:20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</row>
    <row r="1714" spans="1:20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</row>
    <row r="1715" spans="1:20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</row>
    <row r="1716" spans="1:20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</row>
    <row r="1717" spans="1:20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</row>
    <row r="1718" spans="1:20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</row>
    <row r="1719" spans="1:20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</row>
    <row r="1720" spans="1:20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</row>
    <row r="1721" spans="1:20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</row>
    <row r="1722" spans="1:20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</row>
    <row r="1723" spans="1:20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</row>
    <row r="1724" spans="1:20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</row>
    <row r="1725" spans="1:20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</row>
    <row r="1726" spans="1:20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</row>
    <row r="1727" spans="1:20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</row>
    <row r="1728" spans="1:20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</row>
    <row r="1729" spans="1:20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</row>
    <row r="1730" spans="1:20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</row>
    <row r="1731" spans="1:20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</row>
    <row r="1732" spans="1:20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</row>
    <row r="1733" spans="1:20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</row>
    <row r="1734" spans="1:20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</row>
    <row r="1735" spans="1:20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</row>
    <row r="1736" spans="1:20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</row>
    <row r="1737" spans="1:20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</row>
    <row r="1738" spans="1:20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</row>
    <row r="1739" spans="1:20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</row>
    <row r="1740" spans="1:20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</row>
    <row r="1741" spans="1:20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</row>
    <row r="1742" spans="1:20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</row>
    <row r="1743" spans="1:20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</row>
    <row r="1744" spans="1:20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</row>
    <row r="1745" spans="1:20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</row>
    <row r="1746" spans="1:20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</row>
    <row r="1747" spans="1:20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</row>
    <row r="1748" spans="1:20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</row>
    <row r="1749" spans="1:20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</row>
    <row r="1750" spans="1:20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</row>
    <row r="1751" spans="1:20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</row>
    <row r="1752" spans="1:20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</row>
    <row r="1753" spans="1:20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</row>
    <row r="1754" spans="1:20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</row>
    <row r="1755" spans="1:20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</row>
    <row r="1756" spans="1:20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</row>
    <row r="1757" spans="1:20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</row>
    <row r="1758" spans="1:20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</row>
    <row r="1759" spans="1:20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</row>
    <row r="1760" spans="1:20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</row>
    <row r="1761" spans="1:20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</row>
    <row r="1762" spans="1:20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</row>
    <row r="1763" spans="1:20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</row>
    <row r="1764" spans="1:20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</row>
    <row r="1765" spans="1:20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</row>
    <row r="1766" spans="1:20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</row>
    <row r="1767" spans="1:20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</row>
    <row r="1768" spans="1:20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</row>
    <row r="1769" spans="1:20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</row>
    <row r="1770" spans="1:20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</row>
    <row r="1771" spans="1:20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</row>
    <row r="1772" spans="1:20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</row>
    <row r="1773" spans="1:20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</row>
    <row r="1774" spans="1:20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</row>
    <row r="1775" spans="1:20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</row>
    <row r="1776" spans="1:20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</row>
    <row r="1777" spans="1:20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</row>
    <row r="1778" spans="1:20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</row>
    <row r="1779" spans="1:20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</row>
    <row r="1780" spans="1:20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</row>
    <row r="1781" spans="1:20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</row>
    <row r="1782" spans="1:20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</row>
    <row r="1783" spans="1:20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</row>
    <row r="1784" spans="1:20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</row>
    <row r="1785" spans="1:20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</row>
    <row r="1786" spans="1:20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</row>
    <row r="1787" spans="1:20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</row>
    <row r="1788" spans="1:20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</row>
    <row r="1789" spans="1:20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</row>
    <row r="1790" spans="1:20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</row>
    <row r="1791" spans="1:20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</row>
    <row r="1792" spans="1:20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</row>
    <row r="1793" spans="1:20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</row>
    <row r="1794" spans="1:20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</row>
    <row r="1795" spans="1:20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</row>
    <row r="1796" spans="1:20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</row>
    <row r="1797" spans="1:20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</row>
    <row r="1798" spans="1:20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</row>
    <row r="1799" spans="1:20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</row>
    <row r="1800" spans="1:20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</row>
    <row r="1801" spans="1:20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</row>
    <row r="1802" spans="1:20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</row>
    <row r="1803" spans="1:20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</row>
    <row r="1804" spans="1:20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</row>
    <row r="1805" spans="1:20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</row>
    <row r="1806" spans="1:20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</row>
    <row r="1807" spans="1:20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</row>
    <row r="1808" spans="1:20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</row>
    <row r="1809" spans="1:20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</row>
    <row r="1810" spans="1:20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</row>
    <row r="1811" spans="1:20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</row>
    <row r="1812" spans="1:20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</row>
    <row r="1813" spans="1:20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</row>
    <row r="1814" spans="1:20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</row>
    <row r="1815" spans="1:20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</row>
    <row r="1816" spans="1:20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</row>
    <row r="1817" spans="1:20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</row>
    <row r="1818" spans="1:20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</row>
    <row r="1819" spans="1:20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</row>
    <row r="1820" spans="1:20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</row>
    <row r="1821" spans="1:20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</row>
    <row r="1822" spans="1:20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</row>
    <row r="1823" spans="1:20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</row>
    <row r="1824" spans="1:20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</row>
    <row r="1825" spans="1:20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</row>
    <row r="1826" spans="1:20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</row>
    <row r="1827" spans="1:20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</row>
    <row r="1828" spans="1:20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</row>
    <row r="1829" spans="1:20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</row>
    <row r="1830" spans="1:20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</row>
    <row r="1831" spans="1:20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</row>
    <row r="1832" spans="1:20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</row>
    <row r="1833" spans="1:20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</row>
    <row r="1834" spans="1:20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</row>
    <row r="1835" spans="1:20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</row>
    <row r="1836" spans="1:20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</row>
    <row r="1837" spans="1:20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</row>
    <row r="1838" spans="1:20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</row>
    <row r="1839" spans="1:20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</row>
    <row r="1840" spans="1:20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</row>
    <row r="1841" spans="1:20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</row>
    <row r="1842" spans="1:20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</row>
    <row r="1843" spans="1:20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</row>
    <row r="1844" spans="1:20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</row>
    <row r="1845" spans="1:20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</row>
    <row r="1846" spans="1:20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</row>
    <row r="1847" spans="1:20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</row>
    <row r="1848" spans="1:20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</row>
    <row r="1849" spans="1:20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</row>
    <row r="1850" spans="1:20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</row>
    <row r="1851" spans="1:20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</row>
    <row r="1852" spans="1:20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</row>
    <row r="1853" spans="1:20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</row>
    <row r="1854" spans="1:20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</row>
    <row r="1855" spans="1:20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</row>
    <row r="1856" spans="1:20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</row>
    <row r="1857" spans="1:20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</row>
    <row r="1858" spans="1:20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</row>
    <row r="1859" spans="1:20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</row>
    <row r="1860" spans="1:20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</row>
    <row r="1861" spans="1:20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</row>
    <row r="1862" spans="1:20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</row>
    <row r="1863" spans="1:20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</row>
    <row r="1864" spans="1:20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</row>
    <row r="1865" spans="1:20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</row>
    <row r="1866" spans="1:20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</row>
    <row r="1867" spans="1:20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</row>
    <row r="1868" spans="1:20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</row>
    <row r="1869" spans="1:20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</row>
    <row r="1870" spans="1:20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</row>
    <row r="1871" spans="1:20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</row>
    <row r="1872" spans="1:20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</row>
    <row r="1873" spans="1:20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</row>
    <row r="1874" spans="1:20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</row>
    <row r="1875" spans="1:20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</row>
    <row r="1876" spans="1:20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</row>
    <row r="1877" spans="1:20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</row>
    <row r="1878" spans="1:20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</row>
    <row r="1879" spans="1:20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</row>
    <row r="1880" spans="1:20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</row>
    <row r="1881" spans="1:20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</row>
    <row r="1882" spans="1:20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</row>
    <row r="1883" spans="1:20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</row>
    <row r="1884" spans="1:20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</row>
    <row r="1885" spans="1:20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</row>
    <row r="1886" spans="1:20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</row>
    <row r="1887" spans="1:20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</row>
    <row r="1888" spans="1:20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</row>
    <row r="1889" spans="1:20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</row>
    <row r="1890" spans="1:20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</row>
    <row r="1891" spans="1:20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</row>
    <row r="1892" spans="1:20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</row>
    <row r="1893" spans="1:20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</row>
    <row r="1894" spans="1:20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</row>
    <row r="1895" spans="1:20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</row>
    <row r="1896" spans="1:20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</row>
    <row r="1897" spans="1:20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</row>
    <row r="1898" spans="1:20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</row>
    <row r="1899" spans="1:20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</row>
    <row r="1900" spans="1:20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</row>
    <row r="1901" spans="1:20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</row>
    <row r="1902" spans="1:20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</row>
    <row r="1903" spans="1:20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</row>
    <row r="1904" spans="1:20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</row>
    <row r="1905" spans="1:20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</row>
    <row r="1906" spans="1:20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</row>
    <row r="1907" spans="1:20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</row>
    <row r="1908" spans="1:20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</row>
    <row r="1909" spans="1:20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</row>
    <row r="1910" spans="1:20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</row>
    <row r="1911" spans="1:20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</row>
    <row r="1912" spans="1:20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</row>
    <row r="1913" spans="1:20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</row>
    <row r="1914" spans="1:20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</row>
    <row r="1915" spans="1:20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</row>
    <row r="1916" spans="1:20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</row>
    <row r="1917" spans="1:20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</row>
    <row r="1918" spans="1:20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</row>
    <row r="1919" spans="1:20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</row>
    <row r="1920" spans="1:20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</row>
    <row r="1921" spans="1:20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</row>
    <row r="1922" spans="1:20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</row>
    <row r="1923" spans="1:20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</row>
    <row r="1924" spans="1:20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</row>
    <row r="1925" spans="1:20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</row>
    <row r="1926" spans="1:20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</row>
    <row r="1927" spans="1:20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</row>
    <row r="1928" spans="1:20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</row>
    <row r="1929" spans="1:20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</row>
    <row r="1930" spans="1:20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</row>
    <row r="1931" spans="1:20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</row>
    <row r="1932" spans="1:20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</row>
    <row r="1933" spans="1:20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</row>
    <row r="1934" spans="1:20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</row>
    <row r="1935" spans="1:20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</row>
    <row r="1936" spans="1:20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</row>
    <row r="1937" spans="1:20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</row>
    <row r="1938" spans="1:20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</row>
    <row r="1939" spans="1:20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</row>
    <row r="1940" spans="1:20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</row>
    <row r="1941" spans="1:20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</row>
    <row r="1942" spans="1:20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</row>
    <row r="1943" spans="1:20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</row>
    <row r="1944" spans="1:20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</row>
    <row r="1945" spans="1:20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</row>
    <row r="1946" spans="1:20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</row>
    <row r="1947" spans="1:20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</row>
    <row r="1948" spans="1:20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</row>
    <row r="1949" spans="1:20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</row>
    <row r="1950" spans="1:20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</row>
    <row r="1951" spans="1:20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</row>
    <row r="1952" spans="1:20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</row>
    <row r="1953" spans="1:20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</row>
    <row r="1954" spans="1:20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</row>
    <row r="1955" spans="1:20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</row>
    <row r="1956" spans="1:20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</row>
    <row r="1957" spans="1:20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</row>
    <row r="1958" spans="1:20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</row>
    <row r="1959" spans="1:20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</row>
    <row r="1960" spans="1:20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</row>
    <row r="1961" spans="1:20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</row>
    <row r="1962" spans="1:20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</row>
    <row r="1963" spans="1:20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</row>
    <row r="1964" spans="1:20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</row>
    <row r="1965" spans="1:20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</row>
    <row r="1966" spans="1:20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</row>
    <row r="1967" spans="1:20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</row>
    <row r="1968" spans="1:20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</row>
    <row r="1969" spans="1:20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</row>
    <row r="1970" spans="1:20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</row>
    <row r="1971" spans="1:20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</row>
    <row r="1972" spans="1:20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</row>
    <row r="1973" spans="1:20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</row>
    <row r="1974" spans="1:20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</row>
    <row r="1975" spans="1:20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</row>
    <row r="1976" spans="1:20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</row>
    <row r="1977" spans="1:20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</row>
    <row r="1978" spans="1:20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</row>
    <row r="1979" spans="1:20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</row>
    <row r="1980" spans="1:20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</row>
    <row r="1981" spans="1:20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</row>
    <row r="1982" spans="1:20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</row>
    <row r="1983" spans="1:20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</row>
    <row r="1984" spans="1:20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</row>
    <row r="1985" spans="1:20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</row>
    <row r="1986" spans="1:20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</row>
    <row r="1987" spans="1:20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</row>
    <row r="1988" spans="1:20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</row>
    <row r="1989" spans="1:20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</row>
    <row r="1990" spans="1:20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</row>
    <row r="1991" spans="1:20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</row>
    <row r="1992" spans="1:20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</row>
    <row r="1993" spans="1:20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</row>
    <row r="1994" spans="1:20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</row>
    <row r="1995" spans="1:20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</row>
    <row r="1996" spans="1:20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</row>
    <row r="1997" spans="1:20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</row>
    <row r="1998" spans="1:20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</row>
    <row r="1999" spans="1:20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</row>
    <row r="2000" spans="1:20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</row>
    <row r="2001" spans="1:20" x14ac:dyDescent="0.2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</row>
    <row r="2002" spans="1:20" x14ac:dyDescent="0.2">
      <c r="A2002" s="16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</row>
    <row r="2003" spans="1:20" x14ac:dyDescent="0.2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</row>
    <row r="2004" spans="1:20" x14ac:dyDescent="0.2">
      <c r="A2004" s="16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</row>
    <row r="2005" spans="1:20" x14ac:dyDescent="0.2">
      <c r="A2005" s="16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</row>
    <row r="2006" spans="1:20" x14ac:dyDescent="0.2">
      <c r="A2006" s="16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</row>
    <row r="2007" spans="1:20" x14ac:dyDescent="0.2">
      <c r="A2007" s="16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</row>
    <row r="2008" spans="1:20" x14ac:dyDescent="0.2">
      <c r="A2008" s="16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</row>
    <row r="2009" spans="1:20" x14ac:dyDescent="0.2">
      <c r="A2009" s="16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</row>
    <row r="2010" spans="1:20" x14ac:dyDescent="0.2">
      <c r="A2010" s="16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</row>
    <row r="2011" spans="1:20" x14ac:dyDescent="0.2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</row>
    <row r="2012" spans="1:20" x14ac:dyDescent="0.2">
      <c r="A2012" s="16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</row>
    <row r="2013" spans="1:20" x14ac:dyDescent="0.2">
      <c r="A2013" s="16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</row>
    <row r="2014" spans="1:20" x14ac:dyDescent="0.2">
      <c r="A2014" s="16"/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</row>
    <row r="2015" spans="1:20" x14ac:dyDescent="0.2">
      <c r="A2015" s="16"/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</row>
    <row r="2016" spans="1:20" x14ac:dyDescent="0.2">
      <c r="A2016" s="16"/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</row>
    <row r="2017" spans="1:20" x14ac:dyDescent="0.2">
      <c r="A2017" s="16"/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</row>
    <row r="2018" spans="1:20" x14ac:dyDescent="0.2">
      <c r="A2018" s="16"/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</row>
    <row r="2019" spans="1:20" x14ac:dyDescent="0.2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</row>
    <row r="2020" spans="1:20" x14ac:dyDescent="0.2">
      <c r="A2020" s="16"/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</row>
    <row r="2021" spans="1:20" x14ac:dyDescent="0.2">
      <c r="A2021" s="16"/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</row>
    <row r="2022" spans="1:20" x14ac:dyDescent="0.2">
      <c r="A2022" s="16"/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</row>
    <row r="2023" spans="1:20" x14ac:dyDescent="0.2">
      <c r="A2023" s="16"/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</row>
    <row r="2024" spans="1:20" x14ac:dyDescent="0.2">
      <c r="A2024" s="16"/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</row>
    <row r="2025" spans="1:20" x14ac:dyDescent="0.2">
      <c r="A2025" s="16"/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</row>
    <row r="2026" spans="1:20" x14ac:dyDescent="0.2">
      <c r="A2026" s="16"/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</row>
    <row r="2027" spans="1:20" x14ac:dyDescent="0.2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</row>
    <row r="2028" spans="1:20" x14ac:dyDescent="0.2">
      <c r="A2028" s="16"/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</row>
    <row r="2029" spans="1:20" x14ac:dyDescent="0.2">
      <c r="A2029" s="16"/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</row>
    <row r="2030" spans="1:20" x14ac:dyDescent="0.2">
      <c r="A2030" s="16"/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</row>
    <row r="2031" spans="1:20" x14ac:dyDescent="0.2">
      <c r="A2031" s="16"/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</row>
    <row r="2032" spans="1:20" x14ac:dyDescent="0.2">
      <c r="A2032" s="16"/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</row>
    <row r="2033" spans="1:20" x14ac:dyDescent="0.2">
      <c r="A2033" s="16"/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</row>
    <row r="2034" spans="1:20" x14ac:dyDescent="0.2">
      <c r="A2034" s="16"/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</row>
    <row r="2035" spans="1:20" x14ac:dyDescent="0.2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</row>
    <row r="2036" spans="1:20" x14ac:dyDescent="0.2">
      <c r="A2036" s="16"/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</row>
    <row r="2037" spans="1:20" x14ac:dyDescent="0.2">
      <c r="A2037" s="16"/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</row>
    <row r="2038" spans="1:20" x14ac:dyDescent="0.2">
      <c r="A2038" s="16"/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</row>
    <row r="2039" spans="1:20" x14ac:dyDescent="0.2">
      <c r="A2039" s="16"/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</row>
    <row r="2040" spans="1:20" x14ac:dyDescent="0.2">
      <c r="A2040" s="16"/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</row>
    <row r="2041" spans="1:20" x14ac:dyDescent="0.2">
      <c r="A2041" s="16"/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</row>
    <row r="2042" spans="1:20" x14ac:dyDescent="0.2">
      <c r="A2042" s="16"/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</row>
    <row r="2043" spans="1:20" x14ac:dyDescent="0.2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</row>
    <row r="2044" spans="1:20" x14ac:dyDescent="0.2">
      <c r="A2044" s="16"/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</row>
    <row r="2045" spans="1:20" x14ac:dyDescent="0.2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</row>
    <row r="2046" spans="1:20" x14ac:dyDescent="0.2">
      <c r="A2046" s="16"/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</row>
    <row r="2047" spans="1:20" x14ac:dyDescent="0.2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</row>
    <row r="2048" spans="1:20" x14ac:dyDescent="0.2">
      <c r="A2048" s="16"/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</row>
    <row r="2049" spans="1:20" x14ac:dyDescent="0.2">
      <c r="A2049" s="16"/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</row>
    <row r="2050" spans="1:20" x14ac:dyDescent="0.2">
      <c r="A2050" s="16"/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</row>
    <row r="2051" spans="1:20" x14ac:dyDescent="0.2">
      <c r="A2051" s="16"/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</row>
    <row r="2052" spans="1:20" x14ac:dyDescent="0.2">
      <c r="A2052" s="16"/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</row>
    <row r="2053" spans="1:20" x14ac:dyDescent="0.2">
      <c r="A2053" s="16"/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</row>
    <row r="2054" spans="1:20" x14ac:dyDescent="0.2">
      <c r="A2054" s="16"/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</row>
    <row r="2055" spans="1:20" x14ac:dyDescent="0.2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</row>
    <row r="2056" spans="1:20" x14ac:dyDescent="0.2">
      <c r="A2056" s="16"/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</row>
    <row r="2057" spans="1:20" x14ac:dyDescent="0.2">
      <c r="A2057" s="16"/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</row>
    <row r="2058" spans="1:20" x14ac:dyDescent="0.2">
      <c r="A2058" s="16"/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</row>
    <row r="2059" spans="1:20" x14ac:dyDescent="0.2">
      <c r="A2059" s="16"/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</row>
    <row r="2060" spans="1:20" x14ac:dyDescent="0.2">
      <c r="A2060" s="16"/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</row>
    <row r="2061" spans="1:20" x14ac:dyDescent="0.2">
      <c r="A2061" s="16"/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</row>
    <row r="2062" spans="1:20" x14ac:dyDescent="0.2">
      <c r="A2062" s="16"/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</row>
    <row r="2063" spans="1:20" x14ac:dyDescent="0.2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</row>
    <row r="2064" spans="1:20" x14ac:dyDescent="0.2">
      <c r="A2064" s="16"/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</row>
    <row r="2065" spans="1:20" x14ac:dyDescent="0.2">
      <c r="A2065" s="16"/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</row>
    <row r="2066" spans="1:20" x14ac:dyDescent="0.2">
      <c r="A2066" s="16"/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</row>
    <row r="2067" spans="1:20" x14ac:dyDescent="0.2">
      <c r="A2067" s="16"/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</row>
    <row r="2068" spans="1:20" x14ac:dyDescent="0.2">
      <c r="A2068" s="16"/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</row>
    <row r="2069" spans="1:20" x14ac:dyDescent="0.2">
      <c r="A2069" s="16"/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</row>
    <row r="2070" spans="1:20" x14ac:dyDescent="0.2">
      <c r="A2070" s="16"/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</row>
    <row r="2071" spans="1:20" x14ac:dyDescent="0.2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</row>
    <row r="2072" spans="1:20" x14ac:dyDescent="0.2">
      <c r="A2072" s="16"/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</row>
    <row r="2073" spans="1:20" x14ac:dyDescent="0.2">
      <c r="A2073" s="16"/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</row>
    <row r="2074" spans="1:20" x14ac:dyDescent="0.2">
      <c r="A2074" s="16"/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</row>
    <row r="2075" spans="1:20" x14ac:dyDescent="0.2">
      <c r="A2075" s="16"/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</row>
    <row r="2076" spans="1:20" x14ac:dyDescent="0.2">
      <c r="A2076" s="16"/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</row>
    <row r="2077" spans="1:20" x14ac:dyDescent="0.2">
      <c r="A2077" s="16"/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</row>
    <row r="2078" spans="1:20" x14ac:dyDescent="0.2">
      <c r="A2078" s="16"/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</row>
    <row r="2079" spans="1:20" x14ac:dyDescent="0.2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</row>
    <row r="2080" spans="1:20" x14ac:dyDescent="0.2">
      <c r="A2080" s="16"/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</row>
    <row r="2081" spans="1:20" x14ac:dyDescent="0.2">
      <c r="A2081" s="16"/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</row>
    <row r="2082" spans="1:20" x14ac:dyDescent="0.2">
      <c r="A2082" s="16"/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</row>
    <row r="2083" spans="1:20" x14ac:dyDescent="0.2">
      <c r="A2083" s="16"/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</row>
    <row r="2084" spans="1:20" x14ac:dyDescent="0.2">
      <c r="A2084" s="16"/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</row>
    <row r="2085" spans="1:20" x14ac:dyDescent="0.2">
      <c r="A2085" s="16"/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</row>
    <row r="2086" spans="1:20" x14ac:dyDescent="0.2">
      <c r="A2086" s="16"/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</row>
    <row r="2087" spans="1:20" x14ac:dyDescent="0.2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</row>
    <row r="2088" spans="1:20" x14ac:dyDescent="0.2">
      <c r="A2088" s="16"/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</row>
    <row r="2089" spans="1:20" x14ac:dyDescent="0.2">
      <c r="A2089" s="16"/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</row>
    <row r="2090" spans="1:20" x14ac:dyDescent="0.2">
      <c r="A2090" s="16"/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</row>
    <row r="2091" spans="1:20" x14ac:dyDescent="0.2">
      <c r="A2091" s="16"/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</row>
    <row r="2092" spans="1:20" x14ac:dyDescent="0.2">
      <c r="A2092" s="16"/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</row>
    <row r="2093" spans="1:20" x14ac:dyDescent="0.2">
      <c r="A2093" s="16"/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</row>
    <row r="2094" spans="1:20" x14ac:dyDescent="0.2">
      <c r="A2094" s="16"/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</row>
    <row r="2095" spans="1:20" x14ac:dyDescent="0.2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</row>
    <row r="2096" spans="1:20" x14ac:dyDescent="0.2">
      <c r="A2096" s="16"/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</row>
    <row r="2097" spans="1:20" x14ac:dyDescent="0.2">
      <c r="A2097" s="16"/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</row>
    <row r="2098" spans="1:20" x14ac:dyDescent="0.2">
      <c r="A2098" s="16"/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</row>
    <row r="2099" spans="1:20" x14ac:dyDescent="0.2">
      <c r="A2099" s="16"/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</row>
    <row r="2100" spans="1:20" x14ac:dyDescent="0.2">
      <c r="A2100" s="16"/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</row>
    <row r="2101" spans="1:20" x14ac:dyDescent="0.2">
      <c r="A2101" s="16"/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</row>
    <row r="2102" spans="1:20" x14ac:dyDescent="0.2">
      <c r="A2102" s="16"/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</row>
    <row r="2103" spans="1:20" x14ac:dyDescent="0.2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</row>
    <row r="2104" spans="1:20" x14ac:dyDescent="0.2">
      <c r="A2104" s="16"/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</row>
    <row r="2105" spans="1:20" x14ac:dyDescent="0.2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</row>
    <row r="2106" spans="1:20" x14ac:dyDescent="0.2">
      <c r="A2106" s="16"/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</row>
    <row r="2107" spans="1:20" x14ac:dyDescent="0.2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</row>
    <row r="2108" spans="1:20" x14ac:dyDescent="0.2">
      <c r="A2108" s="16"/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</row>
    <row r="2109" spans="1:20" x14ac:dyDescent="0.2">
      <c r="A2109" s="16"/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</row>
    <row r="2110" spans="1:20" x14ac:dyDescent="0.2">
      <c r="A2110" s="16"/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</row>
    <row r="2111" spans="1:20" x14ac:dyDescent="0.2">
      <c r="A2111" s="16"/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</row>
    <row r="2112" spans="1:20" x14ac:dyDescent="0.2">
      <c r="A2112" s="16"/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</row>
    <row r="2113" spans="1:20" x14ac:dyDescent="0.2">
      <c r="A2113" s="16"/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</row>
    <row r="2114" spans="1:20" x14ac:dyDescent="0.2">
      <c r="A2114" s="16"/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</row>
    <row r="2115" spans="1:20" x14ac:dyDescent="0.2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</row>
    <row r="2116" spans="1:20" x14ac:dyDescent="0.2">
      <c r="A2116" s="16"/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</row>
    <row r="2117" spans="1:20" x14ac:dyDescent="0.2">
      <c r="A2117" s="16"/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</row>
    <row r="2118" spans="1:20" x14ac:dyDescent="0.2">
      <c r="A2118" s="16"/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</row>
    <row r="2119" spans="1:20" x14ac:dyDescent="0.2">
      <c r="A2119" s="16"/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</row>
    <row r="2120" spans="1:20" x14ac:dyDescent="0.2">
      <c r="A2120" s="16"/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</row>
    <row r="2121" spans="1:20" x14ac:dyDescent="0.2">
      <c r="A2121" s="16"/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</row>
    <row r="2122" spans="1:20" x14ac:dyDescent="0.2">
      <c r="A2122" s="16"/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</row>
    <row r="2123" spans="1:20" x14ac:dyDescent="0.2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</row>
    <row r="2124" spans="1:20" x14ac:dyDescent="0.2">
      <c r="A2124" s="16"/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</row>
    <row r="2125" spans="1:20" x14ac:dyDescent="0.2">
      <c r="A2125" s="16"/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</row>
    <row r="2126" spans="1:20" x14ac:dyDescent="0.2">
      <c r="A2126" s="16"/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</row>
    <row r="2127" spans="1:20" x14ac:dyDescent="0.2">
      <c r="A2127" s="16"/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</row>
    <row r="2128" spans="1:20" x14ac:dyDescent="0.2">
      <c r="A2128" s="16"/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</row>
    <row r="2129" spans="1:20" x14ac:dyDescent="0.2">
      <c r="A2129" s="16"/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</row>
    <row r="2130" spans="1:20" x14ac:dyDescent="0.2">
      <c r="A2130" s="16"/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</row>
    <row r="2131" spans="1:20" x14ac:dyDescent="0.2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</row>
    <row r="2132" spans="1:20" x14ac:dyDescent="0.2">
      <c r="A2132" s="16"/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</row>
    <row r="2133" spans="1:20" x14ac:dyDescent="0.2">
      <c r="A2133" s="16"/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</row>
    <row r="2134" spans="1:20" x14ac:dyDescent="0.2">
      <c r="A2134" s="16"/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</row>
    <row r="2135" spans="1:20" x14ac:dyDescent="0.2">
      <c r="A2135" s="16"/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</row>
    <row r="2136" spans="1:20" x14ac:dyDescent="0.2">
      <c r="A2136" s="16"/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</row>
    <row r="2137" spans="1:20" x14ac:dyDescent="0.2">
      <c r="A2137" s="16"/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</row>
    <row r="2138" spans="1:20" x14ac:dyDescent="0.2">
      <c r="A2138" s="16"/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</row>
    <row r="2139" spans="1:20" x14ac:dyDescent="0.2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</row>
    <row r="2140" spans="1:20" x14ac:dyDescent="0.2">
      <c r="A2140" s="16"/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</row>
    <row r="2141" spans="1:20" x14ac:dyDescent="0.2">
      <c r="A2141" s="16"/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</row>
    <row r="2142" spans="1:20" x14ac:dyDescent="0.2">
      <c r="A2142" s="16"/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</row>
    <row r="2143" spans="1:20" x14ac:dyDescent="0.2">
      <c r="A2143" s="16"/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</row>
    <row r="2144" spans="1:20" x14ac:dyDescent="0.2">
      <c r="A2144" s="16"/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</row>
    <row r="2145" spans="1:20" x14ac:dyDescent="0.2">
      <c r="A2145" s="16"/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</row>
    <row r="2146" spans="1:20" x14ac:dyDescent="0.2">
      <c r="A2146" s="16"/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</row>
    <row r="2147" spans="1:20" x14ac:dyDescent="0.2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</row>
    <row r="2148" spans="1:20" x14ac:dyDescent="0.2">
      <c r="A2148" s="16"/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</row>
    <row r="2149" spans="1:20" x14ac:dyDescent="0.2">
      <c r="A2149" s="16"/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</row>
    <row r="2150" spans="1:20" x14ac:dyDescent="0.2">
      <c r="A2150" s="16"/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</row>
    <row r="2151" spans="1:20" x14ac:dyDescent="0.2">
      <c r="A2151" s="16"/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</row>
    <row r="2152" spans="1:20" x14ac:dyDescent="0.2">
      <c r="A2152" s="16"/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</row>
    <row r="2153" spans="1:20" x14ac:dyDescent="0.2">
      <c r="A2153" s="16"/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</row>
    <row r="2154" spans="1:20" x14ac:dyDescent="0.2">
      <c r="A2154" s="16"/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</row>
    <row r="2155" spans="1:20" x14ac:dyDescent="0.2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</row>
    <row r="2156" spans="1:20" x14ac:dyDescent="0.2">
      <c r="A2156" s="16"/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</row>
    <row r="2157" spans="1:20" x14ac:dyDescent="0.2">
      <c r="A2157" s="16"/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</row>
    <row r="2158" spans="1:20" x14ac:dyDescent="0.2">
      <c r="A2158" s="16"/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</row>
    <row r="2159" spans="1:20" x14ac:dyDescent="0.2">
      <c r="A2159" s="16"/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</row>
    <row r="2160" spans="1:20" x14ac:dyDescent="0.2">
      <c r="A2160" s="16"/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</row>
    <row r="2161" spans="1:20" x14ac:dyDescent="0.2">
      <c r="A2161" s="16"/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</row>
    <row r="2162" spans="1:20" x14ac:dyDescent="0.2">
      <c r="A2162" s="16"/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</row>
    <row r="2163" spans="1:20" x14ac:dyDescent="0.2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</row>
    <row r="2164" spans="1:20" x14ac:dyDescent="0.2">
      <c r="A2164" s="16"/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</row>
    <row r="2165" spans="1:20" x14ac:dyDescent="0.2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</row>
    <row r="2166" spans="1:20" x14ac:dyDescent="0.2">
      <c r="A2166" s="16"/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</row>
    <row r="2167" spans="1:20" x14ac:dyDescent="0.2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</row>
    <row r="2168" spans="1:20" x14ac:dyDescent="0.2">
      <c r="A2168" s="16"/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</row>
    <row r="2169" spans="1:20" x14ac:dyDescent="0.2">
      <c r="A2169" s="16"/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</row>
    <row r="2170" spans="1:20" x14ac:dyDescent="0.2">
      <c r="A2170" s="16"/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</row>
    <row r="2171" spans="1:20" x14ac:dyDescent="0.2">
      <c r="A2171" s="16"/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</row>
    <row r="2172" spans="1:20" x14ac:dyDescent="0.2">
      <c r="A2172" s="16"/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</row>
    <row r="2173" spans="1:20" x14ac:dyDescent="0.2">
      <c r="A2173" s="16"/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</row>
    <row r="2174" spans="1:20" x14ac:dyDescent="0.2">
      <c r="A2174" s="16"/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</row>
    <row r="2175" spans="1:20" x14ac:dyDescent="0.2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</row>
    <row r="2176" spans="1:20" x14ac:dyDescent="0.2">
      <c r="A2176" s="16"/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</row>
    <row r="2177" spans="1:20" x14ac:dyDescent="0.2">
      <c r="A2177" s="16"/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</row>
    <row r="2178" spans="1:20" x14ac:dyDescent="0.2">
      <c r="A2178" s="16"/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</row>
    <row r="2179" spans="1:20" x14ac:dyDescent="0.2">
      <c r="A2179" s="16"/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</row>
    <row r="2180" spans="1:20" x14ac:dyDescent="0.2">
      <c r="A2180" s="16"/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</row>
    <row r="2181" spans="1:20" x14ac:dyDescent="0.2">
      <c r="A2181" s="16"/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</row>
    <row r="2182" spans="1:20" x14ac:dyDescent="0.2">
      <c r="A2182" s="16"/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</row>
    <row r="2183" spans="1:20" x14ac:dyDescent="0.2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</row>
    <row r="2184" spans="1:20" x14ac:dyDescent="0.2">
      <c r="A2184" s="16"/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</row>
    <row r="2185" spans="1:20" x14ac:dyDescent="0.2">
      <c r="A2185" s="16"/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</row>
    <row r="2186" spans="1:20" x14ac:dyDescent="0.2">
      <c r="A2186" s="16"/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</row>
    <row r="2187" spans="1:20" x14ac:dyDescent="0.2">
      <c r="A2187" s="16"/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</row>
    <row r="2188" spans="1:20" x14ac:dyDescent="0.2">
      <c r="A2188" s="16"/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</row>
    <row r="2189" spans="1:20" x14ac:dyDescent="0.2">
      <c r="A2189" s="16"/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</row>
    <row r="2190" spans="1:20" x14ac:dyDescent="0.2">
      <c r="A2190" s="16"/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</row>
    <row r="2191" spans="1:20" x14ac:dyDescent="0.2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</row>
    <row r="2192" spans="1:20" x14ac:dyDescent="0.2">
      <c r="A2192" s="16"/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</row>
    <row r="2193" spans="1:20" x14ac:dyDescent="0.2">
      <c r="A2193" s="16"/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</row>
    <row r="2194" spans="1:20" x14ac:dyDescent="0.2">
      <c r="A2194" s="16"/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</row>
    <row r="2195" spans="1:20" x14ac:dyDescent="0.2">
      <c r="A2195" s="16"/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</row>
    <row r="2196" spans="1:20" x14ac:dyDescent="0.2">
      <c r="A2196" s="16"/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</row>
    <row r="2197" spans="1:20" x14ac:dyDescent="0.2">
      <c r="A2197" s="16"/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</row>
    <row r="2198" spans="1:20" x14ac:dyDescent="0.2">
      <c r="A2198" s="16"/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</row>
    <row r="2199" spans="1:20" x14ac:dyDescent="0.2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</row>
    <row r="2200" spans="1:20" x14ac:dyDescent="0.2">
      <c r="A2200" s="16"/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</row>
    <row r="2201" spans="1:20" x14ac:dyDescent="0.2">
      <c r="A2201" s="16"/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</row>
    <row r="2202" spans="1:20" x14ac:dyDescent="0.2">
      <c r="A2202" s="16"/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</row>
    <row r="2203" spans="1:20" x14ac:dyDescent="0.2">
      <c r="A2203" s="16"/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</row>
    <row r="2204" spans="1:20" x14ac:dyDescent="0.2">
      <c r="A2204" s="16"/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</row>
    <row r="2205" spans="1:20" x14ac:dyDescent="0.2">
      <c r="A2205" s="16"/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</row>
    <row r="2206" spans="1:20" x14ac:dyDescent="0.2">
      <c r="A2206" s="16"/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</row>
    <row r="2207" spans="1:20" x14ac:dyDescent="0.2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</row>
    <row r="2208" spans="1:20" x14ac:dyDescent="0.2">
      <c r="A2208" s="16"/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</row>
    <row r="2209" spans="1:20" x14ac:dyDescent="0.2">
      <c r="A2209" s="16"/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</row>
    <row r="2210" spans="1:20" x14ac:dyDescent="0.2">
      <c r="A2210" s="16"/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</row>
    <row r="2211" spans="1:20" x14ac:dyDescent="0.2">
      <c r="A2211" s="16"/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</row>
    <row r="2212" spans="1:20" x14ac:dyDescent="0.2">
      <c r="A2212" s="16"/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</row>
    <row r="2213" spans="1:20" x14ac:dyDescent="0.2">
      <c r="A2213" s="16"/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</row>
    <row r="2214" spans="1:20" x14ac:dyDescent="0.2">
      <c r="A2214" s="16"/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</row>
    <row r="2215" spans="1:20" x14ac:dyDescent="0.2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</row>
    <row r="2216" spans="1:20" x14ac:dyDescent="0.2">
      <c r="A2216" s="16"/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</row>
    <row r="2217" spans="1:20" x14ac:dyDescent="0.2">
      <c r="A2217" s="16"/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</row>
    <row r="2218" spans="1:20" x14ac:dyDescent="0.2">
      <c r="A2218" s="16"/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</row>
    <row r="2219" spans="1:20" x14ac:dyDescent="0.2">
      <c r="A2219" s="16"/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</row>
    <row r="2220" spans="1:20" x14ac:dyDescent="0.2">
      <c r="A2220" s="16"/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</row>
    <row r="2221" spans="1:20" x14ac:dyDescent="0.2">
      <c r="A2221" s="16"/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</row>
    <row r="2222" spans="1:20" x14ac:dyDescent="0.2">
      <c r="A2222" s="16"/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</row>
    <row r="2223" spans="1:20" x14ac:dyDescent="0.2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</row>
    <row r="2224" spans="1:20" x14ac:dyDescent="0.2">
      <c r="A2224" s="16"/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</row>
    <row r="2225" spans="1:20" x14ac:dyDescent="0.2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</row>
    <row r="2226" spans="1:20" x14ac:dyDescent="0.2">
      <c r="A2226" s="16"/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</row>
    <row r="2227" spans="1:20" x14ac:dyDescent="0.2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</row>
    <row r="2228" spans="1:20" x14ac:dyDescent="0.2">
      <c r="A2228" s="16"/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</row>
    <row r="2229" spans="1:20" x14ac:dyDescent="0.2">
      <c r="A2229" s="16"/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</row>
    <row r="2230" spans="1:20" x14ac:dyDescent="0.2">
      <c r="A2230" s="16"/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</row>
    <row r="2231" spans="1:20" x14ac:dyDescent="0.2">
      <c r="A2231" s="16"/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</row>
    <row r="2232" spans="1:20" x14ac:dyDescent="0.2">
      <c r="A2232" s="16"/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</row>
    <row r="2233" spans="1:20" x14ac:dyDescent="0.2">
      <c r="A2233" s="16"/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</row>
    <row r="2234" spans="1:20" x14ac:dyDescent="0.2">
      <c r="A2234" s="16"/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</row>
    <row r="2235" spans="1:20" x14ac:dyDescent="0.2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</row>
    <row r="2236" spans="1:20" x14ac:dyDescent="0.2">
      <c r="A2236" s="16"/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</row>
    <row r="2237" spans="1:20" x14ac:dyDescent="0.2">
      <c r="A2237" s="16"/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</row>
    <row r="2238" spans="1:20" x14ac:dyDescent="0.2">
      <c r="A2238" s="16"/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</row>
    <row r="2239" spans="1:20" x14ac:dyDescent="0.2">
      <c r="A2239" s="16"/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</row>
    <row r="2240" spans="1:20" x14ac:dyDescent="0.2">
      <c r="A2240" s="16"/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</row>
    <row r="2241" spans="1:20" x14ac:dyDescent="0.2">
      <c r="A2241" s="16"/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</row>
    <row r="2242" spans="1:20" x14ac:dyDescent="0.2">
      <c r="A2242" s="16"/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</row>
    <row r="2243" spans="1:20" x14ac:dyDescent="0.2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</row>
    <row r="2244" spans="1:20" x14ac:dyDescent="0.2">
      <c r="A2244" s="16"/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</row>
    <row r="2245" spans="1:20" x14ac:dyDescent="0.2">
      <c r="A2245" s="16"/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</row>
    <row r="2246" spans="1:20" x14ac:dyDescent="0.2">
      <c r="A2246" s="16"/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</row>
    <row r="2247" spans="1:20" x14ac:dyDescent="0.2">
      <c r="A2247" s="16"/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</row>
    <row r="2248" spans="1:20" x14ac:dyDescent="0.2">
      <c r="A2248" s="16"/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</row>
    <row r="2249" spans="1:20" x14ac:dyDescent="0.2">
      <c r="A2249" s="16"/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</row>
    <row r="2250" spans="1:20" x14ac:dyDescent="0.2">
      <c r="A2250" s="16"/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</row>
    <row r="2251" spans="1:20" x14ac:dyDescent="0.2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</row>
    <row r="2252" spans="1:20" x14ac:dyDescent="0.2">
      <c r="A2252" s="16"/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</row>
    <row r="2253" spans="1:20" x14ac:dyDescent="0.2">
      <c r="A2253" s="16"/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</row>
    <row r="2254" spans="1:20" x14ac:dyDescent="0.2">
      <c r="A2254" s="16"/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</row>
    <row r="2255" spans="1:20" x14ac:dyDescent="0.2">
      <c r="A2255" s="16"/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</row>
    <row r="2256" spans="1:20" x14ac:dyDescent="0.2">
      <c r="A2256" s="16"/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</row>
    <row r="2257" spans="1:20" x14ac:dyDescent="0.2">
      <c r="A2257" s="16"/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</row>
    <row r="2258" spans="1:20" x14ac:dyDescent="0.2">
      <c r="A2258" s="16"/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</row>
    <row r="2259" spans="1:20" x14ac:dyDescent="0.2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</row>
    <row r="2260" spans="1:20" x14ac:dyDescent="0.2">
      <c r="A2260" s="16"/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</row>
    <row r="2261" spans="1:20" x14ac:dyDescent="0.2">
      <c r="A2261" s="16"/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</row>
    <row r="2262" spans="1:20" x14ac:dyDescent="0.2">
      <c r="A2262" s="16"/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</row>
    <row r="2263" spans="1:20" x14ac:dyDescent="0.2">
      <c r="A2263" s="16"/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</row>
    <row r="2264" spans="1:20" x14ac:dyDescent="0.2">
      <c r="A2264" s="16"/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</row>
    <row r="2265" spans="1:20" x14ac:dyDescent="0.2">
      <c r="A2265" s="16"/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</row>
    <row r="2266" spans="1:20" x14ac:dyDescent="0.2">
      <c r="A2266" s="16"/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</row>
    <row r="2267" spans="1:20" x14ac:dyDescent="0.2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</row>
    <row r="2268" spans="1:20" x14ac:dyDescent="0.2">
      <c r="A2268" s="16"/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</row>
    <row r="2269" spans="1:20" x14ac:dyDescent="0.2">
      <c r="A2269" s="16"/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</row>
    <row r="2270" spans="1:20" x14ac:dyDescent="0.2">
      <c r="A2270" s="16"/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</row>
    <row r="2271" spans="1:20" x14ac:dyDescent="0.2">
      <c r="A2271" s="16"/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</row>
    <row r="2272" spans="1:20" x14ac:dyDescent="0.2">
      <c r="A2272" s="16"/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</row>
    <row r="2273" spans="1:20" x14ac:dyDescent="0.2">
      <c r="A2273" s="16"/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</row>
    <row r="2274" spans="1:20" x14ac:dyDescent="0.2">
      <c r="A2274" s="16"/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</row>
    <row r="2275" spans="1:20" x14ac:dyDescent="0.2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</row>
    <row r="2276" spans="1:20" x14ac:dyDescent="0.2">
      <c r="A2276" s="16"/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</row>
    <row r="2277" spans="1:20" x14ac:dyDescent="0.2">
      <c r="A2277" s="16"/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</row>
    <row r="2278" spans="1:20" x14ac:dyDescent="0.2">
      <c r="A2278" s="16"/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</row>
    <row r="2279" spans="1:20" x14ac:dyDescent="0.2">
      <c r="A2279" s="16"/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</row>
    <row r="2280" spans="1:20" x14ac:dyDescent="0.2">
      <c r="A2280" s="16"/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</row>
    <row r="2281" spans="1:20" x14ac:dyDescent="0.2">
      <c r="A2281" s="16"/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</row>
    <row r="2282" spans="1:20" x14ac:dyDescent="0.2">
      <c r="A2282" s="16"/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</row>
    <row r="2283" spans="1:20" x14ac:dyDescent="0.2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</row>
    <row r="2284" spans="1:20" x14ac:dyDescent="0.2">
      <c r="A2284" s="16"/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</row>
    <row r="2285" spans="1:20" x14ac:dyDescent="0.2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</row>
    <row r="2286" spans="1:20" x14ac:dyDescent="0.2">
      <c r="A2286" s="16"/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</row>
    <row r="2287" spans="1:20" x14ac:dyDescent="0.2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</row>
    <row r="2288" spans="1:20" x14ac:dyDescent="0.2">
      <c r="A2288" s="16"/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</row>
    <row r="2289" spans="1:20" x14ac:dyDescent="0.2">
      <c r="A2289" s="16"/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</row>
    <row r="2290" spans="1:20" x14ac:dyDescent="0.2">
      <c r="A2290" s="16"/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</row>
    <row r="2291" spans="1:20" x14ac:dyDescent="0.2">
      <c r="A2291" s="16"/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</row>
    <row r="2292" spans="1:20" x14ac:dyDescent="0.2">
      <c r="A2292" s="16"/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</row>
    <row r="2293" spans="1:20" x14ac:dyDescent="0.2">
      <c r="A2293" s="16"/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</row>
    <row r="2294" spans="1:20" x14ac:dyDescent="0.2">
      <c r="A2294" s="16"/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</row>
    <row r="2295" spans="1:20" x14ac:dyDescent="0.2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</row>
    <row r="2296" spans="1:20" x14ac:dyDescent="0.2">
      <c r="A2296" s="16"/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</row>
    <row r="2297" spans="1:20" x14ac:dyDescent="0.2">
      <c r="A2297" s="16"/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</row>
    <row r="2298" spans="1:20" x14ac:dyDescent="0.2">
      <c r="A2298" s="16"/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</row>
    <row r="2299" spans="1:20" x14ac:dyDescent="0.2">
      <c r="A2299" s="16"/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</row>
    <row r="2300" spans="1:20" x14ac:dyDescent="0.2">
      <c r="A2300" s="16"/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</row>
    <row r="2301" spans="1:20" x14ac:dyDescent="0.2">
      <c r="A2301" s="16"/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</row>
    <row r="2302" spans="1:20" x14ac:dyDescent="0.2">
      <c r="A2302" s="16"/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</row>
    <row r="2303" spans="1:20" x14ac:dyDescent="0.2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</row>
    <row r="2304" spans="1:20" x14ac:dyDescent="0.2">
      <c r="A2304" s="16"/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</row>
    <row r="2305" spans="1:20" x14ac:dyDescent="0.2">
      <c r="A2305" s="16"/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</row>
    <row r="2306" spans="1:20" x14ac:dyDescent="0.2">
      <c r="A2306" s="16"/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</row>
    <row r="2307" spans="1:20" x14ac:dyDescent="0.2">
      <c r="A2307" s="16"/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</row>
    <row r="2308" spans="1:20" x14ac:dyDescent="0.2">
      <c r="A2308" s="16"/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</row>
    <row r="2309" spans="1:20" x14ac:dyDescent="0.2">
      <c r="A2309" s="16"/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</row>
    <row r="2310" spans="1:20" x14ac:dyDescent="0.2">
      <c r="A2310" s="16"/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</row>
    <row r="2311" spans="1:20" x14ac:dyDescent="0.2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</row>
    <row r="2312" spans="1:20" x14ac:dyDescent="0.2">
      <c r="A2312" s="16"/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</row>
    <row r="2313" spans="1:20" x14ac:dyDescent="0.2">
      <c r="A2313" s="16"/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</row>
    <row r="2314" spans="1:20" x14ac:dyDescent="0.2">
      <c r="A2314" s="16"/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</row>
    <row r="2315" spans="1:20" x14ac:dyDescent="0.2">
      <c r="A2315" s="16"/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</row>
    <row r="2316" spans="1:20" x14ac:dyDescent="0.2">
      <c r="A2316" s="16"/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</row>
    <row r="2317" spans="1:20" x14ac:dyDescent="0.2">
      <c r="A2317" s="16"/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</row>
    <row r="2318" spans="1:20" x14ac:dyDescent="0.2">
      <c r="A2318" s="16"/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</row>
    <row r="2319" spans="1:20" x14ac:dyDescent="0.2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</row>
    <row r="2320" spans="1:20" x14ac:dyDescent="0.2">
      <c r="A2320" s="16"/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</row>
    <row r="2321" spans="1:20" x14ac:dyDescent="0.2">
      <c r="A2321" s="16"/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</row>
    <row r="2322" spans="1:20" x14ac:dyDescent="0.2">
      <c r="A2322" s="16"/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</row>
    <row r="2323" spans="1:20" x14ac:dyDescent="0.2">
      <c r="A2323" s="16"/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</row>
    <row r="2324" spans="1:20" x14ac:dyDescent="0.2">
      <c r="A2324" s="16"/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</row>
    <row r="2325" spans="1:20" x14ac:dyDescent="0.2">
      <c r="A2325" s="16"/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</row>
    <row r="2326" spans="1:20" x14ac:dyDescent="0.2">
      <c r="A2326" s="16"/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</row>
    <row r="2327" spans="1:20" x14ac:dyDescent="0.2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</row>
    <row r="2328" spans="1:20" x14ac:dyDescent="0.2">
      <c r="A2328" s="16"/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</row>
    <row r="2329" spans="1:20" x14ac:dyDescent="0.2">
      <c r="A2329" s="16"/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</row>
    <row r="2330" spans="1:20" x14ac:dyDescent="0.2">
      <c r="A2330" s="16"/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</row>
    <row r="2331" spans="1:20" x14ac:dyDescent="0.2">
      <c r="A2331" s="16"/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</row>
    <row r="2332" spans="1:20" x14ac:dyDescent="0.2">
      <c r="A2332" s="16"/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</row>
    <row r="2333" spans="1:20" x14ac:dyDescent="0.2">
      <c r="A2333" s="16"/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</row>
    <row r="2334" spans="1:20" x14ac:dyDescent="0.2">
      <c r="A2334" s="16"/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</row>
    <row r="2335" spans="1:20" x14ac:dyDescent="0.2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</row>
    <row r="2336" spans="1:20" x14ac:dyDescent="0.2">
      <c r="A2336" s="16"/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</row>
    <row r="2337" spans="1:20" x14ac:dyDescent="0.2">
      <c r="A2337" s="16"/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</row>
    <row r="2338" spans="1:20" x14ac:dyDescent="0.2">
      <c r="A2338" s="16"/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</row>
    <row r="2339" spans="1:20" x14ac:dyDescent="0.2">
      <c r="A2339" s="16"/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</row>
    <row r="2340" spans="1:20" x14ac:dyDescent="0.2">
      <c r="A2340" s="16"/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</row>
    <row r="2341" spans="1:20" x14ac:dyDescent="0.2">
      <c r="A2341" s="16"/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</row>
    <row r="2342" spans="1:20" x14ac:dyDescent="0.2">
      <c r="A2342" s="16"/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</row>
    <row r="2343" spans="1:20" x14ac:dyDescent="0.2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</row>
    <row r="2344" spans="1:20" x14ac:dyDescent="0.2">
      <c r="A2344" s="16"/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</row>
    <row r="2345" spans="1:20" x14ac:dyDescent="0.2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</row>
    <row r="2346" spans="1:20" x14ac:dyDescent="0.2">
      <c r="A2346" s="16"/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</row>
    <row r="2347" spans="1:20" x14ac:dyDescent="0.2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</row>
    <row r="2348" spans="1:20" x14ac:dyDescent="0.2">
      <c r="A2348" s="16"/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</row>
    <row r="2349" spans="1:20" x14ac:dyDescent="0.2">
      <c r="A2349" s="16"/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</row>
    <row r="2350" spans="1:20" x14ac:dyDescent="0.2">
      <c r="A2350" s="16"/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</row>
    <row r="2351" spans="1:20" x14ac:dyDescent="0.2">
      <c r="A2351" s="16"/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</row>
    <row r="2352" spans="1:20" x14ac:dyDescent="0.2">
      <c r="A2352" s="16"/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</row>
    <row r="2353" spans="1:20" x14ac:dyDescent="0.2">
      <c r="A2353" s="16"/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</row>
    <row r="2354" spans="1:20" x14ac:dyDescent="0.2">
      <c r="A2354" s="16"/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</row>
    <row r="2355" spans="1:20" x14ac:dyDescent="0.2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</row>
    <row r="2356" spans="1:20" x14ac:dyDescent="0.2">
      <c r="A2356" s="16"/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</row>
    <row r="2357" spans="1:20" x14ac:dyDescent="0.2">
      <c r="A2357" s="16"/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</row>
    <row r="2358" spans="1:20" x14ac:dyDescent="0.2">
      <c r="A2358" s="16"/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</row>
    <row r="2359" spans="1:20" x14ac:dyDescent="0.2">
      <c r="A2359" s="16"/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</row>
    <row r="2360" spans="1:20" x14ac:dyDescent="0.2">
      <c r="A2360" s="16"/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</row>
    <row r="2361" spans="1:20" x14ac:dyDescent="0.2">
      <c r="A2361" s="16"/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</row>
    <row r="2362" spans="1:20" x14ac:dyDescent="0.2">
      <c r="A2362" s="16"/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</row>
    <row r="2363" spans="1:20" x14ac:dyDescent="0.2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</row>
    <row r="2364" spans="1:20" x14ac:dyDescent="0.2">
      <c r="A2364" s="16"/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</row>
    <row r="2365" spans="1:20" x14ac:dyDescent="0.2">
      <c r="A2365" s="16"/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</row>
    <row r="2366" spans="1:20" x14ac:dyDescent="0.2">
      <c r="A2366" s="16"/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</row>
    <row r="2367" spans="1:20" x14ac:dyDescent="0.2">
      <c r="A2367" s="16"/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</row>
    <row r="2368" spans="1:20" x14ac:dyDescent="0.2">
      <c r="A2368" s="16"/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</row>
    <row r="2369" spans="1:20" x14ac:dyDescent="0.2">
      <c r="A2369" s="16"/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</row>
    <row r="2370" spans="1:20" x14ac:dyDescent="0.2">
      <c r="A2370" s="16"/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</row>
    <row r="2371" spans="1:20" x14ac:dyDescent="0.2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</row>
    <row r="2372" spans="1:20" x14ac:dyDescent="0.2">
      <c r="A2372" s="16"/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</row>
    <row r="2373" spans="1:20" x14ac:dyDescent="0.2">
      <c r="A2373" s="16"/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</row>
    <row r="2374" spans="1:20" x14ac:dyDescent="0.2">
      <c r="A2374" s="16"/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</row>
    <row r="2375" spans="1:20" x14ac:dyDescent="0.2">
      <c r="A2375" s="16"/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</row>
    <row r="2376" spans="1:20" x14ac:dyDescent="0.2">
      <c r="A2376" s="16"/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</row>
    <row r="2377" spans="1:20" x14ac:dyDescent="0.2">
      <c r="A2377" s="16"/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</row>
    <row r="2378" spans="1:20" x14ac:dyDescent="0.2">
      <c r="A2378" s="16"/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</row>
    <row r="2379" spans="1:20" x14ac:dyDescent="0.2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</row>
    <row r="2380" spans="1:20" x14ac:dyDescent="0.2">
      <c r="A2380" s="16"/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</row>
    <row r="2381" spans="1:20" x14ac:dyDescent="0.2">
      <c r="A2381" s="16"/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</row>
    <row r="2382" spans="1:20" x14ac:dyDescent="0.2">
      <c r="A2382" s="16"/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</row>
    <row r="2383" spans="1:20" x14ac:dyDescent="0.2">
      <c r="A2383" s="16"/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</row>
    <row r="2384" spans="1:20" x14ac:dyDescent="0.2">
      <c r="A2384" s="16"/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</row>
    <row r="2385" spans="1:20" x14ac:dyDescent="0.2">
      <c r="A2385" s="16"/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</row>
    <row r="2386" spans="1:20" x14ac:dyDescent="0.2">
      <c r="A2386" s="16"/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</row>
    <row r="2387" spans="1:20" x14ac:dyDescent="0.2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</row>
    <row r="2388" spans="1:20" x14ac:dyDescent="0.2">
      <c r="A2388" s="16"/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</row>
    <row r="2389" spans="1:20" x14ac:dyDescent="0.2">
      <c r="A2389" s="16"/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</row>
    <row r="2390" spans="1:20" x14ac:dyDescent="0.2">
      <c r="A2390" s="16"/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</row>
    <row r="2391" spans="1:20" x14ac:dyDescent="0.2">
      <c r="A2391" s="16"/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</row>
    <row r="2392" spans="1:20" x14ac:dyDescent="0.2">
      <c r="A2392" s="16"/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</row>
    <row r="2393" spans="1:20" x14ac:dyDescent="0.2">
      <c r="A2393" s="16"/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</row>
    <row r="2394" spans="1:20" x14ac:dyDescent="0.2">
      <c r="A2394" s="16"/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</row>
    <row r="2395" spans="1:20" x14ac:dyDescent="0.2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</row>
    <row r="2396" spans="1:20" x14ac:dyDescent="0.2">
      <c r="A2396" s="16"/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</row>
    <row r="2397" spans="1:20" x14ac:dyDescent="0.2">
      <c r="A2397" s="16"/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</row>
    <row r="2398" spans="1:20" x14ac:dyDescent="0.2">
      <c r="A2398" s="16"/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</row>
    <row r="2399" spans="1:20" x14ac:dyDescent="0.2">
      <c r="A2399" s="16"/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</row>
    <row r="2400" spans="1:20" x14ac:dyDescent="0.2">
      <c r="A2400" s="16"/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</row>
    <row r="2401" spans="1:20" x14ac:dyDescent="0.2">
      <c r="A2401" s="16"/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</row>
    <row r="2402" spans="1:20" x14ac:dyDescent="0.2">
      <c r="A2402" s="16"/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</row>
    <row r="2403" spans="1:20" x14ac:dyDescent="0.2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</row>
    <row r="2404" spans="1:20" x14ac:dyDescent="0.2">
      <c r="A2404" s="16"/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</row>
    <row r="2405" spans="1:20" x14ac:dyDescent="0.2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</row>
    <row r="2406" spans="1:20" x14ac:dyDescent="0.2">
      <c r="A2406" s="16"/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</row>
    <row r="2407" spans="1:20" x14ac:dyDescent="0.2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</row>
    <row r="2408" spans="1:20" x14ac:dyDescent="0.2">
      <c r="A2408" s="16"/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</row>
    <row r="2409" spans="1:20" x14ac:dyDescent="0.2">
      <c r="A2409" s="16"/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</row>
    <row r="2410" spans="1:20" x14ac:dyDescent="0.2">
      <c r="A2410" s="16"/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</row>
    <row r="2411" spans="1:20" x14ac:dyDescent="0.2">
      <c r="A2411" s="16"/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</row>
    <row r="2412" spans="1:20" x14ac:dyDescent="0.2">
      <c r="A2412" s="16"/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</row>
    <row r="2413" spans="1:20" x14ac:dyDescent="0.2">
      <c r="A2413" s="16"/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</row>
    <row r="2414" spans="1:20" x14ac:dyDescent="0.2">
      <c r="A2414" s="16"/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</row>
    <row r="2415" spans="1:20" x14ac:dyDescent="0.2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</row>
    <row r="2416" spans="1:20" x14ac:dyDescent="0.2">
      <c r="A2416" s="16"/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</row>
    <row r="2417" spans="1:20" x14ac:dyDescent="0.2">
      <c r="A2417" s="16"/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</row>
    <row r="2418" spans="1:20" x14ac:dyDescent="0.2">
      <c r="A2418" s="16"/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</row>
    <row r="2419" spans="1:20" x14ac:dyDescent="0.2">
      <c r="A2419" s="16"/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</row>
    <row r="2420" spans="1:20" x14ac:dyDescent="0.2">
      <c r="A2420" s="16"/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</row>
    <row r="2421" spans="1:20" x14ac:dyDescent="0.2">
      <c r="A2421" s="16"/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</row>
    <row r="2422" spans="1:20" x14ac:dyDescent="0.2">
      <c r="A2422" s="16"/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</row>
    <row r="2423" spans="1:20" x14ac:dyDescent="0.2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</row>
    <row r="2424" spans="1:20" x14ac:dyDescent="0.2">
      <c r="A2424" s="16"/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</row>
    <row r="2425" spans="1:20" x14ac:dyDescent="0.2">
      <c r="A2425" s="16"/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</row>
    <row r="2426" spans="1:20" x14ac:dyDescent="0.2">
      <c r="A2426" s="16"/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</row>
    <row r="2427" spans="1:20" x14ac:dyDescent="0.2">
      <c r="A2427" s="16"/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</row>
    <row r="2428" spans="1:20" x14ac:dyDescent="0.2">
      <c r="A2428" s="16"/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</row>
    <row r="2429" spans="1:20" x14ac:dyDescent="0.2">
      <c r="A2429" s="16"/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</row>
    <row r="2430" spans="1:20" x14ac:dyDescent="0.2">
      <c r="A2430" s="16"/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</row>
    <row r="2431" spans="1:20" x14ac:dyDescent="0.2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</row>
    <row r="2432" spans="1:20" x14ac:dyDescent="0.2">
      <c r="A2432" s="16"/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</row>
    <row r="2433" spans="1:20" x14ac:dyDescent="0.2">
      <c r="A2433" s="16"/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</row>
    <row r="2434" spans="1:20" x14ac:dyDescent="0.2">
      <c r="A2434" s="16"/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</row>
    <row r="2435" spans="1:20" x14ac:dyDescent="0.2">
      <c r="A2435" s="16"/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</row>
    <row r="2436" spans="1:20" x14ac:dyDescent="0.2">
      <c r="A2436" s="16"/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</row>
    <row r="2437" spans="1:20" x14ac:dyDescent="0.2">
      <c r="A2437" s="16"/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</row>
    <row r="2438" spans="1:20" x14ac:dyDescent="0.2">
      <c r="A2438" s="16"/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</row>
    <row r="2439" spans="1:20" x14ac:dyDescent="0.2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</row>
    <row r="2440" spans="1:20" x14ac:dyDescent="0.2">
      <c r="A2440" s="16"/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</row>
    <row r="2441" spans="1:20" x14ac:dyDescent="0.2">
      <c r="A2441" s="16"/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</row>
    <row r="2442" spans="1:20" x14ac:dyDescent="0.2">
      <c r="A2442" s="16"/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</row>
    <row r="2443" spans="1:20" x14ac:dyDescent="0.2">
      <c r="A2443" s="16"/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</row>
    <row r="2444" spans="1:20" x14ac:dyDescent="0.2">
      <c r="A2444" s="16"/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</row>
    <row r="2445" spans="1:20" x14ac:dyDescent="0.2">
      <c r="A2445" s="16"/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</row>
    <row r="2446" spans="1:20" x14ac:dyDescent="0.2">
      <c r="A2446" s="16"/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</row>
    <row r="2447" spans="1:20" x14ac:dyDescent="0.2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</row>
    <row r="2448" spans="1:20" x14ac:dyDescent="0.2">
      <c r="A2448" s="16"/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</row>
    <row r="2449" spans="1:20" x14ac:dyDescent="0.2">
      <c r="A2449" s="16"/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</row>
    <row r="2450" spans="1:20" x14ac:dyDescent="0.2">
      <c r="A2450" s="16"/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</row>
    <row r="2451" spans="1:20" x14ac:dyDescent="0.2">
      <c r="A2451" s="16"/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</row>
    <row r="2452" spans="1:20" x14ac:dyDescent="0.2">
      <c r="A2452" s="16"/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</row>
    <row r="2453" spans="1:20" x14ac:dyDescent="0.2">
      <c r="A2453" s="16"/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</row>
    <row r="2454" spans="1:20" x14ac:dyDescent="0.2">
      <c r="A2454" s="16"/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</row>
    <row r="2455" spans="1:20" x14ac:dyDescent="0.2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</row>
    <row r="2456" spans="1:20" x14ac:dyDescent="0.2">
      <c r="A2456" s="16"/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</row>
    <row r="2457" spans="1:20" x14ac:dyDescent="0.2">
      <c r="A2457" s="16"/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</row>
    <row r="2458" spans="1:20" x14ac:dyDescent="0.2">
      <c r="A2458" s="16"/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</row>
    <row r="2459" spans="1:20" x14ac:dyDescent="0.2">
      <c r="A2459" s="16"/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</row>
    <row r="2460" spans="1:20" x14ac:dyDescent="0.2">
      <c r="A2460" s="16"/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</row>
    <row r="2461" spans="1:20" x14ac:dyDescent="0.2">
      <c r="A2461" s="16"/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</row>
    <row r="2462" spans="1:20" x14ac:dyDescent="0.2">
      <c r="A2462" s="16"/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</row>
    <row r="2463" spans="1:20" x14ac:dyDescent="0.2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</row>
    <row r="2464" spans="1:20" x14ac:dyDescent="0.2">
      <c r="A2464" s="16"/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</row>
    <row r="2465" spans="1:20" x14ac:dyDescent="0.2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</row>
    <row r="2466" spans="1:20" x14ac:dyDescent="0.2">
      <c r="A2466" s="16"/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</row>
    <row r="2467" spans="1:20" x14ac:dyDescent="0.2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</row>
    <row r="2468" spans="1:20" x14ac:dyDescent="0.2">
      <c r="A2468" s="16"/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</row>
    <row r="2469" spans="1:20" x14ac:dyDescent="0.2">
      <c r="A2469" s="16"/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</row>
    <row r="2470" spans="1:20" x14ac:dyDescent="0.2">
      <c r="A2470" s="16"/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</row>
    <row r="2471" spans="1:20" x14ac:dyDescent="0.2">
      <c r="A2471" s="16"/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</row>
    <row r="2472" spans="1:20" x14ac:dyDescent="0.2">
      <c r="A2472" s="16"/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</row>
    <row r="2473" spans="1:20" x14ac:dyDescent="0.2">
      <c r="A2473" s="16"/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</row>
    <row r="2474" spans="1:20" x14ac:dyDescent="0.2">
      <c r="A2474" s="16"/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</row>
    <row r="2475" spans="1:20" x14ac:dyDescent="0.2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</row>
    <row r="2476" spans="1:20" x14ac:dyDescent="0.2">
      <c r="A2476" s="16"/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</row>
    <row r="2477" spans="1:20" x14ac:dyDescent="0.2">
      <c r="A2477" s="16"/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</row>
    <row r="2478" spans="1:20" x14ac:dyDescent="0.2">
      <c r="A2478" s="16"/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</row>
    <row r="2479" spans="1:20" x14ac:dyDescent="0.2">
      <c r="A2479" s="16"/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</row>
    <row r="2480" spans="1:20" x14ac:dyDescent="0.2">
      <c r="A2480" s="16"/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</row>
    <row r="2481" spans="1:20" x14ac:dyDescent="0.2">
      <c r="A2481" s="16"/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</row>
    <row r="2482" spans="1:20" x14ac:dyDescent="0.2">
      <c r="A2482" s="16"/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</row>
    <row r="2483" spans="1:20" x14ac:dyDescent="0.2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</row>
    <row r="2484" spans="1:20" x14ac:dyDescent="0.2">
      <c r="A2484" s="16"/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</row>
    <row r="2485" spans="1:20" x14ac:dyDescent="0.2">
      <c r="A2485" s="16"/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</row>
    <row r="2486" spans="1:20" x14ac:dyDescent="0.2">
      <c r="A2486" s="16"/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</row>
    <row r="2487" spans="1:20" x14ac:dyDescent="0.2">
      <c r="A2487" s="16"/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</row>
    <row r="2488" spans="1:20" x14ac:dyDescent="0.2">
      <c r="A2488" s="16"/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</row>
    <row r="2489" spans="1:20" x14ac:dyDescent="0.2">
      <c r="A2489" s="16"/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</row>
    <row r="2490" spans="1:20" x14ac:dyDescent="0.2">
      <c r="A2490" s="16"/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</row>
    <row r="2491" spans="1:20" x14ac:dyDescent="0.2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</row>
    <row r="2492" spans="1:20" x14ac:dyDescent="0.2">
      <c r="A2492" s="16"/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</row>
    <row r="2493" spans="1:20" x14ac:dyDescent="0.2">
      <c r="A2493" s="16"/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</row>
    <row r="2494" spans="1:20" x14ac:dyDescent="0.2">
      <c r="A2494" s="16"/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</row>
    <row r="2495" spans="1:20" x14ac:dyDescent="0.2">
      <c r="A2495" s="16"/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</row>
    <row r="2496" spans="1:20" x14ac:dyDescent="0.2">
      <c r="A2496" s="16"/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</row>
    <row r="2497" spans="1:20" x14ac:dyDescent="0.2">
      <c r="A2497" s="16"/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</row>
    <row r="2498" spans="1:20" x14ac:dyDescent="0.2">
      <c r="A2498" s="16"/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</row>
    <row r="2499" spans="1:20" x14ac:dyDescent="0.2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</row>
    <row r="2500" spans="1:20" x14ac:dyDescent="0.2">
      <c r="A2500" s="16"/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</row>
    <row r="2501" spans="1:20" x14ac:dyDescent="0.2">
      <c r="A2501" s="16"/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</row>
    <row r="2502" spans="1:20" x14ac:dyDescent="0.2">
      <c r="A2502" s="16"/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</row>
    <row r="2503" spans="1:20" x14ac:dyDescent="0.2">
      <c r="A2503" s="16"/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</row>
    <row r="2504" spans="1:20" x14ac:dyDescent="0.2">
      <c r="A2504" s="16"/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</row>
    <row r="2505" spans="1:20" x14ac:dyDescent="0.2">
      <c r="A2505" s="16"/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</row>
    <row r="2506" spans="1:20" x14ac:dyDescent="0.2">
      <c r="A2506" s="16"/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</row>
    <row r="2507" spans="1:20" x14ac:dyDescent="0.2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</row>
    <row r="2508" spans="1:20" x14ac:dyDescent="0.2">
      <c r="A2508" s="16"/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</row>
    <row r="2509" spans="1:20" x14ac:dyDescent="0.2">
      <c r="A2509" s="16"/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</row>
    <row r="2510" spans="1:20" x14ac:dyDescent="0.2">
      <c r="A2510" s="16"/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</row>
    <row r="2511" spans="1:20" x14ac:dyDescent="0.2">
      <c r="A2511" s="16"/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</row>
    <row r="2512" spans="1:20" x14ac:dyDescent="0.2">
      <c r="A2512" s="16"/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</row>
    <row r="2513" spans="1:20" x14ac:dyDescent="0.2">
      <c r="A2513" s="16"/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</row>
    <row r="2514" spans="1:20" x14ac:dyDescent="0.2">
      <c r="A2514" s="16"/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</row>
    <row r="2515" spans="1:20" x14ac:dyDescent="0.2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</row>
    <row r="2516" spans="1:20" x14ac:dyDescent="0.2">
      <c r="A2516" s="16"/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</row>
    <row r="2517" spans="1:20" x14ac:dyDescent="0.2">
      <c r="A2517" s="16"/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</row>
    <row r="2518" spans="1:20" x14ac:dyDescent="0.2">
      <c r="A2518" s="16"/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</row>
    <row r="2519" spans="1:20" x14ac:dyDescent="0.2">
      <c r="A2519" s="16"/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</row>
    <row r="2520" spans="1:20" x14ac:dyDescent="0.2">
      <c r="A2520" s="16"/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</row>
    <row r="2521" spans="1:20" x14ac:dyDescent="0.2">
      <c r="A2521" s="16"/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</row>
    <row r="2522" spans="1:20" x14ac:dyDescent="0.2">
      <c r="A2522" s="16"/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</row>
    <row r="2523" spans="1:20" x14ac:dyDescent="0.2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</row>
    <row r="2524" spans="1:20" x14ac:dyDescent="0.2">
      <c r="A2524" s="16"/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</row>
    <row r="2525" spans="1:20" x14ac:dyDescent="0.2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</row>
    <row r="2526" spans="1:20" x14ac:dyDescent="0.2">
      <c r="A2526" s="16"/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</row>
    <row r="2527" spans="1:20" x14ac:dyDescent="0.2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</row>
    <row r="2528" spans="1:20" x14ac:dyDescent="0.2">
      <c r="A2528" s="16"/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</row>
    <row r="2529" spans="1:20" x14ac:dyDescent="0.2">
      <c r="A2529" s="16"/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</row>
    <row r="2530" spans="1:20" x14ac:dyDescent="0.2">
      <c r="A2530" s="16"/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</row>
    <row r="2531" spans="1:20" x14ac:dyDescent="0.2">
      <c r="A2531" s="16"/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</row>
    <row r="2532" spans="1:20" x14ac:dyDescent="0.2">
      <c r="A2532" s="16"/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</row>
    <row r="2533" spans="1:20" x14ac:dyDescent="0.2">
      <c r="A2533" s="16"/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</row>
    <row r="2534" spans="1:20" x14ac:dyDescent="0.2">
      <c r="A2534" s="16"/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</row>
    <row r="2535" spans="1:20" x14ac:dyDescent="0.2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</row>
    <row r="2536" spans="1:20" x14ac:dyDescent="0.2">
      <c r="A2536" s="16"/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</row>
    <row r="2537" spans="1:20" x14ac:dyDescent="0.2">
      <c r="A2537" s="16"/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</row>
    <row r="2538" spans="1:20" x14ac:dyDescent="0.2">
      <c r="A2538" s="16"/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</row>
    <row r="2539" spans="1:20" x14ac:dyDescent="0.2">
      <c r="A2539" s="16"/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</row>
    <row r="2540" spans="1:20" x14ac:dyDescent="0.2">
      <c r="A2540" s="16"/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</row>
    <row r="2541" spans="1:20" x14ac:dyDescent="0.2">
      <c r="A2541" s="16"/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</row>
    <row r="2542" spans="1:20" x14ac:dyDescent="0.2">
      <c r="A2542" s="16"/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</row>
    <row r="2543" spans="1:20" x14ac:dyDescent="0.2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</row>
    <row r="2544" spans="1:20" x14ac:dyDescent="0.2">
      <c r="A2544" s="16"/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</row>
    <row r="2545" spans="1:20" x14ac:dyDescent="0.2">
      <c r="A2545" s="16"/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</row>
    <row r="2546" spans="1:20" x14ac:dyDescent="0.2">
      <c r="A2546" s="16"/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</row>
    <row r="2547" spans="1:20" x14ac:dyDescent="0.2">
      <c r="A2547" s="16"/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</row>
    <row r="2548" spans="1:20" x14ac:dyDescent="0.2">
      <c r="A2548" s="16"/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</row>
    <row r="2549" spans="1:20" x14ac:dyDescent="0.2">
      <c r="A2549" s="16"/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</row>
    <row r="2550" spans="1:20" x14ac:dyDescent="0.2">
      <c r="A2550" s="16"/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</row>
    <row r="2551" spans="1:20" x14ac:dyDescent="0.2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</row>
    <row r="2552" spans="1:20" x14ac:dyDescent="0.2">
      <c r="A2552" s="16"/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</row>
    <row r="2553" spans="1:20" x14ac:dyDescent="0.2">
      <c r="A2553" s="16"/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</row>
    <row r="2554" spans="1:20" x14ac:dyDescent="0.2">
      <c r="A2554" s="16"/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</row>
    <row r="2555" spans="1:20" x14ac:dyDescent="0.2">
      <c r="A2555" s="16"/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</row>
    <row r="2556" spans="1:20" x14ac:dyDescent="0.2">
      <c r="A2556" s="16"/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</row>
    <row r="2557" spans="1:20" x14ac:dyDescent="0.2">
      <c r="A2557" s="16"/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</row>
    <row r="2558" spans="1:20" x14ac:dyDescent="0.2">
      <c r="A2558" s="16"/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</row>
    <row r="2559" spans="1:20" x14ac:dyDescent="0.2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</row>
    <row r="2560" spans="1:20" x14ac:dyDescent="0.2">
      <c r="A2560" s="16"/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</row>
    <row r="2561" spans="1:20" x14ac:dyDescent="0.2">
      <c r="A2561" s="16"/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</row>
    <row r="2562" spans="1:20" x14ac:dyDescent="0.2">
      <c r="A2562" s="16"/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</row>
    <row r="2563" spans="1:20" x14ac:dyDescent="0.2">
      <c r="A2563" s="16"/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</row>
    <row r="2564" spans="1:20" x14ac:dyDescent="0.2">
      <c r="A2564" s="16"/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</row>
    <row r="2565" spans="1:20" x14ac:dyDescent="0.2">
      <c r="A2565" s="16"/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</row>
    <row r="2566" spans="1:20" x14ac:dyDescent="0.2">
      <c r="A2566" s="16"/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</row>
    <row r="2567" spans="1:20" x14ac:dyDescent="0.2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</row>
    <row r="2568" spans="1:20" x14ac:dyDescent="0.2">
      <c r="A2568" s="16"/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</row>
    <row r="2569" spans="1:20" x14ac:dyDescent="0.2">
      <c r="A2569" s="16"/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</row>
    <row r="2570" spans="1:20" x14ac:dyDescent="0.2">
      <c r="A2570" s="16"/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</row>
    <row r="2571" spans="1:20" x14ac:dyDescent="0.2">
      <c r="A2571" s="16"/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</row>
    <row r="2572" spans="1:20" x14ac:dyDescent="0.2">
      <c r="A2572" s="16"/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</row>
    <row r="2573" spans="1:20" x14ac:dyDescent="0.2">
      <c r="A2573" s="16"/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</row>
    <row r="2574" spans="1:20" x14ac:dyDescent="0.2">
      <c r="A2574" s="16"/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</row>
    <row r="2575" spans="1:20" x14ac:dyDescent="0.2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</row>
    <row r="2576" spans="1:20" x14ac:dyDescent="0.2">
      <c r="A2576" s="16"/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</row>
    <row r="2577" spans="1:20" x14ac:dyDescent="0.2">
      <c r="A2577" s="16"/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</row>
    <row r="2578" spans="1:20" x14ac:dyDescent="0.2">
      <c r="A2578" s="16"/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</row>
    <row r="2579" spans="1:20" x14ac:dyDescent="0.2">
      <c r="A2579" s="16"/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</row>
    <row r="2580" spans="1:20" x14ac:dyDescent="0.2">
      <c r="A2580" s="16"/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</row>
    <row r="2581" spans="1:20" x14ac:dyDescent="0.2">
      <c r="A2581" s="16"/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</row>
    <row r="2582" spans="1:20" x14ac:dyDescent="0.2">
      <c r="A2582" s="16"/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</row>
    <row r="2583" spans="1:20" x14ac:dyDescent="0.2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</row>
    <row r="2584" spans="1:20" x14ac:dyDescent="0.2">
      <c r="A2584" s="16"/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</row>
    <row r="2585" spans="1:20" x14ac:dyDescent="0.2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</row>
    <row r="2586" spans="1:20" x14ac:dyDescent="0.2">
      <c r="A2586" s="16"/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</row>
    <row r="2587" spans="1:20" x14ac:dyDescent="0.2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</row>
    <row r="2588" spans="1:20" x14ac:dyDescent="0.2">
      <c r="A2588" s="16"/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</row>
    <row r="2589" spans="1:20" x14ac:dyDescent="0.2">
      <c r="A2589" s="16"/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</row>
    <row r="2590" spans="1:20" x14ac:dyDescent="0.2">
      <c r="A2590" s="16"/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</row>
    <row r="2591" spans="1:20" x14ac:dyDescent="0.2">
      <c r="A2591" s="16"/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</row>
    <row r="2592" spans="1:20" x14ac:dyDescent="0.2">
      <c r="A2592" s="16"/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</row>
    <row r="2593" spans="1:20" x14ac:dyDescent="0.2">
      <c r="A2593" s="16"/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</row>
    <row r="2594" spans="1:20" x14ac:dyDescent="0.2">
      <c r="A2594" s="16"/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</row>
    <row r="2595" spans="1:20" x14ac:dyDescent="0.2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</row>
    <row r="2596" spans="1:20" x14ac:dyDescent="0.2">
      <c r="A2596" s="16"/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</row>
    <row r="2597" spans="1:20" x14ac:dyDescent="0.2">
      <c r="A2597" s="16"/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</row>
    <row r="2598" spans="1:20" x14ac:dyDescent="0.2">
      <c r="A2598" s="16"/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</row>
    <row r="2599" spans="1:20" x14ac:dyDescent="0.2">
      <c r="A2599" s="16"/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</row>
    <row r="2600" spans="1:20" x14ac:dyDescent="0.2">
      <c r="A2600" s="16"/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</row>
    <row r="2601" spans="1:20" x14ac:dyDescent="0.2">
      <c r="A2601" s="16"/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</row>
    <row r="2602" spans="1:20" x14ac:dyDescent="0.2">
      <c r="A2602" s="16"/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</row>
    <row r="2603" spans="1:20" x14ac:dyDescent="0.2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</row>
    <row r="2604" spans="1:20" x14ac:dyDescent="0.2">
      <c r="A2604" s="16"/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</row>
    <row r="2605" spans="1:20" x14ac:dyDescent="0.2">
      <c r="A2605" s="16"/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</row>
    <row r="2606" spans="1:20" x14ac:dyDescent="0.2">
      <c r="A2606" s="16"/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</row>
    <row r="2607" spans="1:20" x14ac:dyDescent="0.2">
      <c r="A2607" s="16"/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</row>
    <row r="2608" spans="1:20" x14ac:dyDescent="0.2">
      <c r="A2608" s="16"/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</row>
    <row r="2609" spans="1:20" x14ac:dyDescent="0.2">
      <c r="A2609" s="16"/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</row>
    <row r="2610" spans="1:20" x14ac:dyDescent="0.2">
      <c r="A2610" s="16"/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</row>
    <row r="2611" spans="1:20" x14ac:dyDescent="0.2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</row>
    <row r="2612" spans="1:20" x14ac:dyDescent="0.2">
      <c r="A2612" s="16"/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</row>
    <row r="2613" spans="1:20" x14ac:dyDescent="0.2">
      <c r="A2613" s="16"/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</row>
    <row r="2614" spans="1:20" x14ac:dyDescent="0.2">
      <c r="A2614" s="16"/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</row>
    <row r="2615" spans="1:20" x14ac:dyDescent="0.2">
      <c r="A2615" s="16"/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</row>
    <row r="2616" spans="1:20" x14ac:dyDescent="0.2">
      <c r="A2616" s="16"/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</row>
    <row r="2617" spans="1:20" x14ac:dyDescent="0.2">
      <c r="A2617" s="16"/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</row>
    <row r="2618" spans="1:20" x14ac:dyDescent="0.2">
      <c r="A2618" s="16"/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</row>
    <row r="2619" spans="1:20" x14ac:dyDescent="0.2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</row>
    <row r="2620" spans="1:20" x14ac:dyDescent="0.2">
      <c r="A2620" s="16"/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</row>
    <row r="2621" spans="1:20" x14ac:dyDescent="0.2">
      <c r="A2621" s="16"/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</row>
    <row r="2622" spans="1:20" x14ac:dyDescent="0.2">
      <c r="A2622" s="16"/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</row>
    <row r="2623" spans="1:20" x14ac:dyDescent="0.2">
      <c r="A2623" s="16"/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</row>
    <row r="2624" spans="1:20" x14ac:dyDescent="0.2">
      <c r="A2624" s="16"/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</row>
    <row r="2625" spans="1:20" x14ac:dyDescent="0.2">
      <c r="A2625" s="16"/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</row>
    <row r="2626" spans="1:20" x14ac:dyDescent="0.2">
      <c r="A2626" s="16"/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</row>
    <row r="2627" spans="1:20" x14ac:dyDescent="0.2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</row>
    <row r="2628" spans="1:20" x14ac:dyDescent="0.2">
      <c r="A2628" s="16"/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</row>
    <row r="2629" spans="1:20" x14ac:dyDescent="0.2">
      <c r="A2629" s="16"/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</row>
    <row r="2630" spans="1:20" x14ac:dyDescent="0.2">
      <c r="A2630" s="16"/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</row>
    <row r="2631" spans="1:20" x14ac:dyDescent="0.2">
      <c r="A2631" s="16"/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</row>
    <row r="2632" spans="1:20" x14ac:dyDescent="0.2">
      <c r="A2632" s="16"/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</row>
    <row r="2633" spans="1:20" x14ac:dyDescent="0.2">
      <c r="A2633" s="16"/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</row>
    <row r="2634" spans="1:20" x14ac:dyDescent="0.2">
      <c r="A2634" s="16"/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</row>
    <row r="2635" spans="1:20" x14ac:dyDescent="0.2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</row>
    <row r="2636" spans="1:20" x14ac:dyDescent="0.2">
      <c r="A2636" s="16"/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</row>
    <row r="2637" spans="1:20" x14ac:dyDescent="0.2">
      <c r="A2637" s="16"/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</row>
    <row r="2638" spans="1:20" x14ac:dyDescent="0.2">
      <c r="A2638" s="16"/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</row>
    <row r="2639" spans="1:20" x14ac:dyDescent="0.2">
      <c r="A2639" s="16"/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</row>
    <row r="2640" spans="1:20" x14ac:dyDescent="0.2">
      <c r="A2640" s="16"/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</row>
    <row r="2641" spans="1:20" x14ac:dyDescent="0.2">
      <c r="A2641" s="16"/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</row>
    <row r="2642" spans="1:20" x14ac:dyDescent="0.2">
      <c r="A2642" s="16"/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</row>
    <row r="2643" spans="1:20" x14ac:dyDescent="0.2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</row>
    <row r="2644" spans="1:20" x14ac:dyDescent="0.2">
      <c r="A2644" s="16"/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</row>
    <row r="2645" spans="1:20" x14ac:dyDescent="0.2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</row>
    <row r="2646" spans="1:20" x14ac:dyDescent="0.2">
      <c r="A2646" s="16"/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</row>
    <row r="2647" spans="1:20" x14ac:dyDescent="0.2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</row>
    <row r="2648" spans="1:20" x14ac:dyDescent="0.2">
      <c r="A2648" s="16"/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</row>
    <row r="2649" spans="1:20" x14ac:dyDescent="0.2">
      <c r="A2649" s="16"/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</row>
    <row r="2650" spans="1:20" x14ac:dyDescent="0.2">
      <c r="A2650" s="16"/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</row>
    <row r="2651" spans="1:20" x14ac:dyDescent="0.2">
      <c r="A2651" s="16"/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</row>
    <row r="2652" spans="1:20" x14ac:dyDescent="0.2">
      <c r="A2652" s="16"/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</row>
    <row r="2653" spans="1:20" x14ac:dyDescent="0.2">
      <c r="A2653" s="16"/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</row>
    <row r="2654" spans="1:20" x14ac:dyDescent="0.2">
      <c r="A2654" s="16"/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</row>
    <row r="2655" spans="1:20" x14ac:dyDescent="0.2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</row>
    <row r="2656" spans="1:20" x14ac:dyDescent="0.2">
      <c r="A2656" s="16"/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</row>
    <row r="2657" spans="1:20" x14ac:dyDescent="0.2">
      <c r="A2657" s="16"/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</row>
    <row r="2658" spans="1:20" x14ac:dyDescent="0.2">
      <c r="A2658" s="16"/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</row>
    <row r="2659" spans="1:20" x14ac:dyDescent="0.2">
      <c r="A2659" s="16"/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</row>
    <row r="2660" spans="1:20" x14ac:dyDescent="0.2">
      <c r="A2660" s="16"/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</row>
    <row r="2661" spans="1:20" x14ac:dyDescent="0.2">
      <c r="A2661" s="16"/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</row>
    <row r="2662" spans="1:20" x14ac:dyDescent="0.2">
      <c r="A2662" s="16"/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</row>
    <row r="2663" spans="1:20" x14ac:dyDescent="0.2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</row>
    <row r="2664" spans="1:20" x14ac:dyDescent="0.2">
      <c r="A2664" s="16"/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</row>
    <row r="2665" spans="1:20" x14ac:dyDescent="0.2">
      <c r="A2665" s="16"/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</row>
    <row r="2666" spans="1:20" x14ac:dyDescent="0.2">
      <c r="A2666" s="16"/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</row>
    <row r="2667" spans="1:20" x14ac:dyDescent="0.2">
      <c r="A2667" s="16"/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</row>
    <row r="2668" spans="1:20" x14ac:dyDescent="0.2">
      <c r="A2668" s="16"/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</row>
    <row r="2669" spans="1:20" x14ac:dyDescent="0.2">
      <c r="A2669" s="16"/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</row>
    <row r="2670" spans="1:20" x14ac:dyDescent="0.2">
      <c r="A2670" s="16"/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</row>
    <row r="2671" spans="1:20" x14ac:dyDescent="0.2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</row>
    <row r="2672" spans="1:20" x14ac:dyDescent="0.2">
      <c r="A2672" s="16"/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</row>
    <row r="2673" spans="1:20" x14ac:dyDescent="0.2">
      <c r="A2673" s="16"/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</row>
    <row r="2674" spans="1:20" x14ac:dyDescent="0.2">
      <c r="A2674" s="16"/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</row>
    <row r="2675" spans="1:20" x14ac:dyDescent="0.2">
      <c r="A2675" s="16"/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</row>
    <row r="2676" spans="1:20" x14ac:dyDescent="0.2">
      <c r="A2676" s="16"/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</row>
    <row r="2677" spans="1:20" x14ac:dyDescent="0.2">
      <c r="A2677" s="16"/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</row>
    <row r="2678" spans="1:20" x14ac:dyDescent="0.2">
      <c r="A2678" s="16"/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</row>
    <row r="2679" spans="1:20" x14ac:dyDescent="0.2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</row>
    <row r="2680" spans="1:20" x14ac:dyDescent="0.2">
      <c r="A2680" s="16"/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</row>
    <row r="2681" spans="1:20" x14ac:dyDescent="0.2">
      <c r="A2681" s="16"/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</row>
    <row r="2682" spans="1:20" x14ac:dyDescent="0.2">
      <c r="A2682" s="16"/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</row>
    <row r="2683" spans="1:20" x14ac:dyDescent="0.2">
      <c r="A2683" s="16"/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</row>
    <row r="2684" spans="1:20" x14ac:dyDescent="0.2">
      <c r="A2684" s="16"/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</row>
    <row r="2685" spans="1:20" x14ac:dyDescent="0.2">
      <c r="A2685" s="16"/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</row>
    <row r="2686" spans="1:20" x14ac:dyDescent="0.2">
      <c r="A2686" s="16"/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</row>
    <row r="2687" spans="1:20" x14ac:dyDescent="0.2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</row>
    <row r="2688" spans="1:20" x14ac:dyDescent="0.2">
      <c r="A2688" s="16"/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</row>
    <row r="2689" spans="1:20" x14ac:dyDescent="0.2">
      <c r="A2689" s="16"/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</row>
    <row r="2690" spans="1:20" x14ac:dyDescent="0.2">
      <c r="A2690" s="16"/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</row>
    <row r="2691" spans="1:20" x14ac:dyDescent="0.2">
      <c r="A2691" s="16"/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</row>
    <row r="2692" spans="1:20" x14ac:dyDescent="0.2">
      <c r="A2692" s="16"/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</row>
    <row r="2693" spans="1:20" x14ac:dyDescent="0.2">
      <c r="A2693" s="16"/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</row>
    <row r="2694" spans="1:20" x14ac:dyDescent="0.2">
      <c r="A2694" s="16"/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</row>
    <row r="2695" spans="1:20" x14ac:dyDescent="0.2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</row>
    <row r="2696" spans="1:20" x14ac:dyDescent="0.2">
      <c r="A2696" s="16"/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</row>
    <row r="2697" spans="1:20" x14ac:dyDescent="0.2">
      <c r="A2697" s="16"/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</row>
    <row r="2698" spans="1:20" x14ac:dyDescent="0.2">
      <c r="A2698" s="16"/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</row>
    <row r="2699" spans="1:20" x14ac:dyDescent="0.2">
      <c r="A2699" s="16"/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</row>
    <row r="2700" spans="1:20" x14ac:dyDescent="0.2">
      <c r="A2700" s="16"/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</row>
    <row r="2701" spans="1:20" x14ac:dyDescent="0.2">
      <c r="A2701" s="16"/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</row>
    <row r="2702" spans="1:20" x14ac:dyDescent="0.2">
      <c r="A2702" s="16"/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</row>
    <row r="2703" spans="1:20" x14ac:dyDescent="0.2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</row>
    <row r="2704" spans="1:20" x14ac:dyDescent="0.2">
      <c r="A2704" s="16"/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</row>
    <row r="2705" spans="1:20" x14ac:dyDescent="0.2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</row>
    <row r="2706" spans="1:20" x14ac:dyDescent="0.2">
      <c r="A2706" s="16"/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</row>
    <row r="2707" spans="1:20" x14ac:dyDescent="0.2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</row>
    <row r="2708" spans="1:20" x14ac:dyDescent="0.2">
      <c r="A2708" s="16"/>
      <c r="B2708" s="16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</row>
    <row r="2709" spans="1:20" x14ac:dyDescent="0.2">
      <c r="A2709" s="16"/>
      <c r="B2709" s="16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</row>
    <row r="2710" spans="1:20" x14ac:dyDescent="0.2">
      <c r="A2710" s="16"/>
      <c r="B2710" s="16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</row>
    <row r="2711" spans="1:20" x14ac:dyDescent="0.2">
      <c r="A2711" s="16"/>
      <c r="B2711" s="16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</row>
    <row r="2712" spans="1:20" x14ac:dyDescent="0.2">
      <c r="A2712" s="16"/>
      <c r="B2712" s="16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</row>
    <row r="2713" spans="1:20" x14ac:dyDescent="0.2">
      <c r="A2713" s="16"/>
      <c r="B2713" s="16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</row>
    <row r="2714" spans="1:20" x14ac:dyDescent="0.2">
      <c r="A2714" s="16"/>
      <c r="B2714" s="16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</row>
    <row r="2715" spans="1:20" x14ac:dyDescent="0.2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</row>
    <row r="2716" spans="1:20" x14ac:dyDescent="0.2">
      <c r="A2716" s="16"/>
      <c r="B2716" s="16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</row>
    <row r="2717" spans="1:20" x14ac:dyDescent="0.2">
      <c r="A2717" s="16"/>
      <c r="B2717" s="16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</row>
    <row r="2718" spans="1:20" x14ac:dyDescent="0.2">
      <c r="A2718" s="16"/>
      <c r="B2718" s="16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</row>
    <row r="2719" spans="1:20" x14ac:dyDescent="0.2">
      <c r="A2719" s="16"/>
      <c r="B2719" s="16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</row>
    <row r="2720" spans="1:20" x14ac:dyDescent="0.2">
      <c r="A2720" s="16"/>
      <c r="B2720" s="16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</row>
    <row r="2721" spans="1:20" x14ac:dyDescent="0.2">
      <c r="A2721" s="16"/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</row>
    <row r="2722" spans="1:20" x14ac:dyDescent="0.2">
      <c r="A2722" s="16"/>
      <c r="B2722" s="16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</row>
    <row r="2723" spans="1:20" x14ac:dyDescent="0.2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</row>
    <row r="2724" spans="1:20" x14ac:dyDescent="0.2">
      <c r="A2724" s="16"/>
      <c r="B2724" s="16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</row>
    <row r="2725" spans="1:20" x14ac:dyDescent="0.2">
      <c r="A2725" s="16"/>
      <c r="B2725" s="16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</row>
    <row r="2726" spans="1:20" x14ac:dyDescent="0.2">
      <c r="A2726" s="16"/>
      <c r="B2726" s="16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</row>
    <row r="2727" spans="1:20" x14ac:dyDescent="0.2">
      <c r="A2727" s="16"/>
      <c r="B2727" s="16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</row>
    <row r="2728" spans="1:20" x14ac:dyDescent="0.2">
      <c r="A2728" s="16"/>
      <c r="B2728" s="16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</row>
    <row r="2729" spans="1:20" x14ac:dyDescent="0.2">
      <c r="A2729" s="16"/>
      <c r="B2729" s="16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</row>
    <row r="2730" spans="1:20" x14ac:dyDescent="0.2">
      <c r="A2730" s="16"/>
      <c r="B2730" s="16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</row>
    <row r="2731" spans="1:20" x14ac:dyDescent="0.2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</row>
    <row r="2732" spans="1:20" x14ac:dyDescent="0.2">
      <c r="A2732" s="16"/>
      <c r="B2732" s="16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</row>
    <row r="2733" spans="1:20" x14ac:dyDescent="0.2">
      <c r="A2733" s="16"/>
      <c r="B2733" s="16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</row>
    <row r="2734" spans="1:20" x14ac:dyDescent="0.2">
      <c r="A2734" s="16"/>
      <c r="B2734" s="16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</row>
    <row r="2735" spans="1:20" x14ac:dyDescent="0.2">
      <c r="A2735" s="16"/>
      <c r="B2735" s="16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</row>
    <row r="2736" spans="1:20" x14ac:dyDescent="0.2">
      <c r="A2736" s="16"/>
      <c r="B2736" s="16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</row>
    <row r="2737" spans="1:20" x14ac:dyDescent="0.2">
      <c r="A2737" s="16"/>
      <c r="B2737" s="16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</row>
    <row r="2738" spans="1:20" x14ac:dyDescent="0.2">
      <c r="A2738" s="16"/>
      <c r="B2738" s="16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</row>
    <row r="2739" spans="1:20" x14ac:dyDescent="0.2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</row>
    <row r="2740" spans="1:20" x14ac:dyDescent="0.2">
      <c r="A2740" s="16"/>
      <c r="B2740" s="16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</row>
    <row r="2741" spans="1:20" x14ac:dyDescent="0.2">
      <c r="A2741" s="16"/>
      <c r="B2741" s="16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</row>
    <row r="2742" spans="1:20" x14ac:dyDescent="0.2">
      <c r="A2742" s="16"/>
      <c r="B2742" s="16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</row>
    <row r="2743" spans="1:20" x14ac:dyDescent="0.2">
      <c r="A2743" s="16"/>
      <c r="B2743" s="16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</row>
    <row r="2744" spans="1:20" x14ac:dyDescent="0.2">
      <c r="A2744" s="16"/>
      <c r="B2744" s="16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</row>
    <row r="2745" spans="1:20" x14ac:dyDescent="0.2">
      <c r="A2745" s="16"/>
      <c r="B2745" s="16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</row>
    <row r="2746" spans="1:20" x14ac:dyDescent="0.2">
      <c r="A2746" s="16"/>
      <c r="B2746" s="16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</row>
    <row r="2747" spans="1:20" x14ac:dyDescent="0.2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</row>
    <row r="2748" spans="1:20" x14ac:dyDescent="0.2">
      <c r="A2748" s="16"/>
      <c r="B2748" s="16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</row>
    <row r="2749" spans="1:20" x14ac:dyDescent="0.2">
      <c r="A2749" s="16"/>
      <c r="B2749" s="16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</row>
    <row r="2750" spans="1:20" x14ac:dyDescent="0.2">
      <c r="A2750" s="16"/>
      <c r="B2750" s="16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</row>
    <row r="2751" spans="1:20" x14ac:dyDescent="0.2">
      <c r="A2751" s="16"/>
      <c r="B2751" s="16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</row>
    <row r="2752" spans="1:20" x14ac:dyDescent="0.2">
      <c r="A2752" s="16"/>
      <c r="B2752" s="16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</row>
    <row r="2753" spans="1:20" x14ac:dyDescent="0.2">
      <c r="A2753" s="16"/>
      <c r="B2753" s="16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</row>
    <row r="2754" spans="1:20" x14ac:dyDescent="0.2">
      <c r="A2754" s="16"/>
      <c r="B2754" s="16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</row>
    <row r="2755" spans="1:20" x14ac:dyDescent="0.2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</row>
    <row r="2756" spans="1:20" x14ac:dyDescent="0.2">
      <c r="A2756" s="16"/>
      <c r="B2756" s="16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</row>
    <row r="2757" spans="1:20" x14ac:dyDescent="0.2">
      <c r="A2757" s="16"/>
      <c r="B2757" s="16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</row>
    <row r="2758" spans="1:20" x14ac:dyDescent="0.2">
      <c r="A2758" s="16"/>
      <c r="B2758" s="16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</row>
    <row r="2759" spans="1:20" x14ac:dyDescent="0.2">
      <c r="A2759" s="16"/>
      <c r="B2759" s="16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</row>
    <row r="2760" spans="1:20" x14ac:dyDescent="0.2">
      <c r="A2760" s="16"/>
      <c r="B2760" s="16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</row>
    <row r="2761" spans="1:20" x14ac:dyDescent="0.2">
      <c r="A2761" s="16"/>
      <c r="B2761" s="16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</row>
    <row r="2762" spans="1:20" x14ac:dyDescent="0.2">
      <c r="A2762" s="16"/>
      <c r="B2762" s="16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</row>
    <row r="2763" spans="1:20" x14ac:dyDescent="0.2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</row>
    <row r="2764" spans="1:20" x14ac:dyDescent="0.2">
      <c r="A2764" s="16"/>
      <c r="B2764" s="16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</row>
    <row r="2765" spans="1:20" x14ac:dyDescent="0.2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</row>
    <row r="2766" spans="1:20" x14ac:dyDescent="0.2">
      <c r="A2766" s="16"/>
      <c r="B2766" s="16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</row>
    <row r="2767" spans="1:20" x14ac:dyDescent="0.2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</row>
    <row r="2768" spans="1:20" x14ac:dyDescent="0.2">
      <c r="A2768" s="16"/>
      <c r="B2768" s="16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</row>
    <row r="2769" spans="1:20" x14ac:dyDescent="0.2">
      <c r="A2769" s="16"/>
      <c r="B2769" s="16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</row>
    <row r="2770" spans="1:20" x14ac:dyDescent="0.2">
      <c r="A2770" s="16"/>
      <c r="B2770" s="16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</row>
    <row r="2771" spans="1:20" x14ac:dyDescent="0.2">
      <c r="A2771" s="16"/>
      <c r="B2771" s="16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</row>
    <row r="2772" spans="1:20" x14ac:dyDescent="0.2">
      <c r="A2772" s="16"/>
      <c r="B2772" s="16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</row>
    <row r="2773" spans="1:20" x14ac:dyDescent="0.2">
      <c r="A2773" s="16"/>
      <c r="B2773" s="16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</row>
    <row r="2774" spans="1:20" x14ac:dyDescent="0.2">
      <c r="A2774" s="16"/>
      <c r="B2774" s="16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</row>
    <row r="2775" spans="1:20" x14ac:dyDescent="0.2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</row>
    <row r="2776" spans="1:20" x14ac:dyDescent="0.2">
      <c r="A2776" s="16"/>
      <c r="B2776" s="16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</row>
    <row r="2777" spans="1:20" x14ac:dyDescent="0.2">
      <c r="A2777" s="16"/>
      <c r="B2777" s="16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</row>
    <row r="2778" spans="1:20" x14ac:dyDescent="0.2">
      <c r="A2778" s="16"/>
      <c r="B2778" s="16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</row>
    <row r="2779" spans="1:20" x14ac:dyDescent="0.2">
      <c r="A2779" s="16"/>
      <c r="B2779" s="16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</row>
    <row r="2780" spans="1:20" x14ac:dyDescent="0.2">
      <c r="A2780" s="16"/>
      <c r="B2780" s="16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</row>
    <row r="2781" spans="1:20" x14ac:dyDescent="0.2">
      <c r="A2781" s="16"/>
      <c r="B2781" s="16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</row>
    <row r="2782" spans="1:20" x14ac:dyDescent="0.2">
      <c r="A2782" s="16"/>
      <c r="B2782" s="16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</row>
    <row r="2783" spans="1:20" x14ac:dyDescent="0.2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</row>
    <row r="2784" spans="1:20" x14ac:dyDescent="0.2">
      <c r="A2784" s="16"/>
      <c r="B2784" s="16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</row>
    <row r="2785" spans="1:20" x14ac:dyDescent="0.2">
      <c r="A2785" s="16"/>
      <c r="B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</row>
    <row r="2786" spans="1:20" x14ac:dyDescent="0.2">
      <c r="A2786" s="16"/>
      <c r="B2786" s="16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</row>
    <row r="2787" spans="1:20" x14ac:dyDescent="0.2">
      <c r="A2787" s="16"/>
      <c r="B2787" s="16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</row>
    <row r="2788" spans="1:20" x14ac:dyDescent="0.2">
      <c r="A2788" s="16"/>
      <c r="B2788" s="16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</row>
    <row r="2789" spans="1:20" x14ac:dyDescent="0.2">
      <c r="A2789" s="16"/>
      <c r="B2789" s="16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</row>
    <row r="2790" spans="1:20" x14ac:dyDescent="0.2">
      <c r="A2790" s="16"/>
      <c r="B2790" s="16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</row>
    <row r="2791" spans="1:20" x14ac:dyDescent="0.2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</row>
    <row r="2792" spans="1:20" x14ac:dyDescent="0.2">
      <c r="A2792" s="16"/>
      <c r="B2792" s="16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</row>
    <row r="2793" spans="1:20" x14ac:dyDescent="0.2">
      <c r="A2793" s="16"/>
      <c r="B2793" s="16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</row>
    <row r="2794" spans="1:20" x14ac:dyDescent="0.2">
      <c r="A2794" s="16"/>
      <c r="B2794" s="16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</row>
    <row r="2795" spans="1:20" x14ac:dyDescent="0.2">
      <c r="A2795" s="16"/>
      <c r="B2795" s="16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</row>
    <row r="2796" spans="1:20" x14ac:dyDescent="0.2">
      <c r="A2796" s="16"/>
      <c r="B2796" s="16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</row>
    <row r="2797" spans="1:20" x14ac:dyDescent="0.2">
      <c r="A2797" s="16"/>
      <c r="B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</row>
    <row r="2798" spans="1:20" x14ac:dyDescent="0.2">
      <c r="A2798" s="16"/>
      <c r="B2798" s="16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</row>
    <row r="2799" spans="1:20" x14ac:dyDescent="0.2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</row>
    <row r="2800" spans="1:20" x14ac:dyDescent="0.2">
      <c r="A2800" s="16"/>
      <c r="B2800" s="16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</row>
    <row r="2801" spans="1:20" x14ac:dyDescent="0.2">
      <c r="A2801" s="16"/>
      <c r="B2801" s="16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</row>
    <row r="2802" spans="1:20" x14ac:dyDescent="0.2">
      <c r="A2802" s="16"/>
      <c r="B2802" s="16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</row>
    <row r="2803" spans="1:20" x14ac:dyDescent="0.2">
      <c r="A2803" s="16"/>
      <c r="B2803" s="16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</row>
    <row r="2804" spans="1:20" x14ac:dyDescent="0.2">
      <c r="A2804" s="16"/>
      <c r="B2804" s="16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</row>
    <row r="2805" spans="1:20" x14ac:dyDescent="0.2">
      <c r="A2805" s="16"/>
      <c r="B2805" s="16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</row>
    <row r="2806" spans="1:20" x14ac:dyDescent="0.2">
      <c r="A2806" s="16"/>
      <c r="B2806" s="16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</row>
    <row r="2807" spans="1:20" x14ac:dyDescent="0.2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</row>
    <row r="2808" spans="1:20" x14ac:dyDescent="0.2">
      <c r="A2808" s="16"/>
      <c r="B2808" s="16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</row>
    <row r="2809" spans="1:20" x14ac:dyDescent="0.2">
      <c r="A2809" s="16"/>
      <c r="B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</row>
    <row r="2810" spans="1:20" x14ac:dyDescent="0.2">
      <c r="A2810" s="16"/>
      <c r="B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</row>
    <row r="2811" spans="1:20" x14ac:dyDescent="0.2">
      <c r="A2811" s="16"/>
      <c r="B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</row>
    <row r="2812" spans="1:20" x14ac:dyDescent="0.2">
      <c r="A2812" s="16"/>
      <c r="B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</row>
    <row r="2813" spans="1:20" x14ac:dyDescent="0.2">
      <c r="A2813" s="16"/>
      <c r="B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</row>
    <row r="2814" spans="1:20" x14ac:dyDescent="0.2">
      <c r="A2814" s="16"/>
      <c r="B2814" s="16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</row>
    <row r="2815" spans="1:20" x14ac:dyDescent="0.2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</row>
    <row r="2816" spans="1:20" x14ac:dyDescent="0.2">
      <c r="A2816" s="16"/>
      <c r="B2816" s="16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</row>
    <row r="2817" spans="1:20" x14ac:dyDescent="0.2">
      <c r="A2817" s="16"/>
      <c r="B2817" s="16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</row>
    <row r="2818" spans="1:20" x14ac:dyDescent="0.2">
      <c r="A2818" s="16"/>
      <c r="B2818" s="16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</row>
    <row r="2819" spans="1:20" x14ac:dyDescent="0.2">
      <c r="A2819" s="16"/>
      <c r="B2819" s="16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</row>
    <row r="2820" spans="1:20" x14ac:dyDescent="0.2">
      <c r="A2820" s="16"/>
      <c r="B2820" s="16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</row>
    <row r="2821" spans="1:20" x14ac:dyDescent="0.2">
      <c r="A2821" s="16"/>
      <c r="B2821" s="16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</row>
    <row r="2822" spans="1:20" x14ac:dyDescent="0.2">
      <c r="A2822" s="16"/>
      <c r="B2822" s="16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</row>
    <row r="2823" spans="1:20" x14ac:dyDescent="0.2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</row>
    <row r="2824" spans="1:20" x14ac:dyDescent="0.2">
      <c r="A2824" s="16"/>
      <c r="B2824" s="16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</row>
    <row r="2825" spans="1:20" x14ac:dyDescent="0.2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</row>
    <row r="2826" spans="1:20" x14ac:dyDescent="0.2">
      <c r="A2826" s="16"/>
      <c r="B2826" s="16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</row>
    <row r="2827" spans="1:20" x14ac:dyDescent="0.2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</row>
    <row r="2828" spans="1:20" x14ac:dyDescent="0.2">
      <c r="A2828" s="16"/>
      <c r="B2828" s="16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</row>
    <row r="2829" spans="1:20" x14ac:dyDescent="0.2">
      <c r="A2829" s="16"/>
      <c r="B2829" s="16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</row>
    <row r="2830" spans="1:20" x14ac:dyDescent="0.2">
      <c r="A2830" s="16"/>
      <c r="B2830" s="16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</row>
    <row r="2831" spans="1:20" x14ac:dyDescent="0.2">
      <c r="A2831" s="16"/>
      <c r="B2831" s="16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</row>
    <row r="2832" spans="1:20" x14ac:dyDescent="0.2">
      <c r="A2832" s="16"/>
      <c r="B2832" s="16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</row>
    <row r="2833" spans="1:20" x14ac:dyDescent="0.2">
      <c r="A2833" s="16"/>
      <c r="B2833" s="16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</row>
    <row r="2834" spans="1:20" x14ac:dyDescent="0.2">
      <c r="A2834" s="16"/>
      <c r="B2834" s="16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</row>
    <row r="2835" spans="1:20" x14ac:dyDescent="0.2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</row>
    <row r="2836" spans="1:20" x14ac:dyDescent="0.2">
      <c r="A2836" s="16"/>
      <c r="B2836" s="16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</row>
    <row r="2837" spans="1:20" x14ac:dyDescent="0.2">
      <c r="A2837" s="16"/>
      <c r="B2837" s="16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</row>
    <row r="2838" spans="1:20" x14ac:dyDescent="0.2">
      <c r="A2838" s="16"/>
      <c r="B2838" s="16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</row>
    <row r="2839" spans="1:20" x14ac:dyDescent="0.2">
      <c r="A2839" s="16"/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</row>
    <row r="2840" spans="1:20" x14ac:dyDescent="0.2">
      <c r="A2840" s="16"/>
      <c r="B2840" s="16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</row>
    <row r="2841" spans="1:20" x14ac:dyDescent="0.2">
      <c r="A2841" s="16"/>
      <c r="B2841" s="16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</row>
    <row r="2842" spans="1:20" x14ac:dyDescent="0.2">
      <c r="A2842" s="16"/>
      <c r="B2842" s="16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</row>
    <row r="2843" spans="1:20" x14ac:dyDescent="0.2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</row>
    <row r="2844" spans="1:20" x14ac:dyDescent="0.2">
      <c r="A2844" s="16"/>
      <c r="B2844" s="16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</row>
    <row r="2845" spans="1:20" x14ac:dyDescent="0.2">
      <c r="A2845" s="16"/>
      <c r="B2845" s="16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</row>
    <row r="2846" spans="1:20" x14ac:dyDescent="0.2">
      <c r="A2846" s="16"/>
      <c r="B2846" s="16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</row>
    <row r="2847" spans="1:20" x14ac:dyDescent="0.2">
      <c r="A2847" s="16"/>
      <c r="B2847" s="16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</row>
    <row r="2848" spans="1:20" x14ac:dyDescent="0.2">
      <c r="A2848" s="16"/>
      <c r="B2848" s="16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</row>
    <row r="2849" spans="1:20" x14ac:dyDescent="0.2">
      <c r="A2849" s="16"/>
      <c r="B2849" s="16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</row>
    <row r="2850" spans="1:20" x14ac:dyDescent="0.2">
      <c r="A2850" s="16"/>
      <c r="B2850" s="16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</row>
    <row r="2851" spans="1:20" x14ac:dyDescent="0.2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</row>
    <row r="2852" spans="1:20" x14ac:dyDescent="0.2">
      <c r="A2852" s="16"/>
      <c r="B2852" s="16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</row>
    <row r="2853" spans="1:20" x14ac:dyDescent="0.2">
      <c r="A2853" s="16"/>
      <c r="B2853" s="16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</row>
    <row r="2854" spans="1:20" x14ac:dyDescent="0.2">
      <c r="A2854" s="16"/>
      <c r="B2854" s="16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</row>
    <row r="2855" spans="1:20" x14ac:dyDescent="0.2">
      <c r="A2855" s="16"/>
      <c r="B2855" s="16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</row>
    <row r="2856" spans="1:20" x14ac:dyDescent="0.2">
      <c r="A2856" s="16"/>
      <c r="B2856" s="16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</row>
    <row r="2857" spans="1:20" x14ac:dyDescent="0.2">
      <c r="A2857" s="16"/>
      <c r="B2857" s="16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</row>
    <row r="2858" spans="1:20" x14ac:dyDescent="0.2">
      <c r="A2858" s="16"/>
      <c r="B2858" s="16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</row>
    <row r="2859" spans="1:20" x14ac:dyDescent="0.2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</row>
    <row r="2860" spans="1:20" x14ac:dyDescent="0.2">
      <c r="A2860" s="16"/>
      <c r="B2860" s="16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</row>
    <row r="2861" spans="1:20" x14ac:dyDescent="0.2">
      <c r="A2861" s="16"/>
      <c r="B2861" s="16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</row>
    <row r="2862" spans="1:20" x14ac:dyDescent="0.2">
      <c r="A2862" s="16"/>
      <c r="B2862" s="16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</row>
    <row r="2863" spans="1:20" x14ac:dyDescent="0.2">
      <c r="A2863" s="16"/>
      <c r="B2863" s="16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</row>
    <row r="2864" spans="1:20" x14ac:dyDescent="0.2">
      <c r="A2864" s="16"/>
      <c r="B2864" s="16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</row>
    <row r="2865" spans="1:20" x14ac:dyDescent="0.2">
      <c r="A2865" s="16"/>
      <c r="B2865" s="16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</row>
    <row r="2866" spans="1:20" x14ac:dyDescent="0.2">
      <c r="A2866" s="16"/>
      <c r="B2866" s="16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</row>
    <row r="2867" spans="1:20" x14ac:dyDescent="0.2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</row>
    <row r="2868" spans="1:20" x14ac:dyDescent="0.2">
      <c r="A2868" s="16"/>
      <c r="B2868" s="16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</row>
    <row r="2869" spans="1:20" x14ac:dyDescent="0.2">
      <c r="A2869" s="16"/>
      <c r="B2869" s="16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</row>
    <row r="2870" spans="1:20" x14ac:dyDescent="0.2">
      <c r="A2870" s="16"/>
      <c r="B2870" s="16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</row>
    <row r="2871" spans="1:20" x14ac:dyDescent="0.2">
      <c r="A2871" s="16"/>
      <c r="B2871" s="16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</row>
    <row r="2872" spans="1:20" x14ac:dyDescent="0.2">
      <c r="A2872" s="16"/>
      <c r="B2872" s="16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</row>
    <row r="2873" spans="1:20" x14ac:dyDescent="0.2">
      <c r="A2873" s="16"/>
      <c r="B2873" s="16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</row>
    <row r="2874" spans="1:20" x14ac:dyDescent="0.2">
      <c r="A2874" s="16"/>
      <c r="B2874" s="16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</row>
    <row r="2875" spans="1:20" x14ac:dyDescent="0.2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</row>
    <row r="2876" spans="1:20" x14ac:dyDescent="0.2">
      <c r="A2876" s="16"/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</row>
    <row r="2877" spans="1:20" x14ac:dyDescent="0.2">
      <c r="A2877" s="16"/>
      <c r="B2877" s="16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</row>
    <row r="2878" spans="1:20" x14ac:dyDescent="0.2">
      <c r="A2878" s="16"/>
      <c r="B2878" s="16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</row>
    <row r="2879" spans="1:20" x14ac:dyDescent="0.2">
      <c r="A2879" s="16"/>
      <c r="B2879" s="16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</row>
    <row r="2880" spans="1:20" x14ac:dyDescent="0.2">
      <c r="A2880" s="16"/>
      <c r="B2880" s="16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</row>
    <row r="2881" spans="1:20" x14ac:dyDescent="0.2">
      <c r="A2881" s="16"/>
      <c r="B2881" s="16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</row>
    <row r="2882" spans="1:20" x14ac:dyDescent="0.2">
      <c r="A2882" s="16"/>
      <c r="B2882" s="16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</row>
    <row r="2883" spans="1:20" x14ac:dyDescent="0.2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</row>
    <row r="2884" spans="1:20" x14ac:dyDescent="0.2">
      <c r="A2884" s="16"/>
      <c r="B2884" s="16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</row>
    <row r="2885" spans="1:20" x14ac:dyDescent="0.2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</row>
    <row r="2886" spans="1:20" x14ac:dyDescent="0.2">
      <c r="A2886" s="16"/>
      <c r="B2886" s="16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</row>
    <row r="2887" spans="1:20" x14ac:dyDescent="0.2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</row>
    <row r="2888" spans="1:20" x14ac:dyDescent="0.2">
      <c r="A2888" s="16"/>
      <c r="B2888" s="16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</row>
    <row r="2889" spans="1:20" x14ac:dyDescent="0.2">
      <c r="A2889" s="16"/>
      <c r="B2889" s="16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</row>
    <row r="2890" spans="1:20" x14ac:dyDescent="0.2">
      <c r="A2890" s="16"/>
      <c r="B2890" s="16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</row>
    <row r="2891" spans="1:20" x14ac:dyDescent="0.2">
      <c r="A2891" s="16"/>
      <c r="B2891" s="16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</row>
    <row r="2892" spans="1:20" x14ac:dyDescent="0.2">
      <c r="A2892" s="16"/>
      <c r="B2892" s="16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</row>
    <row r="2893" spans="1:20" x14ac:dyDescent="0.2">
      <c r="A2893" s="16"/>
      <c r="B2893" s="16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</row>
    <row r="2894" spans="1:20" x14ac:dyDescent="0.2">
      <c r="A2894" s="16"/>
      <c r="B2894" s="16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</row>
    <row r="2895" spans="1:20" x14ac:dyDescent="0.2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</row>
    <row r="2896" spans="1:20" x14ac:dyDescent="0.2">
      <c r="A2896" s="16"/>
      <c r="B2896" s="16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</row>
    <row r="2897" spans="1:20" x14ac:dyDescent="0.2">
      <c r="A2897" s="16"/>
      <c r="B2897" s="16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</row>
    <row r="2898" spans="1:20" x14ac:dyDescent="0.2">
      <c r="A2898" s="16"/>
      <c r="B2898" s="16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</row>
    <row r="2899" spans="1:20" x14ac:dyDescent="0.2">
      <c r="A2899" s="16"/>
      <c r="B2899" s="16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</row>
    <row r="2900" spans="1:20" x14ac:dyDescent="0.2">
      <c r="A2900" s="16"/>
      <c r="B2900" s="16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</row>
    <row r="2901" spans="1:20" x14ac:dyDescent="0.2">
      <c r="A2901" s="16"/>
      <c r="B2901" s="16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</row>
    <row r="2902" spans="1:20" x14ac:dyDescent="0.2">
      <c r="A2902" s="16"/>
      <c r="B2902" s="16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</row>
    <row r="2903" spans="1:20" x14ac:dyDescent="0.2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</row>
    <row r="2904" spans="1:20" x14ac:dyDescent="0.2">
      <c r="A2904" s="16"/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</row>
    <row r="2905" spans="1:20" x14ac:dyDescent="0.2">
      <c r="A2905" s="16"/>
      <c r="B2905" s="16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</row>
    <row r="2906" spans="1:20" x14ac:dyDescent="0.2">
      <c r="A2906" s="16"/>
      <c r="B2906" s="16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</row>
    <row r="2907" spans="1:20" x14ac:dyDescent="0.2">
      <c r="A2907" s="16"/>
      <c r="B2907" s="16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</row>
    <row r="2908" spans="1:20" x14ac:dyDescent="0.2">
      <c r="A2908" s="16"/>
      <c r="B2908" s="16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</row>
    <row r="2909" spans="1:20" x14ac:dyDescent="0.2">
      <c r="A2909" s="16"/>
      <c r="B2909" s="16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</row>
    <row r="2910" spans="1:20" x14ac:dyDescent="0.2">
      <c r="A2910" s="16"/>
      <c r="B2910" s="16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</row>
    <row r="2911" spans="1:20" x14ac:dyDescent="0.2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</row>
    <row r="2912" spans="1:20" x14ac:dyDescent="0.2">
      <c r="A2912" s="16"/>
      <c r="B2912" s="16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</row>
    <row r="2913" spans="1:20" x14ac:dyDescent="0.2">
      <c r="A2913" s="16"/>
      <c r="B2913" s="16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</row>
    <row r="2914" spans="1:20" x14ac:dyDescent="0.2">
      <c r="A2914" s="16"/>
      <c r="B2914" s="16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</row>
    <row r="2915" spans="1:20" x14ac:dyDescent="0.2">
      <c r="A2915" s="16"/>
      <c r="B2915" s="16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</row>
    <row r="2916" spans="1:20" x14ac:dyDescent="0.2">
      <c r="A2916" s="16"/>
      <c r="B2916" s="16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</row>
    <row r="2917" spans="1:20" x14ac:dyDescent="0.2">
      <c r="A2917" s="16"/>
      <c r="B2917" s="16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</row>
    <row r="2918" spans="1:20" x14ac:dyDescent="0.2">
      <c r="A2918" s="16"/>
      <c r="B2918" s="16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</row>
    <row r="2919" spans="1:20" x14ac:dyDescent="0.2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</row>
    <row r="2920" spans="1:20" x14ac:dyDescent="0.2">
      <c r="A2920" s="16"/>
      <c r="B2920" s="16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</row>
    <row r="2921" spans="1:20" x14ac:dyDescent="0.2">
      <c r="A2921" s="16"/>
      <c r="B2921" s="16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</row>
    <row r="2922" spans="1:20" x14ac:dyDescent="0.2">
      <c r="A2922" s="16"/>
      <c r="B2922" s="16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</row>
    <row r="2923" spans="1:20" x14ac:dyDescent="0.2">
      <c r="A2923" s="16"/>
      <c r="B2923" s="16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</row>
    <row r="2924" spans="1:20" x14ac:dyDescent="0.2">
      <c r="A2924" s="16"/>
      <c r="B2924" s="16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</row>
    <row r="2925" spans="1:20" x14ac:dyDescent="0.2">
      <c r="A2925" s="16"/>
      <c r="B2925" s="16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</row>
    <row r="2926" spans="1:20" x14ac:dyDescent="0.2">
      <c r="A2926" s="16"/>
      <c r="B2926" s="16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</row>
    <row r="2927" spans="1:20" x14ac:dyDescent="0.2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</row>
    <row r="2928" spans="1:20" x14ac:dyDescent="0.2">
      <c r="A2928" s="16"/>
      <c r="B2928" s="16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</row>
    <row r="2929" spans="1:20" x14ac:dyDescent="0.2">
      <c r="A2929" s="16"/>
      <c r="B2929" s="16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</row>
    <row r="2930" spans="1:20" x14ac:dyDescent="0.2">
      <c r="A2930" s="16"/>
      <c r="B2930" s="16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</row>
    <row r="2931" spans="1:20" x14ac:dyDescent="0.2">
      <c r="A2931" s="16"/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</row>
    <row r="2932" spans="1:20" x14ac:dyDescent="0.2">
      <c r="A2932" s="16"/>
      <c r="B2932" s="16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</row>
    <row r="2933" spans="1:20" x14ac:dyDescent="0.2">
      <c r="A2933" s="16"/>
      <c r="B2933" s="16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</row>
    <row r="2934" spans="1:20" x14ac:dyDescent="0.2">
      <c r="A2934" s="16"/>
      <c r="B2934" s="16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</row>
    <row r="2935" spans="1:20" x14ac:dyDescent="0.2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</row>
    <row r="2936" spans="1:20" x14ac:dyDescent="0.2">
      <c r="A2936" s="16"/>
      <c r="B2936" s="16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</row>
    <row r="2937" spans="1:20" x14ac:dyDescent="0.2">
      <c r="A2937" s="16"/>
      <c r="B2937" s="16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</row>
    <row r="2938" spans="1:20" x14ac:dyDescent="0.2">
      <c r="A2938" s="16"/>
      <c r="B2938" s="16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</row>
    <row r="2939" spans="1:20" x14ac:dyDescent="0.2">
      <c r="A2939" s="16"/>
      <c r="B2939" s="16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</row>
    <row r="2940" spans="1:20" x14ac:dyDescent="0.2">
      <c r="A2940" s="16"/>
      <c r="B2940" s="16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</row>
    <row r="2941" spans="1:20" x14ac:dyDescent="0.2">
      <c r="A2941" s="16"/>
      <c r="B2941" s="16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</row>
    <row r="2942" spans="1:20" x14ac:dyDescent="0.2">
      <c r="A2942" s="16"/>
      <c r="B2942" s="16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</row>
    <row r="2943" spans="1:20" x14ac:dyDescent="0.2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</row>
    <row r="2944" spans="1:20" x14ac:dyDescent="0.2">
      <c r="A2944" s="16"/>
      <c r="B2944" s="16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</row>
    <row r="2945" spans="1:20" x14ac:dyDescent="0.2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</row>
    <row r="2946" spans="1:20" x14ac:dyDescent="0.2">
      <c r="A2946" s="16"/>
      <c r="B2946" s="16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</row>
    <row r="2947" spans="1:20" x14ac:dyDescent="0.2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</row>
    <row r="2948" spans="1:20" x14ac:dyDescent="0.2">
      <c r="A2948" s="16"/>
      <c r="B2948" s="16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</row>
    <row r="2949" spans="1:20" x14ac:dyDescent="0.2">
      <c r="A2949" s="16"/>
      <c r="B2949" s="16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</row>
    <row r="2950" spans="1:20" x14ac:dyDescent="0.2">
      <c r="A2950" s="16"/>
      <c r="B2950" s="16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</row>
    <row r="2951" spans="1:20" x14ac:dyDescent="0.2">
      <c r="A2951" s="16"/>
      <c r="B2951" s="16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</row>
    <row r="2952" spans="1:20" x14ac:dyDescent="0.2">
      <c r="A2952" s="16"/>
      <c r="B2952" s="16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</row>
    <row r="2953" spans="1:20" x14ac:dyDescent="0.2">
      <c r="A2953" s="16"/>
      <c r="B2953" s="16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</row>
    <row r="2954" spans="1:20" x14ac:dyDescent="0.2">
      <c r="A2954" s="16"/>
      <c r="B2954" s="16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</row>
    <row r="2955" spans="1:20" x14ac:dyDescent="0.2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</row>
    <row r="2956" spans="1:20" x14ac:dyDescent="0.2">
      <c r="A2956" s="16"/>
      <c r="B2956" s="16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</row>
    <row r="2957" spans="1:20" x14ac:dyDescent="0.2">
      <c r="A2957" s="16"/>
      <c r="B2957" s="16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</row>
    <row r="2958" spans="1:20" x14ac:dyDescent="0.2">
      <c r="A2958" s="16"/>
      <c r="B2958" s="16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</row>
    <row r="2959" spans="1:20" x14ac:dyDescent="0.2">
      <c r="A2959" s="16"/>
      <c r="B2959" s="16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</row>
    <row r="2960" spans="1:20" x14ac:dyDescent="0.2">
      <c r="A2960" s="16"/>
      <c r="B2960" s="16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</row>
    <row r="2961" spans="1:20" x14ac:dyDescent="0.2">
      <c r="A2961" s="16"/>
      <c r="B2961" s="16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</row>
    <row r="2962" spans="1:20" x14ac:dyDescent="0.2">
      <c r="A2962" s="16"/>
      <c r="B2962" s="16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</row>
    <row r="2963" spans="1:20" x14ac:dyDescent="0.2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</row>
    <row r="2964" spans="1:20" x14ac:dyDescent="0.2">
      <c r="A2964" s="16"/>
      <c r="B2964" s="16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</row>
    <row r="2965" spans="1:20" x14ac:dyDescent="0.2">
      <c r="A2965" s="16"/>
      <c r="B2965" s="16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</row>
    <row r="2966" spans="1:20" x14ac:dyDescent="0.2">
      <c r="A2966" s="16"/>
      <c r="B2966" s="16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</row>
    <row r="2967" spans="1:20" x14ac:dyDescent="0.2">
      <c r="A2967" s="16"/>
      <c r="B2967" s="16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</row>
    <row r="2968" spans="1:20" x14ac:dyDescent="0.2">
      <c r="A2968" s="16"/>
      <c r="B2968" s="16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</row>
    <row r="2969" spans="1:20" x14ac:dyDescent="0.2">
      <c r="A2969" s="16"/>
      <c r="B2969" s="16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</row>
    <row r="2970" spans="1:20" x14ac:dyDescent="0.2">
      <c r="A2970" s="16"/>
      <c r="B2970" s="16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</row>
    <row r="2971" spans="1:20" x14ac:dyDescent="0.2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</row>
    <row r="2972" spans="1:20" x14ac:dyDescent="0.2">
      <c r="A2972" s="16"/>
      <c r="B2972" s="16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</row>
    <row r="2973" spans="1:20" x14ac:dyDescent="0.2">
      <c r="A2973" s="16"/>
      <c r="B2973" s="16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</row>
    <row r="2974" spans="1:20" x14ac:dyDescent="0.2">
      <c r="A2974" s="16"/>
      <c r="B2974" s="16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</row>
    <row r="2975" spans="1:20" x14ac:dyDescent="0.2">
      <c r="A2975" s="16"/>
      <c r="B2975" s="16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</row>
    <row r="2976" spans="1:20" x14ac:dyDescent="0.2">
      <c r="A2976" s="16"/>
      <c r="B2976" s="16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</row>
    <row r="2977" spans="1:20" x14ac:dyDescent="0.2">
      <c r="A2977" s="16"/>
      <c r="B2977" s="16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</row>
    <row r="2978" spans="1:20" x14ac:dyDescent="0.2">
      <c r="A2978" s="16"/>
      <c r="B2978" s="16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</row>
    <row r="2979" spans="1:20" x14ac:dyDescent="0.2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</row>
    <row r="2980" spans="1:20" x14ac:dyDescent="0.2">
      <c r="A2980" s="16"/>
      <c r="B2980" s="16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</row>
    <row r="2981" spans="1:20" x14ac:dyDescent="0.2">
      <c r="A2981" s="16"/>
      <c r="B2981" s="16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</row>
    <row r="2982" spans="1:20" x14ac:dyDescent="0.2">
      <c r="A2982" s="16"/>
      <c r="B2982" s="16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</row>
    <row r="2983" spans="1:20" x14ac:dyDescent="0.2">
      <c r="A2983" s="16"/>
      <c r="B2983" s="16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</row>
    <row r="2984" spans="1:20" x14ac:dyDescent="0.2">
      <c r="A2984" s="16"/>
      <c r="B2984" s="16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</row>
    <row r="2985" spans="1:20" x14ac:dyDescent="0.2">
      <c r="A2985" s="16"/>
      <c r="B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</row>
    <row r="2986" spans="1:20" x14ac:dyDescent="0.2">
      <c r="A2986" s="16"/>
      <c r="B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</row>
    <row r="2987" spans="1:20" x14ac:dyDescent="0.2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</row>
    <row r="2988" spans="1:20" x14ac:dyDescent="0.2">
      <c r="A2988" s="16"/>
      <c r="B2988" s="16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</row>
    <row r="2989" spans="1:20" x14ac:dyDescent="0.2">
      <c r="A2989" s="16"/>
      <c r="B2989" s="16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</row>
    <row r="2990" spans="1:20" x14ac:dyDescent="0.2">
      <c r="A2990" s="16"/>
      <c r="B2990" s="16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</row>
    <row r="2991" spans="1:20" x14ac:dyDescent="0.2">
      <c r="A2991" s="16"/>
      <c r="B2991" s="16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</row>
    <row r="2992" spans="1:20" x14ac:dyDescent="0.2">
      <c r="A2992" s="16"/>
      <c r="B2992" s="16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</row>
    <row r="2993" spans="1:20" x14ac:dyDescent="0.2">
      <c r="A2993" s="16"/>
      <c r="B2993" s="16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</row>
    <row r="2994" spans="1:20" x14ac:dyDescent="0.2">
      <c r="A2994" s="16"/>
      <c r="B2994" s="16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</row>
    <row r="2995" spans="1:20" x14ac:dyDescent="0.2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</row>
    <row r="2996" spans="1:20" x14ac:dyDescent="0.2">
      <c r="A2996" s="16"/>
      <c r="B2996" s="16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</row>
    <row r="2997" spans="1:20" x14ac:dyDescent="0.2">
      <c r="A2997" s="16"/>
      <c r="B2997" s="16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</row>
    <row r="2998" spans="1:20" x14ac:dyDescent="0.2">
      <c r="A2998" s="16"/>
      <c r="B2998" s="16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</row>
    <row r="2999" spans="1:20" x14ac:dyDescent="0.2">
      <c r="A2999" s="16"/>
      <c r="B2999" s="16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</row>
    <row r="3000" spans="1:20" x14ac:dyDescent="0.2">
      <c r="A3000" s="16"/>
      <c r="B3000" s="16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</row>
    <row r="3001" spans="1:20" x14ac:dyDescent="0.2">
      <c r="A3001" s="16"/>
      <c r="B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</row>
    <row r="3002" spans="1:20" x14ac:dyDescent="0.2">
      <c r="A3002" s="16"/>
      <c r="B3002" s="16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</row>
    <row r="3003" spans="1:20" x14ac:dyDescent="0.2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</row>
    <row r="3004" spans="1:20" x14ac:dyDescent="0.2">
      <c r="A3004" s="16"/>
      <c r="B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</row>
    <row r="3005" spans="1:20" x14ac:dyDescent="0.2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</row>
    <row r="3006" spans="1:20" x14ac:dyDescent="0.2">
      <c r="A3006" s="16"/>
      <c r="B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</row>
    <row r="3007" spans="1:20" x14ac:dyDescent="0.2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</row>
    <row r="3008" spans="1:20" x14ac:dyDescent="0.2">
      <c r="A3008" s="16"/>
      <c r="B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</row>
    <row r="3009" spans="1:20" x14ac:dyDescent="0.2">
      <c r="A3009" s="16"/>
      <c r="B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</row>
    <row r="3010" spans="1:20" x14ac:dyDescent="0.2">
      <c r="A3010" s="16"/>
      <c r="B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</row>
    <row r="3011" spans="1:20" x14ac:dyDescent="0.2">
      <c r="A3011" s="16"/>
      <c r="B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</row>
    <row r="3012" spans="1:20" x14ac:dyDescent="0.2">
      <c r="A3012" s="16"/>
      <c r="B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</row>
    <row r="3013" spans="1:20" x14ac:dyDescent="0.2">
      <c r="A3013" s="16"/>
      <c r="B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</row>
    <row r="3014" spans="1:20" x14ac:dyDescent="0.2">
      <c r="A3014" s="16"/>
      <c r="B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</row>
    <row r="3015" spans="1:20" x14ac:dyDescent="0.2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</row>
    <row r="3016" spans="1:20" x14ac:dyDescent="0.2">
      <c r="A3016" s="16"/>
      <c r="B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</row>
    <row r="3017" spans="1:20" x14ac:dyDescent="0.2">
      <c r="A3017" s="16"/>
      <c r="B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</row>
    <row r="3018" spans="1:20" x14ac:dyDescent="0.2">
      <c r="A3018" s="16"/>
      <c r="B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</row>
    <row r="3019" spans="1:20" x14ac:dyDescent="0.2">
      <c r="A3019" s="16"/>
      <c r="B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</row>
    <row r="3020" spans="1:20" x14ac:dyDescent="0.2">
      <c r="A3020" s="16"/>
      <c r="B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</row>
    <row r="3021" spans="1:20" x14ac:dyDescent="0.2">
      <c r="A3021" s="16"/>
      <c r="B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</row>
    <row r="3022" spans="1:20" x14ac:dyDescent="0.2">
      <c r="A3022" s="16"/>
      <c r="B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</row>
    <row r="3023" spans="1:20" x14ac:dyDescent="0.2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</row>
    <row r="3024" spans="1:20" x14ac:dyDescent="0.2">
      <c r="A3024" s="16"/>
      <c r="B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</row>
    <row r="3025" spans="1:20" x14ac:dyDescent="0.2">
      <c r="A3025" s="16"/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</row>
    <row r="3026" spans="1:20" x14ac:dyDescent="0.2">
      <c r="A3026" s="16"/>
      <c r="B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</row>
    <row r="3027" spans="1:20" x14ac:dyDescent="0.2">
      <c r="A3027" s="16"/>
      <c r="B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</row>
    <row r="3028" spans="1:20" x14ac:dyDescent="0.2">
      <c r="A3028" s="16"/>
      <c r="B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</row>
    <row r="3029" spans="1:20" x14ac:dyDescent="0.2">
      <c r="A3029" s="16"/>
      <c r="B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</row>
    <row r="3030" spans="1:20" x14ac:dyDescent="0.2">
      <c r="A3030" s="16"/>
      <c r="B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</row>
    <row r="3031" spans="1:20" x14ac:dyDescent="0.2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</row>
    <row r="3032" spans="1:20" x14ac:dyDescent="0.2">
      <c r="A3032" s="16"/>
      <c r="B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</row>
    <row r="3033" spans="1:20" x14ac:dyDescent="0.2">
      <c r="A3033" s="16"/>
      <c r="B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</row>
    <row r="3034" spans="1:20" x14ac:dyDescent="0.2">
      <c r="A3034" s="16"/>
      <c r="B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</row>
    <row r="3035" spans="1:20" x14ac:dyDescent="0.2">
      <c r="A3035" s="16"/>
      <c r="B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</row>
    <row r="3036" spans="1:20" x14ac:dyDescent="0.2">
      <c r="A3036" s="16"/>
      <c r="B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</row>
    <row r="3037" spans="1:20" x14ac:dyDescent="0.2">
      <c r="A3037" s="16"/>
      <c r="B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</row>
    <row r="3038" spans="1:20" x14ac:dyDescent="0.2">
      <c r="A3038" s="16"/>
      <c r="B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</row>
    <row r="3039" spans="1:20" x14ac:dyDescent="0.2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</row>
    <row r="3040" spans="1:20" x14ac:dyDescent="0.2">
      <c r="A3040" s="16"/>
      <c r="B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</row>
    <row r="3041" spans="1:20" x14ac:dyDescent="0.2">
      <c r="A3041" s="16"/>
      <c r="B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</row>
    <row r="3042" spans="1:20" x14ac:dyDescent="0.2">
      <c r="A3042" s="16"/>
      <c r="B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</row>
    <row r="3043" spans="1:20" x14ac:dyDescent="0.2">
      <c r="A3043" s="16"/>
      <c r="B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</row>
    <row r="3044" spans="1:20" x14ac:dyDescent="0.2">
      <c r="A3044" s="16"/>
      <c r="B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</row>
    <row r="3045" spans="1:20" x14ac:dyDescent="0.2">
      <c r="A3045" s="16"/>
      <c r="B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</row>
    <row r="3046" spans="1:20" x14ac:dyDescent="0.2">
      <c r="A3046" s="16"/>
      <c r="B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</row>
    <row r="3047" spans="1:20" x14ac:dyDescent="0.2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</row>
    <row r="3048" spans="1:20" x14ac:dyDescent="0.2">
      <c r="A3048" s="16"/>
      <c r="B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</row>
    <row r="3049" spans="1:20" x14ac:dyDescent="0.2">
      <c r="A3049" s="16"/>
      <c r="B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</row>
    <row r="3050" spans="1:20" x14ac:dyDescent="0.2">
      <c r="A3050" s="16"/>
      <c r="B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</row>
    <row r="3051" spans="1:20" x14ac:dyDescent="0.2">
      <c r="A3051" s="16"/>
      <c r="B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</row>
    <row r="3052" spans="1:20" x14ac:dyDescent="0.2">
      <c r="A3052" s="16"/>
      <c r="B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</row>
    <row r="3053" spans="1:20" x14ac:dyDescent="0.2">
      <c r="A3053" s="16"/>
      <c r="B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</row>
    <row r="3054" spans="1:20" x14ac:dyDescent="0.2">
      <c r="A3054" s="16"/>
      <c r="B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</row>
    <row r="3055" spans="1:20" x14ac:dyDescent="0.2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</row>
    <row r="3056" spans="1:20" x14ac:dyDescent="0.2">
      <c r="A3056" s="16"/>
      <c r="B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</row>
    <row r="3057" spans="1:20" x14ac:dyDescent="0.2">
      <c r="A3057" s="16"/>
      <c r="B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</row>
    <row r="3058" spans="1:20" x14ac:dyDescent="0.2">
      <c r="A3058" s="16"/>
      <c r="B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</row>
    <row r="3059" spans="1:20" x14ac:dyDescent="0.2">
      <c r="A3059" s="16"/>
      <c r="B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</row>
    <row r="3060" spans="1:20" x14ac:dyDescent="0.2">
      <c r="A3060" s="16"/>
      <c r="B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</row>
    <row r="3061" spans="1:20" x14ac:dyDescent="0.2">
      <c r="A3061" s="16"/>
      <c r="B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</row>
    <row r="3062" spans="1:20" x14ac:dyDescent="0.2">
      <c r="A3062" s="16"/>
      <c r="B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</row>
    <row r="3063" spans="1:20" x14ac:dyDescent="0.2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</row>
    <row r="3064" spans="1:20" x14ac:dyDescent="0.2">
      <c r="A3064" s="16"/>
      <c r="B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</row>
    <row r="3065" spans="1:20" x14ac:dyDescent="0.2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</row>
    <row r="3066" spans="1:20" x14ac:dyDescent="0.2">
      <c r="A3066" s="16"/>
      <c r="B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</row>
    <row r="3067" spans="1:20" x14ac:dyDescent="0.2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</row>
    <row r="3068" spans="1:20" x14ac:dyDescent="0.2">
      <c r="A3068" s="16"/>
      <c r="B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</row>
    <row r="3069" spans="1:20" x14ac:dyDescent="0.2">
      <c r="A3069" s="16"/>
      <c r="B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</row>
    <row r="3070" spans="1:20" x14ac:dyDescent="0.2">
      <c r="A3070" s="16"/>
      <c r="B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</row>
    <row r="3071" spans="1:20" x14ac:dyDescent="0.2">
      <c r="A3071" s="16"/>
      <c r="B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</row>
    <row r="3072" spans="1:20" x14ac:dyDescent="0.2">
      <c r="A3072" s="16"/>
      <c r="B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</row>
    <row r="3073" spans="1:20" x14ac:dyDescent="0.2">
      <c r="A3073" s="16"/>
      <c r="B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</row>
    <row r="3074" spans="1:20" x14ac:dyDescent="0.2">
      <c r="A3074" s="16"/>
      <c r="B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</row>
    <row r="3075" spans="1:20" x14ac:dyDescent="0.2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</row>
    <row r="3076" spans="1:20" x14ac:dyDescent="0.2">
      <c r="A3076" s="16"/>
      <c r="B3076" s="16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</row>
    <row r="3077" spans="1:20" x14ac:dyDescent="0.2">
      <c r="A3077" s="16"/>
      <c r="B3077" s="16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</row>
    <row r="3078" spans="1:20" x14ac:dyDescent="0.2">
      <c r="A3078" s="16"/>
      <c r="B3078" s="16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</row>
    <row r="3079" spans="1:20" x14ac:dyDescent="0.2">
      <c r="A3079" s="16"/>
      <c r="B3079" s="16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</row>
    <row r="3080" spans="1:20" x14ac:dyDescent="0.2">
      <c r="A3080" s="16"/>
      <c r="B3080" s="16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</row>
    <row r="3081" spans="1:20" x14ac:dyDescent="0.2">
      <c r="A3081" s="16"/>
      <c r="B3081" s="16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</row>
    <row r="3082" spans="1:20" x14ac:dyDescent="0.2">
      <c r="A3082" s="16"/>
      <c r="B3082" s="16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</row>
    <row r="3083" spans="1:20" x14ac:dyDescent="0.2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</row>
    <row r="3084" spans="1:20" x14ac:dyDescent="0.2">
      <c r="A3084" s="16"/>
      <c r="B3084" s="16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</row>
    <row r="3085" spans="1:20" x14ac:dyDescent="0.2">
      <c r="A3085" s="16"/>
      <c r="B3085" s="16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</row>
    <row r="3086" spans="1:20" x14ac:dyDescent="0.2">
      <c r="A3086" s="16"/>
      <c r="B3086" s="16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</row>
    <row r="3087" spans="1:20" x14ac:dyDescent="0.2">
      <c r="A3087" s="16"/>
      <c r="B3087" s="16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</row>
    <row r="3088" spans="1:20" x14ac:dyDescent="0.2">
      <c r="A3088" s="16"/>
      <c r="B3088" s="16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</row>
    <row r="3089" spans="1:20" x14ac:dyDescent="0.2">
      <c r="A3089" s="16"/>
      <c r="B3089" s="16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</row>
    <row r="3090" spans="1:20" x14ac:dyDescent="0.2">
      <c r="A3090" s="16"/>
      <c r="B3090" s="16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</row>
    <row r="3091" spans="1:20" x14ac:dyDescent="0.2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</row>
    <row r="3092" spans="1:20" x14ac:dyDescent="0.2">
      <c r="A3092" s="16"/>
      <c r="B3092" s="16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</row>
    <row r="3093" spans="1:20" x14ac:dyDescent="0.2">
      <c r="A3093" s="16"/>
      <c r="B3093" s="16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</row>
    <row r="3094" spans="1:20" x14ac:dyDescent="0.2">
      <c r="A3094" s="16"/>
      <c r="B3094" s="16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</row>
    <row r="3095" spans="1:20" x14ac:dyDescent="0.2">
      <c r="A3095" s="16"/>
      <c r="B3095" s="16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</row>
    <row r="3096" spans="1:20" x14ac:dyDescent="0.2">
      <c r="A3096" s="16"/>
      <c r="B3096" s="16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</row>
    <row r="3097" spans="1:20" x14ac:dyDescent="0.2">
      <c r="A3097" s="16"/>
      <c r="B3097" s="16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</row>
    <row r="3098" spans="1:20" x14ac:dyDescent="0.2">
      <c r="A3098" s="16"/>
      <c r="B3098" s="16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</row>
    <row r="3099" spans="1:20" x14ac:dyDescent="0.2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</row>
    <row r="3100" spans="1:20" x14ac:dyDescent="0.2">
      <c r="A3100" s="16"/>
      <c r="B3100" s="16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</row>
    <row r="3101" spans="1:20" x14ac:dyDescent="0.2">
      <c r="A3101" s="16"/>
      <c r="B3101" s="16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</row>
    <row r="3102" spans="1:20" x14ac:dyDescent="0.2">
      <c r="A3102" s="16"/>
      <c r="B3102" s="16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</row>
    <row r="3103" spans="1:20" x14ac:dyDescent="0.2">
      <c r="A3103" s="16"/>
      <c r="B3103" s="16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</row>
    <row r="3104" spans="1:20" x14ac:dyDescent="0.2">
      <c r="A3104" s="16"/>
      <c r="B3104" s="16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</row>
    <row r="3105" spans="1:20" x14ac:dyDescent="0.2">
      <c r="A3105" s="16"/>
      <c r="B3105" s="16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</row>
    <row r="3106" spans="1:20" x14ac:dyDescent="0.2">
      <c r="A3106" s="16"/>
      <c r="B3106" s="16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</row>
    <row r="3107" spans="1:20" x14ac:dyDescent="0.2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</row>
    <row r="3108" spans="1:20" x14ac:dyDescent="0.2">
      <c r="A3108" s="16"/>
      <c r="B3108" s="16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</row>
    <row r="3109" spans="1:20" x14ac:dyDescent="0.2">
      <c r="A3109" s="16"/>
      <c r="B3109" s="16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</row>
    <row r="3110" spans="1:20" x14ac:dyDescent="0.2">
      <c r="A3110" s="16"/>
      <c r="B3110" s="16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</row>
    <row r="3111" spans="1:20" x14ac:dyDescent="0.2">
      <c r="A3111" s="16"/>
      <c r="B3111" s="16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</row>
    <row r="3112" spans="1:20" x14ac:dyDescent="0.2">
      <c r="A3112" s="16"/>
      <c r="B3112" s="16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</row>
    <row r="3113" spans="1:20" x14ac:dyDescent="0.2">
      <c r="A3113" s="16"/>
      <c r="B3113" s="16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</row>
    <row r="3114" spans="1:20" x14ac:dyDescent="0.2">
      <c r="A3114" s="16"/>
      <c r="B3114" s="16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</row>
    <row r="3115" spans="1:20" x14ac:dyDescent="0.2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</row>
    <row r="3116" spans="1:20" x14ac:dyDescent="0.2">
      <c r="A3116" s="16"/>
      <c r="B3116" s="16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</row>
    <row r="3117" spans="1:20" x14ac:dyDescent="0.2">
      <c r="A3117" s="16"/>
      <c r="B3117" s="16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</row>
    <row r="3118" spans="1:20" x14ac:dyDescent="0.2">
      <c r="A3118" s="16"/>
      <c r="B3118" s="16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</row>
    <row r="3119" spans="1:20" x14ac:dyDescent="0.2">
      <c r="A3119" s="16"/>
      <c r="B3119" s="16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</row>
    <row r="3120" spans="1:20" x14ac:dyDescent="0.2">
      <c r="A3120" s="16"/>
      <c r="B3120" s="16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</row>
    <row r="3121" spans="1:20" x14ac:dyDescent="0.2">
      <c r="A3121" s="16"/>
      <c r="B3121" s="16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</row>
    <row r="3122" spans="1:20" x14ac:dyDescent="0.2">
      <c r="A3122" s="16"/>
      <c r="B3122" s="16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</row>
    <row r="3123" spans="1:20" x14ac:dyDescent="0.2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</row>
    <row r="3124" spans="1:20" x14ac:dyDescent="0.2">
      <c r="A3124" s="16"/>
      <c r="B3124" s="16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</row>
    <row r="3125" spans="1:20" x14ac:dyDescent="0.2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</row>
    <row r="3126" spans="1:20" x14ac:dyDescent="0.2">
      <c r="A3126" s="16"/>
      <c r="B3126" s="16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</row>
    <row r="3127" spans="1:20" x14ac:dyDescent="0.2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</row>
    <row r="3128" spans="1:20" x14ac:dyDescent="0.2">
      <c r="A3128" s="16"/>
      <c r="B3128" s="16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</row>
    <row r="3129" spans="1:20" x14ac:dyDescent="0.2">
      <c r="A3129" s="16"/>
      <c r="B3129" s="16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</row>
    <row r="3130" spans="1:20" x14ac:dyDescent="0.2">
      <c r="A3130" s="16"/>
      <c r="B3130" s="16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</row>
    <row r="3131" spans="1:20" x14ac:dyDescent="0.2">
      <c r="A3131" s="16"/>
      <c r="B3131" s="16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</row>
    <row r="3132" spans="1:20" x14ac:dyDescent="0.2">
      <c r="A3132" s="16"/>
      <c r="B3132" s="16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</row>
    <row r="3133" spans="1:20" x14ac:dyDescent="0.2">
      <c r="A3133" s="16"/>
      <c r="B3133" s="16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</row>
    <row r="3134" spans="1:20" x14ac:dyDescent="0.2">
      <c r="A3134" s="16"/>
      <c r="B3134" s="16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</row>
    <row r="3135" spans="1:20" x14ac:dyDescent="0.2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</row>
    <row r="3136" spans="1:20" x14ac:dyDescent="0.2">
      <c r="A3136" s="16"/>
      <c r="B3136" s="16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</row>
    <row r="3137" spans="1:20" x14ac:dyDescent="0.2">
      <c r="A3137" s="16"/>
      <c r="B3137" s="16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</row>
    <row r="3138" spans="1:20" x14ac:dyDescent="0.2">
      <c r="A3138" s="16"/>
      <c r="B3138" s="16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</row>
    <row r="3139" spans="1:20" x14ac:dyDescent="0.2">
      <c r="A3139" s="16"/>
      <c r="B3139" s="16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</row>
    <row r="3140" spans="1:20" x14ac:dyDescent="0.2">
      <c r="A3140" s="16"/>
      <c r="B3140" s="16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</row>
    <row r="3141" spans="1:20" x14ac:dyDescent="0.2">
      <c r="A3141" s="16"/>
      <c r="B3141" s="16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</row>
    <row r="3142" spans="1:20" x14ac:dyDescent="0.2">
      <c r="A3142" s="16"/>
      <c r="B3142" s="16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</row>
    <row r="3143" spans="1:20" x14ac:dyDescent="0.2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</row>
    <row r="3144" spans="1:20" x14ac:dyDescent="0.2">
      <c r="A3144" s="16"/>
      <c r="B3144" s="16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</row>
    <row r="3145" spans="1:20" x14ac:dyDescent="0.2">
      <c r="A3145" s="16"/>
      <c r="B3145" s="16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</row>
    <row r="3146" spans="1:20" x14ac:dyDescent="0.2">
      <c r="A3146" s="16"/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</row>
    <row r="3147" spans="1:20" x14ac:dyDescent="0.2">
      <c r="A3147" s="16"/>
      <c r="B3147" s="16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</row>
    <row r="3148" spans="1:20" x14ac:dyDescent="0.2">
      <c r="A3148" s="16"/>
      <c r="B3148" s="16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</row>
    <row r="3149" spans="1:20" x14ac:dyDescent="0.2">
      <c r="A3149" s="16"/>
      <c r="B3149" s="16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</row>
    <row r="3150" spans="1:20" x14ac:dyDescent="0.2">
      <c r="A3150" s="16"/>
      <c r="B3150" s="16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</row>
    <row r="3151" spans="1:20" x14ac:dyDescent="0.2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</row>
    <row r="3152" spans="1:20" x14ac:dyDescent="0.2">
      <c r="A3152" s="16"/>
      <c r="B3152" s="16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</row>
    <row r="3153" spans="1:20" x14ac:dyDescent="0.2">
      <c r="A3153" s="16"/>
      <c r="B3153" s="16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</row>
    <row r="3154" spans="1:20" x14ac:dyDescent="0.2">
      <c r="A3154" s="16"/>
      <c r="B3154" s="16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</row>
    <row r="3155" spans="1:20" x14ac:dyDescent="0.2">
      <c r="A3155" s="16"/>
      <c r="B3155" s="16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</row>
    <row r="3156" spans="1:20" x14ac:dyDescent="0.2">
      <c r="A3156" s="16"/>
      <c r="B3156" s="16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</row>
    <row r="3157" spans="1:20" x14ac:dyDescent="0.2">
      <c r="A3157" s="16"/>
      <c r="B3157" s="16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</row>
    <row r="3158" spans="1:20" x14ac:dyDescent="0.2">
      <c r="A3158" s="16"/>
      <c r="B3158" s="16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</row>
    <row r="3159" spans="1:20" x14ac:dyDescent="0.2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</row>
    <row r="3160" spans="1:20" x14ac:dyDescent="0.2">
      <c r="A3160" s="16"/>
      <c r="B3160" s="16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</row>
    <row r="3161" spans="1:20" x14ac:dyDescent="0.2">
      <c r="A3161" s="16"/>
      <c r="B3161" s="16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</row>
    <row r="3162" spans="1:20" x14ac:dyDescent="0.2">
      <c r="A3162" s="16"/>
      <c r="B3162" s="16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</row>
    <row r="3163" spans="1:20" x14ac:dyDescent="0.2">
      <c r="A3163" s="16"/>
      <c r="B3163" s="16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</row>
    <row r="3164" spans="1:20" x14ac:dyDescent="0.2">
      <c r="A3164" s="16"/>
      <c r="B3164" s="16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</row>
    <row r="3165" spans="1:20" x14ac:dyDescent="0.2">
      <c r="A3165" s="16"/>
      <c r="B3165" s="16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</row>
    <row r="3166" spans="1:20" x14ac:dyDescent="0.2">
      <c r="A3166" s="16"/>
      <c r="B3166" s="16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</row>
    <row r="3167" spans="1:20" x14ac:dyDescent="0.2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</row>
    <row r="3168" spans="1:20" x14ac:dyDescent="0.2">
      <c r="A3168" s="16"/>
      <c r="B3168" s="16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</row>
    <row r="3169" spans="1:20" x14ac:dyDescent="0.2">
      <c r="A3169" s="16"/>
      <c r="B3169" s="16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</row>
    <row r="3170" spans="1:20" x14ac:dyDescent="0.2">
      <c r="A3170" s="16"/>
      <c r="B3170" s="16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</row>
    <row r="3171" spans="1:20" x14ac:dyDescent="0.2">
      <c r="A3171" s="16"/>
      <c r="B3171" s="16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</row>
    <row r="3172" spans="1:20" x14ac:dyDescent="0.2">
      <c r="A3172" s="16"/>
      <c r="B3172" s="16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</row>
    <row r="3173" spans="1:20" x14ac:dyDescent="0.2">
      <c r="A3173" s="16"/>
      <c r="B3173" s="16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</row>
    <row r="3174" spans="1:20" x14ac:dyDescent="0.2">
      <c r="A3174" s="16"/>
      <c r="B3174" s="16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</row>
    <row r="3175" spans="1:20" x14ac:dyDescent="0.2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</row>
    <row r="3176" spans="1:20" x14ac:dyDescent="0.2">
      <c r="A3176" s="16"/>
      <c r="B3176" s="16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</row>
    <row r="3177" spans="1:20" x14ac:dyDescent="0.2">
      <c r="A3177" s="16"/>
      <c r="B3177" s="16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</row>
    <row r="3178" spans="1:20" x14ac:dyDescent="0.2">
      <c r="A3178" s="16"/>
      <c r="B3178" s="16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</row>
    <row r="3179" spans="1:20" x14ac:dyDescent="0.2">
      <c r="A3179" s="16"/>
      <c r="B3179" s="16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</row>
    <row r="3180" spans="1:20" x14ac:dyDescent="0.2">
      <c r="A3180" s="16"/>
      <c r="B3180" s="16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</row>
    <row r="3181" spans="1:20" x14ac:dyDescent="0.2">
      <c r="A3181" s="16"/>
      <c r="B3181" s="16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</row>
    <row r="3182" spans="1:20" x14ac:dyDescent="0.2">
      <c r="A3182" s="16"/>
      <c r="B3182" s="16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</row>
    <row r="3183" spans="1:20" x14ac:dyDescent="0.2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</row>
    <row r="3184" spans="1:20" x14ac:dyDescent="0.2">
      <c r="A3184" s="16"/>
      <c r="B3184" s="16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</row>
    <row r="3185" spans="1:20" x14ac:dyDescent="0.2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</row>
    <row r="3186" spans="1:20" x14ac:dyDescent="0.2">
      <c r="A3186" s="16"/>
      <c r="B3186" s="16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</row>
    <row r="3187" spans="1:20" x14ac:dyDescent="0.2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</row>
    <row r="3188" spans="1:20" x14ac:dyDescent="0.2">
      <c r="A3188" s="16"/>
      <c r="B3188" s="16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</row>
    <row r="3189" spans="1:20" x14ac:dyDescent="0.2">
      <c r="A3189" s="16"/>
      <c r="B3189" s="16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</row>
    <row r="3190" spans="1:20" x14ac:dyDescent="0.2">
      <c r="A3190" s="16"/>
      <c r="B3190" s="16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</row>
    <row r="3191" spans="1:20" x14ac:dyDescent="0.2">
      <c r="A3191" s="16"/>
      <c r="B3191" s="16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</row>
    <row r="3192" spans="1:20" x14ac:dyDescent="0.2">
      <c r="A3192" s="16"/>
      <c r="B3192" s="16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</row>
    <row r="3193" spans="1:20" x14ac:dyDescent="0.2">
      <c r="A3193" s="16"/>
      <c r="B3193" s="16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</row>
    <row r="3194" spans="1:20" x14ac:dyDescent="0.2">
      <c r="A3194" s="16"/>
      <c r="B3194" s="16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</row>
    <row r="3195" spans="1:20" x14ac:dyDescent="0.2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</row>
    <row r="3196" spans="1:20" x14ac:dyDescent="0.2">
      <c r="A3196" s="16"/>
      <c r="B3196" s="16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</row>
    <row r="3197" spans="1:20" x14ac:dyDescent="0.2">
      <c r="A3197" s="16"/>
      <c r="B3197" s="16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</row>
    <row r="3198" spans="1:20" x14ac:dyDescent="0.2">
      <c r="A3198" s="16"/>
      <c r="B3198" s="16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</row>
    <row r="3199" spans="1:20" x14ac:dyDescent="0.2">
      <c r="A3199" s="16"/>
      <c r="B3199" s="16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</row>
    <row r="3200" spans="1:20" x14ac:dyDescent="0.2">
      <c r="A3200" s="16"/>
      <c r="B3200" s="16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</row>
    <row r="3201" spans="1:20" x14ac:dyDescent="0.2">
      <c r="A3201" s="16"/>
      <c r="B3201" s="16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</row>
    <row r="3202" spans="1:20" x14ac:dyDescent="0.2">
      <c r="A3202" s="16"/>
      <c r="B3202" s="16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</row>
    <row r="3203" spans="1:20" x14ac:dyDescent="0.2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</row>
    <row r="3204" spans="1:20" x14ac:dyDescent="0.2">
      <c r="A3204" s="16"/>
      <c r="B3204" s="16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</row>
    <row r="3205" spans="1:20" x14ac:dyDescent="0.2">
      <c r="A3205" s="16"/>
      <c r="B3205" s="16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</row>
    <row r="3206" spans="1:20" x14ac:dyDescent="0.2">
      <c r="A3206" s="16"/>
      <c r="B3206" s="16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</row>
    <row r="3207" spans="1:20" x14ac:dyDescent="0.2">
      <c r="A3207" s="16"/>
      <c r="B3207" s="16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</row>
    <row r="3208" spans="1:20" x14ac:dyDescent="0.2">
      <c r="A3208" s="16"/>
      <c r="B3208" s="16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</row>
    <row r="3209" spans="1:20" x14ac:dyDescent="0.2">
      <c r="A3209" s="16"/>
      <c r="B3209" s="16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</row>
    <row r="3210" spans="1:20" x14ac:dyDescent="0.2">
      <c r="A3210" s="16"/>
      <c r="B3210" s="16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</row>
    <row r="3211" spans="1:20" x14ac:dyDescent="0.2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</row>
    <row r="3212" spans="1:20" x14ac:dyDescent="0.2">
      <c r="A3212" s="16"/>
      <c r="B3212" s="16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</row>
    <row r="3213" spans="1:20" x14ac:dyDescent="0.2">
      <c r="A3213" s="16"/>
      <c r="B3213" s="16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</row>
    <row r="3214" spans="1:20" x14ac:dyDescent="0.2">
      <c r="A3214" s="16"/>
      <c r="B3214" s="16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</row>
    <row r="3215" spans="1:20" x14ac:dyDescent="0.2">
      <c r="A3215" s="16"/>
      <c r="B3215" s="16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</row>
    <row r="3216" spans="1:20" x14ac:dyDescent="0.2">
      <c r="A3216" s="16"/>
      <c r="B3216" s="16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</row>
    <row r="3217" spans="1:20" x14ac:dyDescent="0.2">
      <c r="A3217" s="16"/>
      <c r="B3217" s="16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</row>
    <row r="3218" spans="1:20" x14ac:dyDescent="0.2">
      <c r="A3218" s="16"/>
      <c r="B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</row>
    <row r="3219" spans="1:20" x14ac:dyDescent="0.2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</row>
    <row r="3220" spans="1:20" x14ac:dyDescent="0.2">
      <c r="A3220" s="16"/>
      <c r="B3220" s="16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</row>
    <row r="3221" spans="1:20" x14ac:dyDescent="0.2">
      <c r="A3221" s="16"/>
      <c r="B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</row>
    <row r="3222" spans="1:20" x14ac:dyDescent="0.2">
      <c r="A3222" s="16"/>
      <c r="B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</row>
    <row r="3223" spans="1:20" x14ac:dyDescent="0.2">
      <c r="A3223" s="16"/>
      <c r="B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</row>
    <row r="3224" spans="1:20" x14ac:dyDescent="0.2">
      <c r="A3224" s="16"/>
      <c r="B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</row>
    <row r="3225" spans="1:20" x14ac:dyDescent="0.2">
      <c r="A3225" s="16"/>
      <c r="B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</row>
    <row r="3226" spans="1:20" x14ac:dyDescent="0.2">
      <c r="A3226" s="16"/>
      <c r="B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</row>
    <row r="3227" spans="1:20" x14ac:dyDescent="0.2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</row>
    <row r="3228" spans="1:20" x14ac:dyDescent="0.2">
      <c r="A3228" s="16"/>
      <c r="B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</row>
    <row r="3229" spans="1:20" x14ac:dyDescent="0.2">
      <c r="A3229" s="16"/>
      <c r="B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</row>
    <row r="3230" spans="1:20" x14ac:dyDescent="0.2">
      <c r="A3230" s="16"/>
      <c r="B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</row>
    <row r="3231" spans="1:20" x14ac:dyDescent="0.2">
      <c r="A3231" s="16"/>
      <c r="B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</row>
    <row r="3232" spans="1:20" x14ac:dyDescent="0.2">
      <c r="A3232" s="16"/>
      <c r="B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</row>
    <row r="3233" spans="1:20" x14ac:dyDescent="0.2">
      <c r="A3233" s="16"/>
      <c r="B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</row>
    <row r="3234" spans="1:20" x14ac:dyDescent="0.2">
      <c r="A3234" s="16"/>
      <c r="B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</row>
    <row r="3235" spans="1:20" x14ac:dyDescent="0.2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</row>
    <row r="3236" spans="1:20" x14ac:dyDescent="0.2">
      <c r="A3236" s="16"/>
      <c r="B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</row>
    <row r="3237" spans="1:20" x14ac:dyDescent="0.2">
      <c r="A3237" s="16"/>
      <c r="B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</row>
    <row r="3238" spans="1:20" x14ac:dyDescent="0.2">
      <c r="A3238" s="16"/>
      <c r="B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</row>
    <row r="3239" spans="1:20" x14ac:dyDescent="0.2">
      <c r="A3239" s="16"/>
      <c r="B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</row>
    <row r="3240" spans="1:20" x14ac:dyDescent="0.2">
      <c r="A3240" s="16"/>
      <c r="B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</row>
    <row r="3241" spans="1:20" x14ac:dyDescent="0.2">
      <c r="A3241" s="16"/>
      <c r="B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</row>
    <row r="3242" spans="1:20" x14ac:dyDescent="0.2">
      <c r="A3242" s="16"/>
      <c r="B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</row>
    <row r="3243" spans="1:20" x14ac:dyDescent="0.2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</row>
    <row r="3244" spans="1:20" x14ac:dyDescent="0.2">
      <c r="A3244" s="16"/>
      <c r="B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</row>
    <row r="3245" spans="1:20" x14ac:dyDescent="0.2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</row>
    <row r="3246" spans="1:20" x14ac:dyDescent="0.2">
      <c r="A3246" s="16"/>
      <c r="B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</row>
    <row r="3247" spans="1:20" x14ac:dyDescent="0.2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</row>
    <row r="3248" spans="1:20" x14ac:dyDescent="0.2">
      <c r="A3248" s="16"/>
      <c r="B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</row>
    <row r="3249" spans="1:20" x14ac:dyDescent="0.2">
      <c r="A3249" s="16"/>
      <c r="B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</row>
    <row r="3250" spans="1:20" x14ac:dyDescent="0.2">
      <c r="A3250" s="16"/>
      <c r="B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</row>
    <row r="3251" spans="1:20" x14ac:dyDescent="0.2">
      <c r="A3251" s="16"/>
      <c r="B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</row>
    <row r="3252" spans="1:20" x14ac:dyDescent="0.2">
      <c r="A3252" s="16"/>
      <c r="B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</row>
    <row r="3253" spans="1:20" x14ac:dyDescent="0.2">
      <c r="A3253" s="16"/>
      <c r="B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</row>
    <row r="3254" spans="1:20" x14ac:dyDescent="0.2">
      <c r="A3254" s="16"/>
      <c r="B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</row>
    <row r="3255" spans="1:20" x14ac:dyDescent="0.2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</row>
    <row r="3256" spans="1:20" x14ac:dyDescent="0.2">
      <c r="A3256" s="16"/>
      <c r="B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</row>
    <row r="3257" spans="1:20" x14ac:dyDescent="0.2">
      <c r="A3257" s="16"/>
      <c r="B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</row>
    <row r="3258" spans="1:20" x14ac:dyDescent="0.2">
      <c r="A3258" s="16"/>
      <c r="B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</row>
    <row r="3259" spans="1:20" x14ac:dyDescent="0.2">
      <c r="A3259" s="16"/>
      <c r="B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</row>
    <row r="3260" spans="1:20" x14ac:dyDescent="0.2">
      <c r="A3260" s="16"/>
      <c r="B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</row>
    <row r="3261" spans="1:20" x14ac:dyDescent="0.2">
      <c r="A3261" s="16"/>
      <c r="B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</row>
    <row r="3262" spans="1:20" x14ac:dyDescent="0.2">
      <c r="A3262" s="16"/>
      <c r="B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</row>
    <row r="3263" spans="1:20" x14ac:dyDescent="0.2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</row>
    <row r="3264" spans="1:20" x14ac:dyDescent="0.2">
      <c r="A3264" s="16"/>
      <c r="B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</row>
    <row r="3265" spans="1:20" x14ac:dyDescent="0.2">
      <c r="A3265" s="16"/>
      <c r="B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</row>
    <row r="3266" spans="1:20" x14ac:dyDescent="0.2">
      <c r="A3266" s="16"/>
      <c r="B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</row>
    <row r="3267" spans="1:20" x14ac:dyDescent="0.2">
      <c r="A3267" s="16"/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</row>
    <row r="3268" spans="1:20" x14ac:dyDescent="0.2">
      <c r="A3268" s="16"/>
      <c r="B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</row>
    <row r="3269" spans="1:20" x14ac:dyDescent="0.2">
      <c r="A3269" s="16"/>
      <c r="B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</row>
    <row r="3270" spans="1:20" x14ac:dyDescent="0.2">
      <c r="A3270" s="16"/>
      <c r="B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</row>
    <row r="3271" spans="1:20" x14ac:dyDescent="0.2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</row>
    <row r="3272" spans="1:20" x14ac:dyDescent="0.2">
      <c r="A3272" s="16"/>
      <c r="B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</row>
    <row r="3273" spans="1:20" x14ac:dyDescent="0.2">
      <c r="A3273" s="16"/>
      <c r="B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</row>
    <row r="3274" spans="1:20" x14ac:dyDescent="0.2">
      <c r="A3274" s="16"/>
      <c r="B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</row>
    <row r="3275" spans="1:20" x14ac:dyDescent="0.2">
      <c r="A3275" s="16"/>
      <c r="B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</row>
    <row r="3276" spans="1:20" x14ac:dyDescent="0.2">
      <c r="A3276" s="16"/>
      <c r="B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</row>
    <row r="3277" spans="1:20" x14ac:dyDescent="0.2">
      <c r="A3277" s="16"/>
      <c r="B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</row>
    <row r="3278" spans="1:20" x14ac:dyDescent="0.2">
      <c r="A3278" s="16"/>
      <c r="B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</row>
    <row r="3279" spans="1:20" x14ac:dyDescent="0.2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</row>
    <row r="3280" spans="1:20" x14ac:dyDescent="0.2">
      <c r="A3280" s="16"/>
      <c r="B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</row>
    <row r="3281" spans="1:20" x14ac:dyDescent="0.2">
      <c r="A3281" s="16"/>
      <c r="B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</row>
    <row r="3282" spans="1:20" x14ac:dyDescent="0.2">
      <c r="A3282" s="16"/>
      <c r="B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</row>
    <row r="3283" spans="1:20" x14ac:dyDescent="0.2">
      <c r="A3283" s="16"/>
      <c r="B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</row>
    <row r="3284" spans="1:20" x14ac:dyDescent="0.2">
      <c r="A3284" s="16"/>
      <c r="B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</row>
    <row r="3285" spans="1:20" x14ac:dyDescent="0.2">
      <c r="A3285" s="16"/>
      <c r="B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</row>
    <row r="3286" spans="1:20" x14ac:dyDescent="0.2">
      <c r="A3286" s="16"/>
      <c r="B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</row>
    <row r="3287" spans="1:20" x14ac:dyDescent="0.2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</row>
    <row r="3288" spans="1:20" x14ac:dyDescent="0.2">
      <c r="A3288" s="16"/>
      <c r="B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</row>
    <row r="3289" spans="1:20" x14ac:dyDescent="0.2">
      <c r="A3289" s="16"/>
      <c r="B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</row>
    <row r="3290" spans="1:20" x14ac:dyDescent="0.2">
      <c r="A3290" s="16"/>
      <c r="B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</row>
    <row r="3291" spans="1:20" x14ac:dyDescent="0.2">
      <c r="A3291" s="16"/>
      <c r="B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</row>
    <row r="3292" spans="1:20" x14ac:dyDescent="0.2">
      <c r="A3292" s="16"/>
      <c r="B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</row>
    <row r="3293" spans="1:20" x14ac:dyDescent="0.2">
      <c r="A3293" s="16"/>
      <c r="B3293" s="16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</row>
    <row r="3294" spans="1:20" x14ac:dyDescent="0.2">
      <c r="A3294" s="16"/>
      <c r="B3294" s="16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</row>
    <row r="3295" spans="1:20" x14ac:dyDescent="0.2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</row>
    <row r="3296" spans="1:20" x14ac:dyDescent="0.2">
      <c r="A3296" s="16"/>
      <c r="B3296" s="16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</row>
    <row r="3297" spans="1:20" x14ac:dyDescent="0.2">
      <c r="A3297" s="16"/>
      <c r="B3297" s="16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</row>
    <row r="3298" spans="1:20" x14ac:dyDescent="0.2">
      <c r="A3298" s="16"/>
      <c r="B3298" s="16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</row>
    <row r="3299" spans="1:20" x14ac:dyDescent="0.2">
      <c r="A3299" s="16"/>
      <c r="B3299" s="16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</row>
    <row r="3300" spans="1:20" x14ac:dyDescent="0.2">
      <c r="A3300" s="16"/>
      <c r="B3300" s="16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</row>
    <row r="3301" spans="1:20" x14ac:dyDescent="0.2">
      <c r="A3301" s="16"/>
      <c r="B3301" s="16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</row>
    <row r="3302" spans="1:20" x14ac:dyDescent="0.2">
      <c r="A3302" s="16"/>
      <c r="B3302" s="16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</row>
    <row r="3303" spans="1:20" x14ac:dyDescent="0.2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</row>
    <row r="3304" spans="1:20" x14ac:dyDescent="0.2">
      <c r="A3304" s="16"/>
      <c r="B3304" s="16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</row>
    <row r="3305" spans="1:20" x14ac:dyDescent="0.2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</row>
    <row r="3306" spans="1:20" x14ac:dyDescent="0.2">
      <c r="A3306" s="16"/>
      <c r="B3306" s="16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</row>
    <row r="3307" spans="1:20" x14ac:dyDescent="0.2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</row>
    <row r="3308" spans="1:20" x14ac:dyDescent="0.2">
      <c r="A3308" s="16"/>
      <c r="B3308" s="16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</row>
    <row r="3309" spans="1:20" x14ac:dyDescent="0.2">
      <c r="A3309" s="16"/>
      <c r="B3309" s="16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</row>
    <row r="3310" spans="1:20" x14ac:dyDescent="0.2">
      <c r="A3310" s="16"/>
      <c r="B3310" s="16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</row>
    <row r="3311" spans="1:20" x14ac:dyDescent="0.2">
      <c r="A3311" s="16"/>
      <c r="B3311" s="16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</row>
    <row r="3312" spans="1:20" x14ac:dyDescent="0.2">
      <c r="A3312" s="16"/>
      <c r="B3312" s="16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</row>
    <row r="3313" spans="1:20" x14ac:dyDescent="0.2">
      <c r="A3313" s="16"/>
      <c r="B3313" s="16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</row>
    <row r="3314" spans="1:20" x14ac:dyDescent="0.2">
      <c r="A3314" s="16"/>
      <c r="B3314" s="16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</row>
    <row r="3315" spans="1:20" x14ac:dyDescent="0.2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</row>
    <row r="3316" spans="1:20" x14ac:dyDescent="0.2">
      <c r="A3316" s="16"/>
      <c r="B3316" s="16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</row>
    <row r="3317" spans="1:20" x14ac:dyDescent="0.2">
      <c r="A3317" s="16"/>
      <c r="B3317" s="16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</row>
    <row r="3318" spans="1:20" x14ac:dyDescent="0.2">
      <c r="A3318" s="16"/>
      <c r="B3318" s="16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</row>
    <row r="3319" spans="1:20" x14ac:dyDescent="0.2">
      <c r="A3319" s="16"/>
      <c r="B3319" s="16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</row>
    <row r="3320" spans="1:20" x14ac:dyDescent="0.2">
      <c r="A3320" s="16"/>
      <c r="B3320" s="16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</row>
    <row r="3321" spans="1:20" x14ac:dyDescent="0.2">
      <c r="A3321" s="16"/>
      <c r="B3321" s="16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</row>
    <row r="3322" spans="1:20" x14ac:dyDescent="0.2">
      <c r="A3322" s="16"/>
      <c r="B3322" s="16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</row>
    <row r="3323" spans="1:20" x14ac:dyDescent="0.2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</row>
    <row r="3324" spans="1:20" x14ac:dyDescent="0.2">
      <c r="A3324" s="16"/>
      <c r="B3324" s="16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</row>
    <row r="3325" spans="1:20" x14ac:dyDescent="0.2">
      <c r="A3325" s="16"/>
      <c r="B3325" s="16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</row>
    <row r="3326" spans="1:20" x14ac:dyDescent="0.2">
      <c r="A3326" s="16"/>
      <c r="B3326" s="16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</row>
    <row r="3327" spans="1:20" x14ac:dyDescent="0.2">
      <c r="A3327" s="16"/>
      <c r="B3327" s="16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</row>
    <row r="3328" spans="1:20" x14ac:dyDescent="0.2">
      <c r="A3328" s="16"/>
      <c r="B3328" s="16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</row>
    <row r="3329" spans="1:20" x14ac:dyDescent="0.2">
      <c r="A3329" s="16"/>
      <c r="B3329" s="16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</row>
    <row r="3330" spans="1:20" x14ac:dyDescent="0.2">
      <c r="A3330" s="16"/>
      <c r="B3330" s="16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</row>
    <row r="3331" spans="1:20" x14ac:dyDescent="0.2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</row>
    <row r="3332" spans="1:20" x14ac:dyDescent="0.2">
      <c r="A3332" s="16"/>
      <c r="B3332" s="16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</row>
    <row r="3333" spans="1:20" x14ac:dyDescent="0.2">
      <c r="A3333" s="16"/>
      <c r="B3333" s="16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</row>
    <row r="3334" spans="1:20" x14ac:dyDescent="0.2">
      <c r="A3334" s="16"/>
      <c r="B3334" s="16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</row>
    <row r="3335" spans="1:20" x14ac:dyDescent="0.2">
      <c r="A3335" s="16"/>
      <c r="B3335" s="16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</row>
    <row r="3336" spans="1:20" x14ac:dyDescent="0.2">
      <c r="A3336" s="16"/>
      <c r="B3336" s="16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</row>
    <row r="3337" spans="1:20" x14ac:dyDescent="0.2">
      <c r="A3337" s="16"/>
      <c r="B3337" s="16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</row>
    <row r="3338" spans="1:20" x14ac:dyDescent="0.2">
      <c r="A3338" s="16"/>
      <c r="B3338" s="16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</row>
    <row r="3339" spans="1:20" x14ac:dyDescent="0.2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</row>
    <row r="3340" spans="1:20" x14ac:dyDescent="0.2">
      <c r="A3340" s="16"/>
      <c r="B3340" s="16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</row>
    <row r="3341" spans="1:20" x14ac:dyDescent="0.2">
      <c r="A3341" s="16"/>
      <c r="B3341" s="16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</row>
    <row r="3342" spans="1:20" x14ac:dyDescent="0.2">
      <c r="A3342" s="16"/>
      <c r="B3342" s="16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</row>
    <row r="3343" spans="1:20" x14ac:dyDescent="0.2">
      <c r="A3343" s="16"/>
      <c r="B3343" s="16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</row>
    <row r="3344" spans="1:20" x14ac:dyDescent="0.2">
      <c r="A3344" s="16"/>
      <c r="B3344" s="16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</row>
    <row r="3345" spans="1:20" x14ac:dyDescent="0.2">
      <c r="A3345" s="16"/>
      <c r="B3345" s="16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</row>
    <row r="3346" spans="1:20" x14ac:dyDescent="0.2">
      <c r="A3346" s="16"/>
      <c r="B3346" s="16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</row>
    <row r="3347" spans="1:20" x14ac:dyDescent="0.2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</row>
    <row r="3348" spans="1:20" x14ac:dyDescent="0.2">
      <c r="A3348" s="16"/>
      <c r="B3348" s="16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</row>
    <row r="3349" spans="1:20" x14ac:dyDescent="0.2">
      <c r="A3349" s="16"/>
      <c r="B3349" s="16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</row>
    <row r="3350" spans="1:20" x14ac:dyDescent="0.2">
      <c r="A3350" s="16"/>
      <c r="B3350" s="16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</row>
    <row r="3351" spans="1:20" x14ac:dyDescent="0.2">
      <c r="A3351" s="16"/>
      <c r="B3351" s="16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</row>
    <row r="3352" spans="1:20" x14ac:dyDescent="0.2">
      <c r="A3352" s="16"/>
      <c r="B3352" s="16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</row>
    <row r="3353" spans="1:20" x14ac:dyDescent="0.2">
      <c r="A3353" s="16"/>
      <c r="B3353" s="16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</row>
    <row r="3354" spans="1:20" x14ac:dyDescent="0.2">
      <c r="A3354" s="16"/>
      <c r="B3354" s="16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</row>
    <row r="3355" spans="1:20" x14ac:dyDescent="0.2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</row>
    <row r="3356" spans="1:20" x14ac:dyDescent="0.2">
      <c r="A3356" s="16"/>
      <c r="B3356" s="16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</row>
    <row r="3357" spans="1:20" x14ac:dyDescent="0.2">
      <c r="A3357" s="16"/>
      <c r="B3357" s="16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</row>
    <row r="3358" spans="1:20" x14ac:dyDescent="0.2">
      <c r="A3358" s="16"/>
      <c r="B3358" s="16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</row>
    <row r="3359" spans="1:20" x14ac:dyDescent="0.2">
      <c r="A3359" s="16"/>
      <c r="B3359" s="16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</row>
    <row r="3360" spans="1:20" x14ac:dyDescent="0.2">
      <c r="A3360" s="16"/>
      <c r="B3360" s="16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</row>
    <row r="3361" spans="1:20" x14ac:dyDescent="0.2">
      <c r="A3361" s="16"/>
      <c r="B3361" s="16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</row>
    <row r="3362" spans="1:20" x14ac:dyDescent="0.2">
      <c r="A3362" s="16"/>
      <c r="B3362" s="16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</row>
    <row r="3363" spans="1:20" x14ac:dyDescent="0.2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</row>
    <row r="3364" spans="1:20" x14ac:dyDescent="0.2">
      <c r="A3364" s="16"/>
      <c r="B3364" s="16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</row>
    <row r="3365" spans="1:20" x14ac:dyDescent="0.2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</row>
    <row r="3366" spans="1:20" x14ac:dyDescent="0.2">
      <c r="A3366" s="16"/>
      <c r="B3366" s="16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</row>
    <row r="3367" spans="1:20" x14ac:dyDescent="0.2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</row>
    <row r="3368" spans="1:20" x14ac:dyDescent="0.2">
      <c r="A3368" s="16"/>
      <c r="B3368" s="16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</row>
    <row r="3369" spans="1:20" x14ac:dyDescent="0.2">
      <c r="A3369" s="16"/>
      <c r="B3369" s="16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</row>
    <row r="3370" spans="1:20" x14ac:dyDescent="0.2">
      <c r="A3370" s="16"/>
      <c r="B3370" s="16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</row>
    <row r="3371" spans="1:20" x14ac:dyDescent="0.2">
      <c r="A3371" s="16"/>
      <c r="B3371" s="16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</row>
    <row r="3372" spans="1:20" x14ac:dyDescent="0.2">
      <c r="A3372" s="16"/>
      <c r="B3372" s="16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</row>
    <row r="3373" spans="1:20" x14ac:dyDescent="0.2">
      <c r="A3373" s="16"/>
      <c r="B3373" s="16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</row>
    <row r="3374" spans="1:20" x14ac:dyDescent="0.2">
      <c r="A3374" s="16"/>
      <c r="B3374" s="16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</row>
    <row r="3375" spans="1:20" x14ac:dyDescent="0.2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</row>
    <row r="3376" spans="1:20" x14ac:dyDescent="0.2">
      <c r="A3376" s="16"/>
      <c r="B3376" s="16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</row>
    <row r="3377" spans="1:20" x14ac:dyDescent="0.2">
      <c r="A3377" s="16"/>
      <c r="B3377" s="16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</row>
    <row r="3378" spans="1:20" x14ac:dyDescent="0.2">
      <c r="A3378" s="16"/>
      <c r="B3378" s="16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</row>
    <row r="3379" spans="1:20" x14ac:dyDescent="0.2">
      <c r="A3379" s="16"/>
      <c r="B3379" s="16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</row>
    <row r="3380" spans="1:20" x14ac:dyDescent="0.2">
      <c r="A3380" s="16"/>
      <c r="B3380" s="16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</row>
    <row r="3381" spans="1:20" x14ac:dyDescent="0.2">
      <c r="A3381" s="16"/>
      <c r="B3381" s="16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</row>
    <row r="3382" spans="1:20" x14ac:dyDescent="0.2">
      <c r="A3382" s="16"/>
      <c r="B3382" s="16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</row>
    <row r="3383" spans="1:20" x14ac:dyDescent="0.2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</row>
    <row r="3384" spans="1:20" x14ac:dyDescent="0.2">
      <c r="A3384" s="16"/>
      <c r="B3384" s="16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</row>
    <row r="3385" spans="1:20" x14ac:dyDescent="0.2">
      <c r="A3385" s="16"/>
      <c r="B3385" s="16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</row>
    <row r="3386" spans="1:20" x14ac:dyDescent="0.2">
      <c r="A3386" s="16"/>
      <c r="B3386" s="16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</row>
    <row r="3387" spans="1:20" x14ac:dyDescent="0.2">
      <c r="A3387" s="16"/>
      <c r="B3387" s="16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</row>
    <row r="3388" spans="1:20" x14ac:dyDescent="0.2">
      <c r="A3388" s="16"/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</row>
    <row r="3389" spans="1:20" x14ac:dyDescent="0.2">
      <c r="A3389" s="16"/>
      <c r="B3389" s="16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</row>
    <row r="3390" spans="1:20" x14ac:dyDescent="0.2">
      <c r="A3390" s="16"/>
      <c r="B3390" s="16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</row>
    <row r="3391" spans="1:20" x14ac:dyDescent="0.2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</row>
    <row r="3392" spans="1:20" x14ac:dyDescent="0.2">
      <c r="A3392" s="16"/>
      <c r="B3392" s="16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</row>
    <row r="3393" spans="1:20" x14ac:dyDescent="0.2">
      <c r="A3393" s="16"/>
      <c r="B3393" s="16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</row>
    <row r="3394" spans="1:20" x14ac:dyDescent="0.2">
      <c r="A3394" s="16"/>
      <c r="B3394" s="16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</row>
    <row r="3395" spans="1:20" x14ac:dyDescent="0.2">
      <c r="A3395" s="16"/>
      <c r="B3395" s="16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</row>
    <row r="3396" spans="1:20" x14ac:dyDescent="0.2">
      <c r="A3396" s="16"/>
      <c r="B3396" s="16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</row>
    <row r="3397" spans="1:20" x14ac:dyDescent="0.2">
      <c r="A3397" s="16"/>
      <c r="B3397" s="16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</row>
    <row r="3398" spans="1:20" x14ac:dyDescent="0.2">
      <c r="A3398" s="16"/>
      <c r="B3398" s="16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</row>
    <row r="3399" spans="1:20" x14ac:dyDescent="0.2">
      <c r="A3399" s="16"/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</row>
    <row r="3400" spans="1:20" x14ac:dyDescent="0.2">
      <c r="A3400" s="16"/>
      <c r="B3400" s="16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</row>
    <row r="3401" spans="1:20" x14ac:dyDescent="0.2">
      <c r="A3401" s="16"/>
      <c r="B3401" s="16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</row>
    <row r="3402" spans="1:20" x14ac:dyDescent="0.2">
      <c r="A3402" s="16"/>
      <c r="B3402" s="16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</row>
    <row r="3403" spans="1:20" x14ac:dyDescent="0.2">
      <c r="A3403" s="16"/>
      <c r="B3403" s="16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</row>
    <row r="3404" spans="1:20" x14ac:dyDescent="0.2">
      <c r="A3404" s="16"/>
      <c r="B3404" s="16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</row>
    <row r="3405" spans="1:20" x14ac:dyDescent="0.2">
      <c r="A3405" s="16"/>
      <c r="B3405" s="16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</row>
    <row r="3406" spans="1:20" x14ac:dyDescent="0.2">
      <c r="A3406" s="16"/>
      <c r="B3406" s="16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</row>
    <row r="3407" spans="1:20" x14ac:dyDescent="0.2">
      <c r="A3407" s="16"/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</row>
    <row r="3408" spans="1:20" x14ac:dyDescent="0.2">
      <c r="A3408" s="16"/>
      <c r="B3408" s="16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</row>
    <row r="3409" spans="1:20" x14ac:dyDescent="0.2">
      <c r="A3409" s="16"/>
      <c r="B3409" s="16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</row>
    <row r="3410" spans="1:20" x14ac:dyDescent="0.2">
      <c r="A3410" s="16"/>
      <c r="B3410" s="16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</row>
    <row r="3411" spans="1:20" x14ac:dyDescent="0.2">
      <c r="A3411" s="16"/>
      <c r="B3411" s="16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</row>
    <row r="3412" spans="1:20" x14ac:dyDescent="0.2">
      <c r="A3412" s="16"/>
      <c r="B3412" s="16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</row>
    <row r="3413" spans="1:20" x14ac:dyDescent="0.2">
      <c r="A3413" s="16"/>
      <c r="B3413" s="16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</row>
    <row r="3414" spans="1:20" x14ac:dyDescent="0.2">
      <c r="A3414" s="16"/>
      <c r="B3414" s="16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</row>
    <row r="3415" spans="1:20" x14ac:dyDescent="0.2">
      <c r="A3415" s="16"/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</row>
    <row r="3416" spans="1:20" x14ac:dyDescent="0.2">
      <c r="A3416" s="16"/>
      <c r="B3416" s="16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</row>
    <row r="3417" spans="1:20" x14ac:dyDescent="0.2">
      <c r="A3417" s="16"/>
      <c r="B3417" s="16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</row>
    <row r="3418" spans="1:20" x14ac:dyDescent="0.2">
      <c r="A3418" s="16"/>
      <c r="B3418" s="16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</row>
    <row r="3419" spans="1:20" x14ac:dyDescent="0.2">
      <c r="A3419" s="16"/>
      <c r="B3419" s="16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</row>
    <row r="3420" spans="1:20" x14ac:dyDescent="0.2">
      <c r="A3420" s="16"/>
      <c r="B3420" s="16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</row>
    <row r="3421" spans="1:20" x14ac:dyDescent="0.2">
      <c r="A3421" s="16"/>
      <c r="B3421" s="16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</row>
    <row r="3422" spans="1:20" x14ac:dyDescent="0.2">
      <c r="A3422" s="16"/>
      <c r="B3422" s="16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</row>
    <row r="3423" spans="1:20" x14ac:dyDescent="0.2">
      <c r="A3423" s="16"/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</row>
    <row r="3424" spans="1:20" x14ac:dyDescent="0.2">
      <c r="A3424" s="16"/>
      <c r="B3424" s="16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</row>
    <row r="3425" spans="1:20" x14ac:dyDescent="0.2">
      <c r="A3425" s="16"/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</row>
    <row r="3426" spans="1:20" x14ac:dyDescent="0.2">
      <c r="A3426" s="16"/>
      <c r="B3426" s="16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</row>
    <row r="3427" spans="1:20" x14ac:dyDescent="0.2">
      <c r="A3427" s="16"/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</row>
    <row r="3428" spans="1:20" x14ac:dyDescent="0.2">
      <c r="A3428" s="16"/>
      <c r="B3428" s="16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</row>
    <row r="3429" spans="1:20" x14ac:dyDescent="0.2">
      <c r="A3429" s="16"/>
      <c r="B3429" s="16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</row>
    <row r="3430" spans="1:20" x14ac:dyDescent="0.2">
      <c r="A3430" s="16"/>
      <c r="B3430" s="16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</row>
    <row r="3431" spans="1:20" x14ac:dyDescent="0.2">
      <c r="A3431" s="16"/>
      <c r="B3431" s="16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</row>
    <row r="3432" spans="1:20" x14ac:dyDescent="0.2">
      <c r="A3432" s="16"/>
      <c r="B3432" s="16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</row>
    <row r="3433" spans="1:20" x14ac:dyDescent="0.2">
      <c r="A3433" s="16"/>
      <c r="B3433" s="16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</row>
    <row r="3434" spans="1:20" x14ac:dyDescent="0.2">
      <c r="A3434" s="16"/>
      <c r="B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</row>
    <row r="3435" spans="1:20" x14ac:dyDescent="0.2">
      <c r="A3435" s="16"/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</row>
    <row r="3436" spans="1:20" x14ac:dyDescent="0.2">
      <c r="A3436" s="16"/>
      <c r="B3436" s="16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</row>
    <row r="3437" spans="1:20" x14ac:dyDescent="0.2">
      <c r="A3437" s="16"/>
      <c r="B3437" s="16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</row>
    <row r="3438" spans="1:20" x14ac:dyDescent="0.2">
      <c r="A3438" s="16"/>
      <c r="B3438" s="16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</row>
    <row r="3439" spans="1:20" x14ac:dyDescent="0.2">
      <c r="A3439" s="16"/>
      <c r="B3439" s="16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</row>
    <row r="3440" spans="1:20" x14ac:dyDescent="0.2">
      <c r="A3440" s="16"/>
      <c r="B3440" s="16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</row>
    <row r="3441" spans="1:20" x14ac:dyDescent="0.2">
      <c r="A3441" s="16"/>
      <c r="B3441" s="16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</row>
    <row r="3442" spans="1:20" x14ac:dyDescent="0.2">
      <c r="A3442" s="16"/>
      <c r="B3442" s="16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</row>
    <row r="3443" spans="1:20" x14ac:dyDescent="0.2">
      <c r="A3443" s="16"/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</row>
    <row r="3444" spans="1:20" x14ac:dyDescent="0.2">
      <c r="A3444" s="16"/>
      <c r="B3444" s="16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</row>
    <row r="3445" spans="1:20" x14ac:dyDescent="0.2">
      <c r="A3445" s="16"/>
      <c r="B3445" s="16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</row>
    <row r="3446" spans="1:20" x14ac:dyDescent="0.2">
      <c r="A3446" s="16"/>
      <c r="B3446" s="16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</row>
    <row r="3447" spans="1:20" x14ac:dyDescent="0.2">
      <c r="A3447" s="16"/>
      <c r="B3447" s="16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</row>
    <row r="3448" spans="1:20" x14ac:dyDescent="0.2">
      <c r="A3448" s="16"/>
      <c r="B3448" s="16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</row>
    <row r="3449" spans="1:20" x14ac:dyDescent="0.2">
      <c r="A3449" s="16"/>
      <c r="B3449" s="16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</row>
    <row r="3450" spans="1:20" x14ac:dyDescent="0.2">
      <c r="A3450" s="16"/>
      <c r="B3450" s="16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</row>
    <row r="3451" spans="1:20" x14ac:dyDescent="0.2">
      <c r="A3451" s="16"/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</row>
    <row r="3452" spans="1:20" x14ac:dyDescent="0.2">
      <c r="A3452" s="16"/>
      <c r="B3452" s="16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</row>
    <row r="3453" spans="1:20" x14ac:dyDescent="0.2">
      <c r="A3453" s="16"/>
      <c r="B3453" s="16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</row>
    <row r="3454" spans="1:20" x14ac:dyDescent="0.2">
      <c r="A3454" s="16"/>
      <c r="B3454" s="16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</row>
    <row r="3455" spans="1:20" x14ac:dyDescent="0.2">
      <c r="A3455" s="16"/>
      <c r="B3455" s="16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</row>
    <row r="3456" spans="1:20" x14ac:dyDescent="0.2">
      <c r="A3456" s="16"/>
      <c r="B3456" s="16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</row>
    <row r="3457" spans="1:20" x14ac:dyDescent="0.2">
      <c r="A3457" s="16"/>
      <c r="B3457" s="16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</row>
    <row r="3458" spans="1:20" x14ac:dyDescent="0.2">
      <c r="A3458" s="16"/>
      <c r="B3458" s="16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</row>
    <row r="3459" spans="1:20" x14ac:dyDescent="0.2">
      <c r="A3459" s="16"/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</row>
    <row r="3460" spans="1:20" x14ac:dyDescent="0.2">
      <c r="A3460" s="16"/>
      <c r="B3460" s="16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</row>
    <row r="3461" spans="1:20" x14ac:dyDescent="0.2">
      <c r="A3461" s="16"/>
      <c r="B3461" s="16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</row>
    <row r="3462" spans="1:20" x14ac:dyDescent="0.2">
      <c r="A3462" s="16"/>
      <c r="B3462" s="16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</row>
    <row r="3463" spans="1:20" x14ac:dyDescent="0.2">
      <c r="A3463" s="16"/>
      <c r="B3463" s="16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</row>
    <row r="3464" spans="1:20" x14ac:dyDescent="0.2">
      <c r="A3464" s="16"/>
      <c r="B3464" s="16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</row>
    <row r="3465" spans="1:20" x14ac:dyDescent="0.2">
      <c r="A3465" s="16"/>
      <c r="B3465" s="16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</row>
    <row r="3466" spans="1:20" x14ac:dyDescent="0.2">
      <c r="A3466" s="16"/>
      <c r="B3466" s="16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</row>
    <row r="3467" spans="1:20" x14ac:dyDescent="0.2">
      <c r="A3467" s="16"/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</row>
    <row r="3468" spans="1:20" x14ac:dyDescent="0.2">
      <c r="A3468" s="16"/>
      <c r="B3468" s="16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</row>
    <row r="3469" spans="1:20" x14ac:dyDescent="0.2">
      <c r="A3469" s="16"/>
      <c r="B3469" s="16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</row>
    <row r="3470" spans="1:20" x14ac:dyDescent="0.2">
      <c r="A3470" s="16"/>
      <c r="B3470" s="16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</row>
    <row r="3471" spans="1:20" x14ac:dyDescent="0.2">
      <c r="A3471" s="16"/>
      <c r="B3471" s="16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</row>
    <row r="3472" spans="1:20" x14ac:dyDescent="0.2">
      <c r="A3472" s="16"/>
      <c r="B3472" s="16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</row>
    <row r="3473" spans="1:20" x14ac:dyDescent="0.2">
      <c r="A3473" s="16"/>
      <c r="B3473" s="16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</row>
    <row r="3474" spans="1:20" x14ac:dyDescent="0.2">
      <c r="A3474" s="16"/>
      <c r="B3474" s="16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</row>
    <row r="3475" spans="1:20" x14ac:dyDescent="0.2">
      <c r="A3475" s="16"/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</row>
    <row r="3476" spans="1:20" x14ac:dyDescent="0.2">
      <c r="A3476" s="16"/>
      <c r="B3476" s="16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</row>
    <row r="3477" spans="1:20" x14ac:dyDescent="0.2">
      <c r="A3477" s="16"/>
      <c r="B3477" s="16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</row>
    <row r="3478" spans="1:20" x14ac:dyDescent="0.2">
      <c r="A3478" s="16"/>
      <c r="B3478" s="16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</row>
    <row r="3479" spans="1:20" x14ac:dyDescent="0.2">
      <c r="A3479" s="16"/>
      <c r="B3479" s="16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</row>
    <row r="3480" spans="1:20" x14ac:dyDescent="0.2">
      <c r="A3480" s="16"/>
      <c r="B3480" s="16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</row>
    <row r="3481" spans="1:20" x14ac:dyDescent="0.2">
      <c r="A3481" s="16"/>
      <c r="B3481" s="16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</row>
    <row r="3482" spans="1:20" x14ac:dyDescent="0.2">
      <c r="A3482" s="16"/>
      <c r="B3482" s="16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</row>
    <row r="3483" spans="1:20" x14ac:dyDescent="0.2">
      <c r="A3483" s="16"/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</row>
    <row r="3484" spans="1:20" x14ac:dyDescent="0.2">
      <c r="A3484" s="16"/>
      <c r="B3484" s="16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</row>
    <row r="3485" spans="1:20" x14ac:dyDescent="0.2">
      <c r="A3485" s="16"/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</row>
    <row r="3486" spans="1:20" x14ac:dyDescent="0.2">
      <c r="A3486" s="16"/>
      <c r="B3486" s="16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</row>
    <row r="3487" spans="1:20" x14ac:dyDescent="0.2">
      <c r="A3487" s="16"/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</row>
    <row r="3488" spans="1:20" x14ac:dyDescent="0.2">
      <c r="A3488" s="16"/>
      <c r="B3488" s="16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</row>
    <row r="3489" spans="1:20" x14ac:dyDescent="0.2">
      <c r="A3489" s="16"/>
      <c r="B3489" s="16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</row>
    <row r="3490" spans="1:20" x14ac:dyDescent="0.2">
      <c r="A3490" s="16"/>
      <c r="B3490" s="16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</row>
    <row r="3491" spans="1:20" x14ac:dyDescent="0.2">
      <c r="A3491" s="16"/>
      <c r="B3491" s="16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</row>
    <row r="3492" spans="1:20" x14ac:dyDescent="0.2">
      <c r="A3492" s="16"/>
      <c r="B3492" s="16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</row>
    <row r="3493" spans="1:20" x14ac:dyDescent="0.2">
      <c r="A3493" s="16"/>
      <c r="B3493" s="16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</row>
    <row r="3494" spans="1:20" x14ac:dyDescent="0.2">
      <c r="A3494" s="16"/>
      <c r="B3494" s="16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</row>
    <row r="3495" spans="1:20" x14ac:dyDescent="0.2">
      <c r="A3495" s="16"/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</row>
    <row r="3496" spans="1:20" x14ac:dyDescent="0.2">
      <c r="A3496" s="16"/>
      <c r="B3496" s="16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</row>
    <row r="3497" spans="1:20" x14ac:dyDescent="0.2">
      <c r="A3497" s="16"/>
      <c r="B3497" s="16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</row>
    <row r="3498" spans="1:20" x14ac:dyDescent="0.2">
      <c r="A3498" s="16"/>
      <c r="B3498" s="16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</row>
    <row r="3499" spans="1:20" x14ac:dyDescent="0.2">
      <c r="A3499" s="16"/>
      <c r="B3499" s="16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</row>
    <row r="3500" spans="1:20" x14ac:dyDescent="0.2">
      <c r="A3500" s="16"/>
      <c r="B3500" s="16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</row>
    <row r="3501" spans="1:20" x14ac:dyDescent="0.2">
      <c r="A3501" s="16"/>
      <c r="B3501" s="16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</row>
    <row r="3502" spans="1:20" x14ac:dyDescent="0.2">
      <c r="A3502" s="16"/>
      <c r="B3502" s="16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</row>
    <row r="3503" spans="1:20" x14ac:dyDescent="0.2">
      <c r="A3503" s="16"/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</row>
    <row r="3504" spans="1:20" x14ac:dyDescent="0.2">
      <c r="A3504" s="16"/>
      <c r="B3504" s="16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</row>
    <row r="3505" spans="1:20" x14ac:dyDescent="0.2">
      <c r="A3505" s="16"/>
      <c r="B3505" s="16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</row>
    <row r="3506" spans="1:20" x14ac:dyDescent="0.2">
      <c r="A3506" s="16"/>
      <c r="B3506" s="16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</row>
    <row r="3507" spans="1:20" x14ac:dyDescent="0.2">
      <c r="A3507" s="16"/>
      <c r="B3507" s="16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</row>
    <row r="3508" spans="1:20" x14ac:dyDescent="0.2">
      <c r="A3508" s="16"/>
      <c r="B3508" s="16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</row>
    <row r="3509" spans="1:20" x14ac:dyDescent="0.2">
      <c r="A3509" s="16"/>
      <c r="B3509" s="16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</row>
    <row r="3510" spans="1:20" x14ac:dyDescent="0.2">
      <c r="A3510" s="16"/>
      <c r="B3510" s="16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</row>
    <row r="3511" spans="1:20" x14ac:dyDescent="0.2">
      <c r="A3511" s="16"/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</row>
    <row r="3512" spans="1:20" x14ac:dyDescent="0.2">
      <c r="A3512" s="16"/>
      <c r="B3512" s="16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</row>
    <row r="3513" spans="1:20" x14ac:dyDescent="0.2">
      <c r="A3513" s="16"/>
      <c r="B3513" s="16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</row>
    <row r="3514" spans="1:20" x14ac:dyDescent="0.2">
      <c r="A3514" s="16"/>
      <c r="B3514" s="16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</row>
    <row r="3515" spans="1:20" x14ac:dyDescent="0.2">
      <c r="A3515" s="16"/>
      <c r="B3515" s="16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</row>
    <row r="3516" spans="1:20" x14ac:dyDescent="0.2">
      <c r="A3516" s="16"/>
      <c r="B3516" s="16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</row>
    <row r="3517" spans="1:20" x14ac:dyDescent="0.2">
      <c r="A3517" s="16"/>
      <c r="B3517" s="16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</row>
    <row r="3518" spans="1:20" x14ac:dyDescent="0.2">
      <c r="A3518" s="16"/>
      <c r="B3518" s="16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</row>
    <row r="3519" spans="1:20" x14ac:dyDescent="0.2">
      <c r="A3519" s="16"/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</row>
    <row r="3520" spans="1:20" x14ac:dyDescent="0.2">
      <c r="A3520" s="16"/>
      <c r="B3520" s="16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</row>
    <row r="3521" spans="1:20" x14ac:dyDescent="0.2">
      <c r="A3521" s="16"/>
      <c r="B3521" s="16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</row>
    <row r="3522" spans="1:20" x14ac:dyDescent="0.2">
      <c r="A3522" s="16"/>
      <c r="B3522" s="16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</row>
    <row r="3523" spans="1:20" x14ac:dyDescent="0.2">
      <c r="A3523" s="16"/>
      <c r="B3523" s="16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</row>
    <row r="3524" spans="1:20" x14ac:dyDescent="0.2">
      <c r="A3524" s="16"/>
      <c r="B3524" s="16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</row>
    <row r="3525" spans="1:20" x14ac:dyDescent="0.2">
      <c r="A3525" s="16"/>
      <c r="B3525" s="16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</row>
    <row r="3526" spans="1:20" x14ac:dyDescent="0.2">
      <c r="A3526" s="16"/>
      <c r="B3526" s="16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</row>
    <row r="3527" spans="1:20" x14ac:dyDescent="0.2">
      <c r="A3527" s="16"/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</row>
    <row r="3528" spans="1:20" x14ac:dyDescent="0.2">
      <c r="A3528" s="16"/>
      <c r="B3528" s="16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</row>
    <row r="3529" spans="1:20" x14ac:dyDescent="0.2">
      <c r="A3529" s="16"/>
      <c r="B3529" s="16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</row>
    <row r="3530" spans="1:20" x14ac:dyDescent="0.2">
      <c r="A3530" s="16"/>
      <c r="B3530" s="16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</row>
    <row r="3531" spans="1:20" x14ac:dyDescent="0.2">
      <c r="A3531" s="16"/>
      <c r="B3531" s="16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</row>
    <row r="3532" spans="1:20" x14ac:dyDescent="0.2">
      <c r="A3532" s="16"/>
      <c r="B3532" s="16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</row>
    <row r="3533" spans="1:20" x14ac:dyDescent="0.2">
      <c r="A3533" s="16"/>
      <c r="B3533" s="16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</row>
    <row r="3534" spans="1:20" x14ac:dyDescent="0.2">
      <c r="A3534" s="16"/>
      <c r="B3534" s="16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</row>
    <row r="3535" spans="1:20" x14ac:dyDescent="0.2">
      <c r="A3535" s="16"/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</row>
    <row r="3536" spans="1:20" x14ac:dyDescent="0.2">
      <c r="A3536" s="16"/>
      <c r="B3536" s="16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</row>
    <row r="3537" spans="1:20" x14ac:dyDescent="0.2">
      <c r="A3537" s="16"/>
      <c r="B3537" s="16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</row>
    <row r="3538" spans="1:20" x14ac:dyDescent="0.2">
      <c r="A3538" s="16"/>
      <c r="B3538" s="16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</row>
    <row r="3539" spans="1:20" x14ac:dyDescent="0.2">
      <c r="A3539" s="16"/>
      <c r="B3539" s="16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</row>
    <row r="3540" spans="1:20" x14ac:dyDescent="0.2">
      <c r="A3540" s="16"/>
      <c r="B3540" s="16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</row>
    <row r="3541" spans="1:20" x14ac:dyDescent="0.2">
      <c r="A3541" s="16"/>
      <c r="B3541" s="16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</row>
    <row r="3542" spans="1:20" x14ac:dyDescent="0.2">
      <c r="A3542" s="16"/>
      <c r="B3542" s="16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</row>
    <row r="3543" spans="1:20" x14ac:dyDescent="0.2">
      <c r="A3543" s="16"/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</row>
    <row r="3544" spans="1:20" x14ac:dyDescent="0.2">
      <c r="A3544" s="16"/>
      <c r="B3544" s="16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</row>
    <row r="3545" spans="1:20" x14ac:dyDescent="0.2">
      <c r="A3545" s="16"/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</row>
    <row r="3546" spans="1:20" x14ac:dyDescent="0.2">
      <c r="A3546" s="16"/>
      <c r="B3546" s="16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</row>
    <row r="3547" spans="1:20" x14ac:dyDescent="0.2">
      <c r="A3547" s="16"/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</row>
    <row r="3548" spans="1:20" x14ac:dyDescent="0.2">
      <c r="A3548" s="16"/>
      <c r="B3548" s="16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</row>
    <row r="3549" spans="1:20" x14ac:dyDescent="0.2">
      <c r="A3549" s="16"/>
      <c r="B3549" s="16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</row>
    <row r="3550" spans="1:20" x14ac:dyDescent="0.2">
      <c r="A3550" s="16"/>
      <c r="B3550" s="16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</row>
    <row r="3551" spans="1:20" x14ac:dyDescent="0.2">
      <c r="A3551" s="16"/>
      <c r="B3551" s="16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</row>
    <row r="3552" spans="1:20" x14ac:dyDescent="0.2">
      <c r="A3552" s="16"/>
      <c r="B3552" s="16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</row>
    <row r="3553" spans="1:20" x14ac:dyDescent="0.2">
      <c r="A3553" s="16"/>
      <c r="B3553" s="16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</row>
    <row r="3554" spans="1:20" x14ac:dyDescent="0.2">
      <c r="A3554" s="16"/>
      <c r="B3554" s="16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</row>
    <row r="3555" spans="1:20" x14ac:dyDescent="0.2">
      <c r="A3555" s="16"/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</row>
    <row r="3556" spans="1:20" x14ac:dyDescent="0.2">
      <c r="A3556" s="16"/>
      <c r="B3556" s="16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</row>
    <row r="3557" spans="1:20" x14ac:dyDescent="0.2">
      <c r="A3557" s="16"/>
      <c r="B3557" s="16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</row>
    <row r="3558" spans="1:20" x14ac:dyDescent="0.2">
      <c r="A3558" s="16"/>
      <c r="B3558" s="16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</row>
    <row r="3559" spans="1:20" x14ac:dyDescent="0.2">
      <c r="A3559" s="16"/>
      <c r="B3559" s="16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</row>
    <row r="3560" spans="1:20" x14ac:dyDescent="0.2">
      <c r="A3560" s="16"/>
      <c r="B3560" s="16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</row>
    <row r="3561" spans="1:20" x14ac:dyDescent="0.2">
      <c r="A3561" s="16"/>
      <c r="B3561" s="16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</row>
    <row r="3562" spans="1:20" x14ac:dyDescent="0.2">
      <c r="A3562" s="16"/>
      <c r="B3562" s="16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</row>
    <row r="3563" spans="1:20" x14ac:dyDescent="0.2">
      <c r="A3563" s="16"/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</row>
    <row r="3564" spans="1:20" x14ac:dyDescent="0.2">
      <c r="A3564" s="16"/>
      <c r="B3564" s="16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</row>
    <row r="3565" spans="1:20" x14ac:dyDescent="0.2">
      <c r="A3565" s="16"/>
      <c r="B3565" s="16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</row>
    <row r="3566" spans="1:20" x14ac:dyDescent="0.2">
      <c r="A3566" s="16"/>
      <c r="B3566" s="16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</row>
    <row r="3567" spans="1:20" x14ac:dyDescent="0.2">
      <c r="A3567" s="16"/>
      <c r="B3567" s="16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</row>
    <row r="3568" spans="1:20" x14ac:dyDescent="0.2">
      <c r="A3568" s="16"/>
      <c r="B3568" s="16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</row>
    <row r="3569" spans="1:20" x14ac:dyDescent="0.2">
      <c r="A3569" s="16"/>
      <c r="B3569" s="16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</row>
    <row r="3570" spans="1:20" x14ac:dyDescent="0.2">
      <c r="A3570" s="16"/>
      <c r="B3570" s="16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</row>
    <row r="3571" spans="1:20" x14ac:dyDescent="0.2">
      <c r="A3571" s="16"/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</row>
    <row r="3572" spans="1:20" x14ac:dyDescent="0.2">
      <c r="A3572" s="16"/>
      <c r="B3572" s="16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</row>
    <row r="3573" spans="1:20" x14ac:dyDescent="0.2">
      <c r="A3573" s="16"/>
      <c r="B3573" s="16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</row>
    <row r="3574" spans="1:20" x14ac:dyDescent="0.2">
      <c r="A3574" s="16"/>
      <c r="B3574" s="16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</row>
    <row r="3575" spans="1:20" x14ac:dyDescent="0.2">
      <c r="A3575" s="16"/>
      <c r="B3575" s="16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</row>
    <row r="3576" spans="1:20" x14ac:dyDescent="0.2">
      <c r="A3576" s="16"/>
      <c r="B3576" s="16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</row>
    <row r="3577" spans="1:20" x14ac:dyDescent="0.2">
      <c r="A3577" s="16"/>
      <c r="B3577" s="16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</row>
    <row r="3578" spans="1:20" x14ac:dyDescent="0.2">
      <c r="A3578" s="16"/>
      <c r="B3578" s="16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</row>
    <row r="3579" spans="1:20" x14ac:dyDescent="0.2">
      <c r="A3579" s="16"/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</row>
    <row r="3580" spans="1:20" x14ac:dyDescent="0.2">
      <c r="A3580" s="16"/>
      <c r="B3580" s="16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</row>
    <row r="3581" spans="1:20" x14ac:dyDescent="0.2">
      <c r="A3581" s="16"/>
      <c r="B3581" s="16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</row>
    <row r="3582" spans="1:20" x14ac:dyDescent="0.2">
      <c r="A3582" s="16"/>
      <c r="B3582" s="16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</row>
    <row r="3583" spans="1:20" x14ac:dyDescent="0.2">
      <c r="A3583" s="16"/>
      <c r="B3583" s="16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</row>
    <row r="3584" spans="1:20" x14ac:dyDescent="0.2">
      <c r="A3584" s="16"/>
      <c r="B3584" s="16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</row>
    <row r="3585" spans="1:20" x14ac:dyDescent="0.2">
      <c r="A3585" s="16"/>
      <c r="B3585" s="16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</row>
    <row r="3586" spans="1:20" x14ac:dyDescent="0.2">
      <c r="A3586" s="16"/>
      <c r="B3586" s="16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</row>
    <row r="3587" spans="1:20" x14ac:dyDescent="0.2">
      <c r="A3587" s="16"/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</row>
    <row r="3588" spans="1:20" x14ac:dyDescent="0.2">
      <c r="A3588" s="16"/>
      <c r="B3588" s="16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</row>
    <row r="3589" spans="1:20" x14ac:dyDescent="0.2">
      <c r="A3589" s="16"/>
      <c r="B3589" s="16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</row>
    <row r="3590" spans="1:20" x14ac:dyDescent="0.2">
      <c r="A3590" s="16"/>
      <c r="B3590" s="16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</row>
    <row r="3591" spans="1:20" x14ac:dyDescent="0.2">
      <c r="A3591" s="16"/>
      <c r="B3591" s="16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</row>
    <row r="3592" spans="1:20" x14ac:dyDescent="0.2">
      <c r="A3592" s="16"/>
      <c r="B3592" s="16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</row>
    <row r="3593" spans="1:20" x14ac:dyDescent="0.2">
      <c r="A3593" s="16"/>
      <c r="B3593" s="16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</row>
    <row r="3594" spans="1:20" x14ac:dyDescent="0.2">
      <c r="A3594" s="16"/>
      <c r="B3594" s="16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</row>
    <row r="3595" spans="1:20" x14ac:dyDescent="0.2">
      <c r="A3595" s="16"/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</row>
    <row r="3596" spans="1:20" x14ac:dyDescent="0.2">
      <c r="A3596" s="16"/>
      <c r="B3596" s="16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</row>
    <row r="3597" spans="1:20" x14ac:dyDescent="0.2">
      <c r="A3597" s="16"/>
      <c r="B3597" s="16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</row>
    <row r="3598" spans="1:20" x14ac:dyDescent="0.2">
      <c r="A3598" s="16"/>
      <c r="B3598" s="16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</row>
    <row r="3599" spans="1:20" x14ac:dyDescent="0.2">
      <c r="A3599" s="16"/>
      <c r="B3599" s="16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</row>
    <row r="3600" spans="1:20" x14ac:dyDescent="0.2">
      <c r="A3600" s="16"/>
      <c r="B3600" s="16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</row>
    <row r="3601" spans="1:20" x14ac:dyDescent="0.2">
      <c r="A3601" s="16"/>
      <c r="B3601" s="16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</row>
    <row r="3602" spans="1:20" x14ac:dyDescent="0.2">
      <c r="A3602" s="16"/>
      <c r="B3602" s="16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</row>
    <row r="3603" spans="1:20" x14ac:dyDescent="0.2">
      <c r="A3603" s="16"/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</row>
    <row r="3604" spans="1:20" x14ac:dyDescent="0.2">
      <c r="A3604" s="16"/>
      <c r="B3604" s="16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</row>
    <row r="3605" spans="1:20" x14ac:dyDescent="0.2">
      <c r="A3605" s="16"/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</row>
    <row r="3606" spans="1:20" x14ac:dyDescent="0.2">
      <c r="A3606" s="16"/>
      <c r="B3606" s="16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</row>
    <row r="3607" spans="1:20" x14ac:dyDescent="0.2">
      <c r="A3607" s="16"/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</row>
    <row r="3608" spans="1:20" x14ac:dyDescent="0.2">
      <c r="A3608" s="16"/>
      <c r="B3608" s="16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</row>
    <row r="3609" spans="1:20" x14ac:dyDescent="0.2">
      <c r="A3609" s="16"/>
      <c r="B3609" s="16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</row>
    <row r="3610" spans="1:20" x14ac:dyDescent="0.2">
      <c r="A3610" s="16"/>
      <c r="B3610" s="16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</row>
    <row r="3611" spans="1:20" x14ac:dyDescent="0.2">
      <c r="A3611" s="16"/>
      <c r="B3611" s="16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</row>
    <row r="3612" spans="1:20" x14ac:dyDescent="0.2">
      <c r="A3612" s="16"/>
      <c r="B3612" s="16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</row>
    <row r="3613" spans="1:20" x14ac:dyDescent="0.2">
      <c r="A3613" s="16"/>
      <c r="B3613" s="16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</row>
    <row r="3614" spans="1:20" x14ac:dyDescent="0.2">
      <c r="A3614" s="16"/>
      <c r="B3614" s="16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</row>
    <row r="3615" spans="1:20" x14ac:dyDescent="0.2">
      <c r="A3615" s="16"/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</row>
    <row r="3616" spans="1:20" x14ac:dyDescent="0.2">
      <c r="A3616" s="16"/>
      <c r="B3616" s="16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</row>
    <row r="3617" spans="1:20" x14ac:dyDescent="0.2">
      <c r="A3617" s="16"/>
      <c r="B3617" s="16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</row>
    <row r="3618" spans="1:20" x14ac:dyDescent="0.2">
      <c r="A3618" s="16"/>
      <c r="B3618" s="16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</row>
    <row r="3619" spans="1:20" x14ac:dyDescent="0.2">
      <c r="A3619" s="16"/>
      <c r="B3619" s="16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</row>
    <row r="3620" spans="1:20" x14ac:dyDescent="0.2">
      <c r="A3620" s="16"/>
      <c r="B3620" s="16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</row>
    <row r="3621" spans="1:20" x14ac:dyDescent="0.2">
      <c r="A3621" s="16"/>
      <c r="B3621" s="16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</row>
    <row r="3622" spans="1:20" x14ac:dyDescent="0.2">
      <c r="A3622" s="16"/>
      <c r="B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</row>
    <row r="3623" spans="1:20" x14ac:dyDescent="0.2">
      <c r="A3623" s="16"/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</row>
    <row r="3624" spans="1:20" x14ac:dyDescent="0.2">
      <c r="A3624" s="16"/>
      <c r="B3624" s="16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</row>
    <row r="3625" spans="1:20" x14ac:dyDescent="0.2">
      <c r="A3625" s="16"/>
      <c r="B3625" s="16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</row>
    <row r="3626" spans="1:20" x14ac:dyDescent="0.2">
      <c r="A3626" s="16"/>
      <c r="B3626" s="16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</row>
    <row r="3627" spans="1:20" x14ac:dyDescent="0.2">
      <c r="A3627" s="16"/>
      <c r="B3627" s="16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</row>
    <row r="3628" spans="1:20" x14ac:dyDescent="0.2">
      <c r="A3628" s="16"/>
      <c r="B3628" s="16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</row>
    <row r="3629" spans="1:20" x14ac:dyDescent="0.2">
      <c r="A3629" s="16"/>
      <c r="B3629" s="16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</row>
    <row r="3630" spans="1:20" x14ac:dyDescent="0.2">
      <c r="A3630" s="16"/>
      <c r="B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</row>
    <row r="3631" spans="1:20" x14ac:dyDescent="0.2">
      <c r="A3631" s="16"/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</row>
    <row r="3632" spans="1:20" x14ac:dyDescent="0.2">
      <c r="A3632" s="16"/>
      <c r="B3632" s="16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</row>
    <row r="3633" spans="1:20" x14ac:dyDescent="0.2">
      <c r="A3633" s="16"/>
      <c r="B3633" s="16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</row>
    <row r="3634" spans="1:20" x14ac:dyDescent="0.2">
      <c r="A3634" s="16"/>
      <c r="B3634" s="16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</row>
    <row r="3635" spans="1:20" x14ac:dyDescent="0.2">
      <c r="A3635" s="16"/>
      <c r="B3635" s="16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</row>
    <row r="3636" spans="1:20" x14ac:dyDescent="0.2">
      <c r="A3636" s="16"/>
      <c r="B3636" s="16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</row>
    <row r="3637" spans="1:20" x14ac:dyDescent="0.2">
      <c r="A3637" s="16"/>
      <c r="B3637" s="16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</row>
    <row r="3638" spans="1:20" x14ac:dyDescent="0.2">
      <c r="A3638" s="16"/>
      <c r="B3638" s="16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</row>
    <row r="3639" spans="1:20" x14ac:dyDescent="0.2">
      <c r="A3639" s="16"/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</row>
    <row r="3640" spans="1:20" x14ac:dyDescent="0.2">
      <c r="A3640" s="16"/>
      <c r="B3640" s="16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</row>
    <row r="3641" spans="1:20" x14ac:dyDescent="0.2">
      <c r="A3641" s="16"/>
      <c r="B3641" s="16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</row>
    <row r="3642" spans="1:20" x14ac:dyDescent="0.2">
      <c r="A3642" s="16"/>
      <c r="B3642" s="16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</row>
    <row r="3643" spans="1:20" x14ac:dyDescent="0.2">
      <c r="A3643" s="16"/>
      <c r="B3643" s="16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</row>
    <row r="3644" spans="1:20" x14ac:dyDescent="0.2">
      <c r="A3644" s="16"/>
      <c r="B3644" s="16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</row>
    <row r="3645" spans="1:20" x14ac:dyDescent="0.2">
      <c r="A3645" s="16"/>
      <c r="B3645" s="16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</row>
    <row r="3646" spans="1:20" x14ac:dyDescent="0.2">
      <c r="A3646" s="16"/>
      <c r="B3646" s="16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</row>
    <row r="3647" spans="1:20" x14ac:dyDescent="0.2">
      <c r="A3647" s="16"/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</row>
    <row r="3648" spans="1:20" x14ac:dyDescent="0.2">
      <c r="A3648" s="16"/>
      <c r="B3648" s="16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</row>
    <row r="3649" spans="1:20" x14ac:dyDescent="0.2">
      <c r="A3649" s="16"/>
      <c r="B3649" s="16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</row>
    <row r="3650" spans="1:20" x14ac:dyDescent="0.2">
      <c r="A3650" s="16"/>
      <c r="B3650" s="16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</row>
    <row r="3651" spans="1:20" x14ac:dyDescent="0.2">
      <c r="A3651" s="16"/>
      <c r="B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</row>
    <row r="3652" spans="1:20" x14ac:dyDescent="0.2">
      <c r="A3652" s="16"/>
      <c r="B3652" s="16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</row>
    <row r="3653" spans="1:20" x14ac:dyDescent="0.2">
      <c r="A3653" s="16"/>
      <c r="B3653" s="16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</row>
    <row r="3654" spans="1:20" x14ac:dyDescent="0.2">
      <c r="A3654" s="16"/>
      <c r="B3654" s="16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</row>
    <row r="3655" spans="1:20" x14ac:dyDescent="0.2">
      <c r="A3655" s="16"/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</row>
    <row r="3656" spans="1:20" x14ac:dyDescent="0.2">
      <c r="A3656" s="16"/>
      <c r="B3656" s="16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</row>
    <row r="3657" spans="1:20" x14ac:dyDescent="0.2">
      <c r="A3657" s="16"/>
      <c r="B3657" s="16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</row>
    <row r="3658" spans="1:20" x14ac:dyDescent="0.2">
      <c r="A3658" s="16"/>
      <c r="B3658" s="16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</row>
    <row r="3659" spans="1:20" x14ac:dyDescent="0.2">
      <c r="A3659" s="16"/>
      <c r="B3659" s="16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</row>
    <row r="3660" spans="1:20" x14ac:dyDescent="0.2">
      <c r="A3660" s="16"/>
      <c r="B3660" s="16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</row>
    <row r="3661" spans="1:20" x14ac:dyDescent="0.2">
      <c r="A3661" s="16"/>
      <c r="B3661" s="16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</row>
    <row r="3662" spans="1:20" x14ac:dyDescent="0.2">
      <c r="A3662" s="16"/>
      <c r="B3662" s="16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</row>
    <row r="3663" spans="1:20" x14ac:dyDescent="0.2">
      <c r="A3663" s="16"/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</row>
    <row r="3664" spans="1:20" x14ac:dyDescent="0.2">
      <c r="A3664" s="16"/>
      <c r="B3664" s="16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</row>
    <row r="3665" spans="1:20" x14ac:dyDescent="0.2">
      <c r="A3665" s="16"/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</row>
    <row r="3666" spans="1:20" x14ac:dyDescent="0.2">
      <c r="A3666" s="16"/>
      <c r="B3666" s="16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</row>
    <row r="3667" spans="1:20" x14ac:dyDescent="0.2">
      <c r="A3667" s="16"/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</row>
    <row r="3668" spans="1:20" x14ac:dyDescent="0.2">
      <c r="A3668" s="16"/>
      <c r="B3668" s="16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</row>
    <row r="3669" spans="1:20" x14ac:dyDescent="0.2">
      <c r="A3669" s="16"/>
      <c r="B3669" s="16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</row>
    <row r="3670" spans="1:20" x14ac:dyDescent="0.2">
      <c r="A3670" s="16"/>
      <c r="B3670" s="16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</row>
    <row r="3671" spans="1:20" x14ac:dyDescent="0.2">
      <c r="A3671" s="16"/>
      <c r="B3671" s="16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</row>
    <row r="3672" spans="1:20" x14ac:dyDescent="0.2">
      <c r="A3672" s="16"/>
      <c r="B3672" s="16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</row>
    <row r="3673" spans="1:20" x14ac:dyDescent="0.2">
      <c r="A3673" s="16"/>
      <c r="B3673" s="16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</row>
    <row r="3674" spans="1:20" x14ac:dyDescent="0.2">
      <c r="A3674" s="16"/>
      <c r="B3674" s="16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</row>
    <row r="3675" spans="1:20" x14ac:dyDescent="0.2">
      <c r="A3675" s="16"/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</row>
    <row r="3676" spans="1:20" x14ac:dyDescent="0.2">
      <c r="A3676" s="16"/>
      <c r="B3676" s="16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</row>
    <row r="3677" spans="1:20" x14ac:dyDescent="0.2">
      <c r="A3677" s="16"/>
      <c r="B3677" s="16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</row>
    <row r="3678" spans="1:20" x14ac:dyDescent="0.2">
      <c r="A3678" s="16"/>
      <c r="B3678" s="16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</row>
    <row r="3679" spans="1:20" x14ac:dyDescent="0.2">
      <c r="A3679" s="16"/>
      <c r="B3679" s="16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</row>
    <row r="3680" spans="1:20" x14ac:dyDescent="0.2">
      <c r="A3680" s="16"/>
      <c r="B3680" s="16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</row>
    <row r="3681" spans="1:20" x14ac:dyDescent="0.2">
      <c r="A3681" s="16"/>
      <c r="B3681" s="16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</row>
    <row r="3682" spans="1:20" x14ac:dyDescent="0.2">
      <c r="A3682" s="16"/>
      <c r="B3682" s="16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</row>
    <row r="3683" spans="1:20" x14ac:dyDescent="0.2">
      <c r="A3683" s="16"/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</row>
    <row r="3684" spans="1:20" x14ac:dyDescent="0.2">
      <c r="A3684" s="16"/>
      <c r="B3684" s="16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</row>
    <row r="3685" spans="1:20" x14ac:dyDescent="0.2">
      <c r="A3685" s="16"/>
      <c r="B3685" s="16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</row>
    <row r="3686" spans="1:20" x14ac:dyDescent="0.2">
      <c r="A3686" s="16"/>
      <c r="B3686" s="16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</row>
    <row r="3687" spans="1:20" x14ac:dyDescent="0.2">
      <c r="A3687" s="16"/>
      <c r="B3687" s="16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</row>
    <row r="3688" spans="1:20" x14ac:dyDescent="0.2">
      <c r="A3688" s="16"/>
      <c r="B3688" s="16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</row>
    <row r="3689" spans="1:20" x14ac:dyDescent="0.2">
      <c r="A3689" s="16"/>
      <c r="B3689" s="16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</row>
    <row r="3690" spans="1:20" x14ac:dyDescent="0.2">
      <c r="A3690" s="16"/>
      <c r="B3690" s="16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</row>
    <row r="3691" spans="1:20" x14ac:dyDescent="0.2">
      <c r="A3691" s="16"/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</row>
    <row r="3692" spans="1:20" x14ac:dyDescent="0.2">
      <c r="A3692" s="16"/>
      <c r="B3692" s="16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</row>
    <row r="3693" spans="1:20" x14ac:dyDescent="0.2">
      <c r="A3693" s="16"/>
      <c r="B3693" s="16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</row>
    <row r="3694" spans="1:20" x14ac:dyDescent="0.2">
      <c r="A3694" s="16"/>
      <c r="B3694" s="16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</row>
    <row r="3695" spans="1:20" x14ac:dyDescent="0.2">
      <c r="A3695" s="16"/>
      <c r="B3695" s="16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</row>
    <row r="3696" spans="1:20" x14ac:dyDescent="0.2">
      <c r="A3696" s="16"/>
      <c r="B3696" s="16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</row>
    <row r="3697" spans="1:20" x14ac:dyDescent="0.2">
      <c r="A3697" s="16"/>
      <c r="B3697" s="16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</row>
    <row r="3698" spans="1:20" x14ac:dyDescent="0.2">
      <c r="A3698" s="16"/>
      <c r="B3698" s="16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</row>
    <row r="3699" spans="1:20" x14ac:dyDescent="0.2">
      <c r="A3699" s="16"/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</row>
    <row r="3700" spans="1:20" x14ac:dyDescent="0.2">
      <c r="A3700" s="16"/>
      <c r="B3700" s="16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</row>
    <row r="3701" spans="1:20" x14ac:dyDescent="0.2">
      <c r="A3701" s="16"/>
      <c r="B3701" s="16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</row>
    <row r="3702" spans="1:20" x14ac:dyDescent="0.2">
      <c r="A3702" s="16"/>
      <c r="B3702" s="16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</row>
    <row r="3703" spans="1:20" x14ac:dyDescent="0.2">
      <c r="A3703" s="16"/>
      <c r="B3703" s="16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</row>
    <row r="3704" spans="1:20" x14ac:dyDescent="0.2">
      <c r="A3704" s="16"/>
      <c r="B3704" s="16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</row>
    <row r="3705" spans="1:20" x14ac:dyDescent="0.2">
      <c r="A3705" s="16"/>
      <c r="B3705" s="16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</row>
    <row r="3706" spans="1:20" x14ac:dyDescent="0.2">
      <c r="A3706" s="16"/>
      <c r="B3706" s="16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</row>
    <row r="3707" spans="1:20" x14ac:dyDescent="0.2">
      <c r="A3707" s="16"/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</row>
    <row r="3708" spans="1:20" x14ac:dyDescent="0.2">
      <c r="A3708" s="16"/>
      <c r="B3708" s="16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</row>
    <row r="3709" spans="1:20" x14ac:dyDescent="0.2">
      <c r="A3709" s="16"/>
      <c r="B3709" s="16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</row>
    <row r="3710" spans="1:20" x14ac:dyDescent="0.2">
      <c r="A3710" s="16"/>
      <c r="B3710" s="16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</row>
    <row r="3711" spans="1:20" x14ac:dyDescent="0.2">
      <c r="A3711" s="16"/>
      <c r="B3711" s="16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</row>
    <row r="3712" spans="1:20" x14ac:dyDescent="0.2">
      <c r="A3712" s="16"/>
      <c r="B3712" s="16"/>
      <c r="C3712" s="16"/>
      <c r="D3712" s="16"/>
      <c r="E3712" s="16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</row>
    <row r="3713" spans="1:20" x14ac:dyDescent="0.2">
      <c r="A3713" s="16"/>
      <c r="B3713" s="16"/>
      <c r="C3713" s="16"/>
      <c r="D3713" s="16"/>
      <c r="E3713" s="16"/>
      <c r="F3713" s="16"/>
      <c r="G3713" s="16"/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</row>
    <row r="3714" spans="1:20" x14ac:dyDescent="0.2">
      <c r="A3714" s="16"/>
      <c r="B3714" s="16"/>
      <c r="C3714" s="16"/>
      <c r="D3714" s="16"/>
      <c r="E3714" s="16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  <c r="R3714" s="16"/>
      <c r="S3714" s="16"/>
      <c r="T3714" s="16"/>
    </row>
    <row r="3715" spans="1:20" x14ac:dyDescent="0.2">
      <c r="A3715" s="16"/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</row>
    <row r="3716" spans="1:20" x14ac:dyDescent="0.2">
      <c r="A3716" s="16"/>
      <c r="B3716" s="16"/>
      <c r="C3716" s="16"/>
      <c r="D3716" s="16"/>
      <c r="E3716" s="16"/>
      <c r="F3716" s="16"/>
      <c r="G3716" s="16"/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</row>
    <row r="3717" spans="1:20" x14ac:dyDescent="0.2">
      <c r="A3717" s="16"/>
      <c r="B3717" s="16"/>
      <c r="C3717" s="16"/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</row>
    <row r="3718" spans="1:20" x14ac:dyDescent="0.2">
      <c r="A3718" s="16"/>
      <c r="B3718" s="16"/>
      <c r="C3718" s="16"/>
      <c r="D3718" s="16"/>
      <c r="E3718" s="16"/>
      <c r="F3718" s="16"/>
      <c r="G3718" s="16"/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</row>
    <row r="3719" spans="1:20" x14ac:dyDescent="0.2">
      <c r="A3719" s="16"/>
      <c r="B3719" s="16"/>
      <c r="C3719" s="16"/>
      <c r="D3719" s="16"/>
      <c r="E3719" s="16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/>
    </row>
    <row r="3720" spans="1:20" x14ac:dyDescent="0.2">
      <c r="A3720" s="16"/>
      <c r="B3720" s="16"/>
      <c r="C3720" s="16"/>
      <c r="D3720" s="16"/>
      <c r="E3720" s="16"/>
      <c r="F3720" s="16"/>
      <c r="G3720" s="16"/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</row>
    <row r="3721" spans="1:20" x14ac:dyDescent="0.2">
      <c r="A3721" s="16"/>
      <c r="B3721" s="16"/>
      <c r="C3721" s="16"/>
      <c r="D3721" s="16"/>
      <c r="E3721" s="16"/>
      <c r="F3721" s="16"/>
      <c r="G3721" s="16"/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</row>
    <row r="3722" spans="1:20" x14ac:dyDescent="0.2">
      <c r="A3722" s="16"/>
      <c r="B3722" s="16"/>
      <c r="C3722" s="16"/>
      <c r="D3722" s="16"/>
      <c r="E3722" s="16"/>
      <c r="F3722" s="16"/>
      <c r="G3722" s="16"/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</row>
    <row r="3723" spans="1:20" x14ac:dyDescent="0.2">
      <c r="A3723" s="16"/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</row>
    <row r="3724" spans="1:20" x14ac:dyDescent="0.2">
      <c r="A3724" s="16"/>
      <c r="B3724" s="16"/>
      <c r="C3724" s="16"/>
      <c r="D3724" s="16"/>
      <c r="E3724" s="16"/>
      <c r="F3724" s="16"/>
      <c r="G3724" s="16"/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</row>
    <row r="3725" spans="1:20" x14ac:dyDescent="0.2">
      <c r="A3725" s="16"/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</row>
    <row r="3726" spans="1:20" x14ac:dyDescent="0.2">
      <c r="A3726" s="16"/>
      <c r="B3726" s="16"/>
      <c r="C3726" s="16"/>
      <c r="D3726" s="16"/>
      <c r="E3726" s="16"/>
      <c r="F3726" s="16"/>
      <c r="G3726" s="16"/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</row>
    <row r="3727" spans="1:20" x14ac:dyDescent="0.2">
      <c r="A3727" s="16"/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</row>
    <row r="3728" spans="1:20" x14ac:dyDescent="0.2">
      <c r="A3728" s="16"/>
      <c r="B3728" s="16"/>
      <c r="C3728" s="16"/>
      <c r="D3728" s="16"/>
      <c r="E3728" s="16"/>
      <c r="F3728" s="16"/>
      <c r="G3728" s="16"/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</row>
    <row r="3729" spans="1:20" x14ac:dyDescent="0.2">
      <c r="A3729" s="16"/>
      <c r="B3729" s="16"/>
      <c r="C3729" s="16"/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</row>
    <row r="3730" spans="1:20" x14ac:dyDescent="0.2">
      <c r="A3730" s="16"/>
      <c r="B3730" s="16"/>
      <c r="C3730" s="16"/>
      <c r="D3730" s="16"/>
      <c r="E3730" s="16"/>
      <c r="F3730" s="16"/>
      <c r="G3730" s="16"/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</row>
    <row r="3731" spans="1:20" x14ac:dyDescent="0.2">
      <c r="A3731" s="16"/>
      <c r="B3731" s="16"/>
      <c r="C3731" s="16"/>
      <c r="D3731" s="16"/>
      <c r="E3731" s="16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</row>
    <row r="3732" spans="1:20" x14ac:dyDescent="0.2">
      <c r="A3732" s="16"/>
      <c r="B3732" s="16"/>
      <c r="C3732" s="16"/>
      <c r="D3732" s="16"/>
      <c r="E3732" s="16"/>
      <c r="F3732" s="16"/>
      <c r="G3732" s="16"/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</row>
    <row r="3733" spans="1:20" x14ac:dyDescent="0.2">
      <c r="A3733" s="16"/>
      <c r="B3733" s="16"/>
      <c r="C3733" s="16"/>
      <c r="D3733" s="16"/>
      <c r="E3733" s="16"/>
      <c r="F3733" s="16"/>
      <c r="G3733" s="16"/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</row>
    <row r="3734" spans="1:20" x14ac:dyDescent="0.2">
      <c r="A3734" s="16"/>
      <c r="B3734" s="16"/>
      <c r="C3734" s="16"/>
      <c r="D3734" s="16"/>
      <c r="E3734" s="16"/>
      <c r="F3734" s="16"/>
      <c r="G3734" s="16"/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</row>
    <row r="3735" spans="1:20" x14ac:dyDescent="0.2">
      <c r="A3735" s="16"/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</row>
    <row r="3736" spans="1:20" x14ac:dyDescent="0.2">
      <c r="A3736" s="16"/>
      <c r="B3736" s="16"/>
      <c r="C3736" s="16"/>
      <c r="D3736" s="16"/>
      <c r="E3736" s="16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</row>
    <row r="3737" spans="1:20" x14ac:dyDescent="0.2">
      <c r="A3737" s="16"/>
      <c r="B3737" s="16"/>
      <c r="C3737" s="16"/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</row>
    <row r="3738" spans="1:20" x14ac:dyDescent="0.2">
      <c r="A3738" s="16"/>
      <c r="B3738" s="16"/>
      <c r="C3738" s="16"/>
      <c r="D3738" s="16"/>
      <c r="E3738" s="16"/>
      <c r="F3738" s="16"/>
      <c r="G3738" s="16"/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</row>
    <row r="3739" spans="1:20" x14ac:dyDescent="0.2">
      <c r="A3739" s="16"/>
      <c r="B3739" s="16"/>
      <c r="C3739" s="16"/>
      <c r="D3739" s="16"/>
      <c r="E3739" s="16"/>
      <c r="F3739" s="16"/>
      <c r="G3739" s="16"/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</row>
    <row r="3740" spans="1:20" x14ac:dyDescent="0.2">
      <c r="A3740" s="16"/>
      <c r="B3740" s="16"/>
      <c r="C3740" s="16"/>
      <c r="D3740" s="16"/>
      <c r="E3740" s="16"/>
      <c r="F3740" s="16"/>
      <c r="G3740" s="16"/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</row>
    <row r="3741" spans="1:20" x14ac:dyDescent="0.2">
      <c r="A3741" s="16"/>
      <c r="B3741" s="16"/>
      <c r="C3741" s="16"/>
      <c r="D3741" s="16"/>
      <c r="E3741" s="16"/>
      <c r="F3741" s="16"/>
      <c r="G3741" s="16"/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</row>
    <row r="3742" spans="1:20" x14ac:dyDescent="0.2">
      <c r="A3742" s="16"/>
      <c r="B3742" s="16"/>
      <c r="C3742" s="16"/>
      <c r="D3742" s="16"/>
      <c r="E3742" s="16"/>
      <c r="F3742" s="16"/>
      <c r="G3742" s="16"/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</row>
    <row r="3743" spans="1:20" x14ac:dyDescent="0.2">
      <c r="A3743" s="16"/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</row>
    <row r="3744" spans="1:20" x14ac:dyDescent="0.2">
      <c r="A3744" s="16"/>
      <c r="B3744" s="16"/>
      <c r="C3744" s="16"/>
      <c r="D3744" s="16"/>
      <c r="E3744" s="16"/>
      <c r="F3744" s="16"/>
      <c r="G3744" s="16"/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</row>
    <row r="3745" spans="1:20" x14ac:dyDescent="0.2">
      <c r="A3745" s="16"/>
      <c r="B3745" s="16"/>
      <c r="C3745" s="16"/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</row>
    <row r="3746" spans="1:20" x14ac:dyDescent="0.2">
      <c r="A3746" s="16"/>
      <c r="B3746" s="16"/>
      <c r="C3746" s="16"/>
      <c r="D3746" s="16"/>
      <c r="E3746" s="16"/>
      <c r="F3746" s="16"/>
      <c r="G3746" s="16"/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</row>
    <row r="3747" spans="1:20" x14ac:dyDescent="0.2">
      <c r="A3747" s="16"/>
      <c r="B3747" s="16"/>
      <c r="C3747" s="16"/>
      <c r="D3747" s="16"/>
      <c r="E3747" s="16"/>
      <c r="F3747" s="16"/>
      <c r="G3747" s="16"/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</row>
    <row r="3748" spans="1:20" x14ac:dyDescent="0.2">
      <c r="A3748" s="16"/>
      <c r="B3748" s="16"/>
      <c r="C3748" s="16"/>
      <c r="D3748" s="16"/>
      <c r="E3748" s="16"/>
      <c r="F3748" s="16"/>
      <c r="G3748" s="16"/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</row>
    <row r="3749" spans="1:20" x14ac:dyDescent="0.2">
      <c r="A3749" s="16"/>
      <c r="B3749" s="16"/>
      <c r="C3749" s="16"/>
      <c r="D3749" s="16"/>
      <c r="E3749" s="16"/>
      <c r="F3749" s="16"/>
      <c r="G3749" s="16"/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</row>
    <row r="3750" spans="1:20" x14ac:dyDescent="0.2">
      <c r="A3750" s="16"/>
      <c r="B3750" s="16"/>
      <c r="C3750" s="16"/>
      <c r="D3750" s="16"/>
      <c r="E3750" s="16"/>
      <c r="F3750" s="16"/>
      <c r="G3750" s="16"/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</row>
    <row r="3751" spans="1:20" x14ac:dyDescent="0.2">
      <c r="A3751" s="16"/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</row>
    <row r="3752" spans="1:20" x14ac:dyDescent="0.2">
      <c r="A3752" s="16"/>
      <c r="B3752" s="16"/>
      <c r="C3752" s="16"/>
      <c r="D3752" s="16"/>
      <c r="E3752" s="16"/>
      <c r="F3752" s="16"/>
      <c r="G3752" s="16"/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</row>
    <row r="3753" spans="1:20" x14ac:dyDescent="0.2">
      <c r="A3753" s="16"/>
      <c r="B3753" s="16"/>
      <c r="C3753" s="16"/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</row>
    <row r="3754" spans="1:20" x14ac:dyDescent="0.2">
      <c r="A3754" s="16"/>
      <c r="B3754" s="16"/>
      <c r="C3754" s="16"/>
      <c r="D3754" s="16"/>
      <c r="E3754" s="16"/>
      <c r="F3754" s="16"/>
      <c r="G3754" s="16"/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</row>
    <row r="3755" spans="1:20" x14ac:dyDescent="0.2">
      <c r="A3755" s="16"/>
      <c r="B3755" s="16"/>
      <c r="C3755" s="16"/>
      <c r="D3755" s="16"/>
      <c r="E3755" s="16"/>
      <c r="F3755" s="16"/>
      <c r="G3755" s="16"/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</row>
    <row r="3756" spans="1:20" x14ac:dyDescent="0.2">
      <c r="A3756" s="16"/>
      <c r="B3756" s="16"/>
      <c r="C3756" s="16"/>
      <c r="D3756" s="16"/>
      <c r="E3756" s="16"/>
      <c r="F3756" s="16"/>
      <c r="G3756" s="16"/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</row>
    <row r="3757" spans="1:20" x14ac:dyDescent="0.2">
      <c r="A3757" s="16"/>
      <c r="B3757" s="16"/>
      <c r="C3757" s="16"/>
      <c r="D3757" s="16"/>
      <c r="E3757" s="16"/>
      <c r="F3757" s="16"/>
      <c r="G3757" s="16"/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</row>
    <row r="3758" spans="1:20" x14ac:dyDescent="0.2">
      <c r="A3758" s="16"/>
      <c r="B3758" s="16"/>
      <c r="C3758" s="16"/>
      <c r="D3758" s="16"/>
      <c r="E3758" s="16"/>
      <c r="F3758" s="16"/>
      <c r="G3758" s="16"/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</row>
    <row r="3759" spans="1:20" x14ac:dyDescent="0.2">
      <c r="A3759" s="16"/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16"/>
      <c r="S3759" s="16"/>
      <c r="T3759" s="16"/>
    </row>
    <row r="3760" spans="1:20" x14ac:dyDescent="0.2">
      <c r="A3760" s="16"/>
      <c r="B3760" s="16"/>
      <c r="C3760" s="16"/>
      <c r="D3760" s="16"/>
      <c r="E3760" s="16"/>
      <c r="F3760" s="16"/>
      <c r="G3760" s="16"/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</row>
    <row r="3761" spans="1:20" x14ac:dyDescent="0.2">
      <c r="A3761" s="16"/>
      <c r="B3761" s="16"/>
      <c r="C3761" s="16"/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</row>
    <row r="3762" spans="1:20" x14ac:dyDescent="0.2">
      <c r="A3762" s="16"/>
      <c r="B3762" s="16"/>
      <c r="C3762" s="16"/>
      <c r="D3762" s="16"/>
      <c r="E3762" s="16"/>
      <c r="F3762" s="16"/>
      <c r="G3762" s="16"/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</row>
    <row r="3763" spans="1:20" x14ac:dyDescent="0.2">
      <c r="A3763" s="16"/>
      <c r="B3763" s="16"/>
      <c r="C3763" s="16"/>
      <c r="D3763" s="16"/>
      <c r="E3763" s="16"/>
      <c r="F3763" s="16"/>
      <c r="G3763" s="16"/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</row>
    <row r="3764" spans="1:20" x14ac:dyDescent="0.2">
      <c r="A3764" s="16"/>
      <c r="B3764" s="16"/>
      <c r="C3764" s="16"/>
      <c r="D3764" s="16"/>
      <c r="E3764" s="16"/>
      <c r="F3764" s="16"/>
      <c r="G3764" s="16"/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</row>
    <row r="3765" spans="1:20" x14ac:dyDescent="0.2">
      <c r="A3765" s="16"/>
      <c r="B3765" s="16"/>
      <c r="C3765" s="16"/>
      <c r="D3765" s="16"/>
      <c r="E3765" s="16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</row>
    <row r="3766" spans="1:20" x14ac:dyDescent="0.2">
      <c r="A3766" s="16"/>
      <c r="B3766" s="16"/>
      <c r="C3766" s="16"/>
      <c r="D3766" s="16"/>
      <c r="E3766" s="16"/>
      <c r="F3766" s="16"/>
      <c r="G3766" s="16"/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</row>
    <row r="3767" spans="1:20" x14ac:dyDescent="0.2">
      <c r="A3767" s="16"/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</row>
    <row r="3768" spans="1:20" x14ac:dyDescent="0.2">
      <c r="A3768" s="16"/>
      <c r="B3768" s="16"/>
      <c r="C3768" s="16"/>
      <c r="D3768" s="16"/>
      <c r="E3768" s="16"/>
      <c r="F3768" s="16"/>
      <c r="G3768" s="16"/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</row>
    <row r="3769" spans="1:20" x14ac:dyDescent="0.2">
      <c r="A3769" s="16"/>
      <c r="B3769" s="16"/>
      <c r="C3769" s="16"/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</row>
    <row r="3770" spans="1:20" x14ac:dyDescent="0.2">
      <c r="A3770" s="16"/>
      <c r="B3770" s="16"/>
      <c r="C3770" s="16"/>
      <c r="D3770" s="16"/>
      <c r="E3770" s="16"/>
      <c r="F3770" s="16"/>
      <c r="G3770" s="16"/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</row>
    <row r="3771" spans="1:20" x14ac:dyDescent="0.2">
      <c r="A3771" s="16"/>
      <c r="B3771" s="16"/>
      <c r="C3771" s="16"/>
      <c r="D3771" s="16"/>
      <c r="E3771" s="16"/>
      <c r="F3771" s="16"/>
      <c r="G3771" s="16"/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16"/>
      <c r="S3771" s="16"/>
      <c r="T3771" s="16"/>
    </row>
    <row r="3772" spans="1:20" x14ac:dyDescent="0.2">
      <c r="A3772" s="16"/>
      <c r="B3772" s="16"/>
      <c r="C3772" s="16"/>
      <c r="D3772" s="16"/>
      <c r="E3772" s="16"/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</row>
    <row r="3773" spans="1:20" x14ac:dyDescent="0.2">
      <c r="A3773" s="16"/>
      <c r="B3773" s="16"/>
      <c r="C3773" s="16"/>
      <c r="D3773" s="16"/>
      <c r="E3773" s="16"/>
      <c r="F3773" s="16"/>
      <c r="G3773" s="16"/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</row>
    <row r="3774" spans="1:20" x14ac:dyDescent="0.2">
      <c r="A3774" s="16"/>
      <c r="B3774" s="16"/>
      <c r="C3774" s="16"/>
      <c r="D3774" s="16"/>
      <c r="E3774" s="16"/>
      <c r="F3774" s="16"/>
      <c r="G3774" s="16"/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</row>
    <row r="3775" spans="1:20" x14ac:dyDescent="0.2">
      <c r="A3775" s="16"/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</row>
    <row r="3776" spans="1:20" x14ac:dyDescent="0.2">
      <c r="A3776" s="16"/>
      <c r="B3776" s="16"/>
      <c r="C3776" s="16"/>
      <c r="D3776" s="16"/>
      <c r="E3776" s="16"/>
      <c r="F3776" s="16"/>
      <c r="G3776" s="16"/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</row>
    <row r="3777" spans="1:20" x14ac:dyDescent="0.2">
      <c r="A3777" s="16"/>
      <c r="B3777" s="16"/>
      <c r="C3777" s="16"/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</row>
    <row r="3778" spans="1:20" x14ac:dyDescent="0.2">
      <c r="A3778" s="16"/>
      <c r="B3778" s="16"/>
      <c r="C3778" s="16"/>
      <c r="D3778" s="16"/>
      <c r="E3778" s="16"/>
      <c r="F3778" s="16"/>
      <c r="G3778" s="16"/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</row>
    <row r="3779" spans="1:20" x14ac:dyDescent="0.2">
      <c r="A3779" s="16"/>
      <c r="B3779" s="16"/>
      <c r="C3779" s="16"/>
      <c r="D3779" s="16"/>
      <c r="E3779" s="16"/>
      <c r="F3779" s="16"/>
      <c r="G3779" s="16"/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</row>
    <row r="3780" spans="1:20" x14ac:dyDescent="0.2">
      <c r="A3780" s="16"/>
      <c r="B3780" s="16"/>
      <c r="C3780" s="16"/>
      <c r="D3780" s="16"/>
      <c r="E3780" s="16"/>
      <c r="F3780" s="16"/>
      <c r="G3780" s="16"/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</row>
    <row r="3781" spans="1:20" x14ac:dyDescent="0.2">
      <c r="A3781" s="16"/>
      <c r="B3781" s="16"/>
      <c r="C3781" s="16"/>
      <c r="D3781" s="16"/>
      <c r="E3781" s="16"/>
      <c r="F3781" s="16"/>
      <c r="G3781" s="16"/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</row>
    <row r="3782" spans="1:20" x14ac:dyDescent="0.2">
      <c r="A3782" s="16"/>
      <c r="B3782" s="16"/>
      <c r="C3782" s="16"/>
      <c r="D3782" s="16"/>
      <c r="E3782" s="16"/>
      <c r="F3782" s="16"/>
      <c r="G3782" s="16"/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</row>
    <row r="3783" spans="1:20" x14ac:dyDescent="0.2">
      <c r="A3783" s="16"/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</row>
    <row r="3784" spans="1:20" x14ac:dyDescent="0.2">
      <c r="A3784" s="16"/>
      <c r="B3784" s="16"/>
      <c r="C3784" s="16"/>
      <c r="D3784" s="16"/>
      <c r="E3784" s="16"/>
      <c r="F3784" s="16"/>
      <c r="G3784" s="16"/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</row>
    <row r="3785" spans="1:20" x14ac:dyDescent="0.2">
      <c r="A3785" s="16"/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</row>
    <row r="3786" spans="1:20" x14ac:dyDescent="0.2">
      <c r="A3786" s="16"/>
      <c r="B3786" s="16"/>
      <c r="C3786" s="16"/>
      <c r="D3786" s="16"/>
      <c r="E3786" s="16"/>
      <c r="F3786" s="16"/>
      <c r="G3786" s="16"/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</row>
    <row r="3787" spans="1:20" x14ac:dyDescent="0.2">
      <c r="A3787" s="16"/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</row>
    <row r="3788" spans="1:20" x14ac:dyDescent="0.2">
      <c r="A3788" s="16"/>
      <c r="B3788" s="16"/>
      <c r="C3788" s="16"/>
      <c r="D3788" s="16"/>
      <c r="E3788" s="16"/>
      <c r="F3788" s="16"/>
      <c r="G3788" s="16"/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</row>
    <row r="3789" spans="1:20" x14ac:dyDescent="0.2">
      <c r="A3789" s="16"/>
      <c r="B3789" s="16"/>
      <c r="C3789" s="16"/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</row>
    <row r="3790" spans="1:20" x14ac:dyDescent="0.2">
      <c r="A3790" s="16"/>
      <c r="B3790" s="16"/>
      <c r="C3790" s="16"/>
      <c r="D3790" s="16"/>
      <c r="E3790" s="16"/>
      <c r="F3790" s="16"/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</row>
    <row r="3791" spans="1:20" x14ac:dyDescent="0.2">
      <c r="A3791" s="16"/>
      <c r="B3791" s="16"/>
      <c r="C3791" s="16"/>
      <c r="D3791" s="16"/>
      <c r="E3791" s="16"/>
      <c r="F3791" s="16"/>
      <c r="G3791" s="16"/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</row>
    <row r="3792" spans="1:20" x14ac:dyDescent="0.2">
      <c r="A3792" s="16"/>
      <c r="B3792" s="16"/>
      <c r="C3792" s="16"/>
      <c r="D3792" s="16"/>
      <c r="E3792" s="16"/>
      <c r="F3792" s="16"/>
      <c r="G3792" s="16"/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</row>
    <row r="3793" spans="1:20" x14ac:dyDescent="0.2">
      <c r="A3793" s="16"/>
      <c r="B3793" s="16"/>
      <c r="C3793" s="16"/>
      <c r="D3793" s="16"/>
      <c r="E3793" s="16"/>
      <c r="F3793" s="16"/>
      <c r="G3793" s="16"/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</row>
    <row r="3794" spans="1:20" x14ac:dyDescent="0.2">
      <c r="A3794" s="16"/>
      <c r="B3794" s="16"/>
      <c r="C3794" s="16"/>
      <c r="D3794" s="16"/>
      <c r="E3794" s="16"/>
      <c r="F3794" s="16"/>
      <c r="G3794" s="16"/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</row>
    <row r="3795" spans="1:20" x14ac:dyDescent="0.2">
      <c r="A3795" s="16"/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</row>
    <row r="3796" spans="1:20" x14ac:dyDescent="0.2">
      <c r="A3796" s="16"/>
      <c r="B3796" s="16"/>
      <c r="C3796" s="16"/>
      <c r="D3796" s="16"/>
      <c r="E3796" s="16"/>
      <c r="F3796" s="16"/>
      <c r="G3796" s="16"/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</row>
    <row r="3797" spans="1:20" x14ac:dyDescent="0.2">
      <c r="A3797" s="16"/>
      <c r="B3797" s="16"/>
      <c r="C3797" s="16"/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</row>
    <row r="3798" spans="1:20" x14ac:dyDescent="0.2">
      <c r="A3798" s="16"/>
      <c r="B3798" s="16"/>
      <c r="C3798" s="16"/>
      <c r="D3798" s="16"/>
      <c r="E3798" s="16"/>
      <c r="F3798" s="16"/>
      <c r="G3798" s="16"/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</row>
    <row r="3799" spans="1:20" x14ac:dyDescent="0.2">
      <c r="A3799" s="16"/>
      <c r="B3799" s="16"/>
      <c r="C3799" s="16"/>
      <c r="D3799" s="16"/>
      <c r="E3799" s="16"/>
      <c r="F3799" s="16"/>
      <c r="G3799" s="16"/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</row>
    <row r="3800" spans="1:20" x14ac:dyDescent="0.2">
      <c r="A3800" s="16"/>
      <c r="B3800" s="16"/>
      <c r="C3800" s="16"/>
      <c r="D3800" s="16"/>
      <c r="E3800" s="16"/>
      <c r="F3800" s="16"/>
      <c r="G3800" s="16"/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</row>
    <row r="3801" spans="1:20" x14ac:dyDescent="0.2">
      <c r="A3801" s="16"/>
      <c r="B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</row>
    <row r="3802" spans="1:20" x14ac:dyDescent="0.2">
      <c r="A3802" s="16"/>
      <c r="B3802" s="16"/>
      <c r="C3802" s="16"/>
      <c r="D3802" s="16"/>
      <c r="E3802" s="16"/>
      <c r="F3802" s="16"/>
      <c r="G3802" s="16"/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</row>
    <row r="3803" spans="1:20" x14ac:dyDescent="0.2">
      <c r="A3803" s="16"/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</row>
    <row r="3804" spans="1:20" x14ac:dyDescent="0.2">
      <c r="A3804" s="16"/>
      <c r="B3804" s="16"/>
      <c r="C3804" s="16"/>
      <c r="D3804" s="16"/>
      <c r="E3804" s="16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</row>
    <row r="3805" spans="1:20" x14ac:dyDescent="0.2">
      <c r="A3805" s="16"/>
      <c r="B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</row>
    <row r="3806" spans="1:20" x14ac:dyDescent="0.2">
      <c r="A3806" s="16"/>
      <c r="B3806" s="16"/>
      <c r="C3806" s="16"/>
      <c r="D3806" s="16"/>
      <c r="E3806" s="16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</row>
    <row r="3807" spans="1:20" x14ac:dyDescent="0.2">
      <c r="A3807" s="16"/>
      <c r="B3807" s="16"/>
      <c r="C3807" s="16"/>
      <c r="D3807" s="16"/>
      <c r="E3807" s="16"/>
      <c r="F3807" s="16"/>
      <c r="G3807" s="16"/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16"/>
      <c r="S3807" s="16"/>
      <c r="T3807" s="16"/>
    </row>
    <row r="3808" spans="1:20" x14ac:dyDescent="0.2">
      <c r="A3808" s="16"/>
      <c r="B3808" s="16"/>
      <c r="C3808" s="16"/>
      <c r="D3808" s="16"/>
      <c r="E3808" s="16"/>
      <c r="F3808" s="16"/>
      <c r="G3808" s="16"/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</row>
    <row r="3809" spans="1:20" x14ac:dyDescent="0.2">
      <c r="A3809" s="16"/>
      <c r="B3809" s="16"/>
      <c r="C3809" s="16"/>
      <c r="D3809" s="16"/>
      <c r="E3809" s="16"/>
      <c r="F3809" s="16"/>
      <c r="G3809" s="16"/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16"/>
      <c r="S3809" s="16"/>
      <c r="T3809" s="16"/>
    </row>
    <row r="3810" spans="1:20" x14ac:dyDescent="0.2">
      <c r="A3810" s="16"/>
      <c r="B3810" s="16"/>
      <c r="C3810" s="16"/>
      <c r="D3810" s="16"/>
      <c r="E3810" s="16"/>
      <c r="F3810" s="16"/>
      <c r="G3810" s="16"/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</row>
    <row r="3811" spans="1:20" x14ac:dyDescent="0.2">
      <c r="A3811" s="16"/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</row>
    <row r="3812" spans="1:20" x14ac:dyDescent="0.2">
      <c r="A3812" s="16"/>
      <c r="B3812" s="16"/>
      <c r="C3812" s="16"/>
      <c r="D3812" s="16"/>
      <c r="E3812" s="16"/>
      <c r="F3812" s="16"/>
      <c r="G3812" s="16"/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</row>
    <row r="3813" spans="1:20" x14ac:dyDescent="0.2">
      <c r="A3813" s="16"/>
      <c r="B3813" s="16"/>
      <c r="C3813" s="16"/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</row>
    <row r="3814" spans="1:20" x14ac:dyDescent="0.2">
      <c r="A3814" s="16"/>
      <c r="B3814" s="16"/>
      <c r="C3814" s="16"/>
      <c r="D3814" s="16"/>
      <c r="E3814" s="16"/>
      <c r="F3814" s="16"/>
      <c r="G3814" s="16"/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</row>
    <row r="3815" spans="1:20" x14ac:dyDescent="0.2">
      <c r="A3815" s="16"/>
      <c r="B3815" s="16"/>
      <c r="C3815" s="16"/>
      <c r="D3815" s="16"/>
      <c r="E3815" s="16"/>
      <c r="F3815" s="16"/>
      <c r="G3815" s="16"/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</row>
    <row r="3816" spans="1:20" x14ac:dyDescent="0.2">
      <c r="A3816" s="16"/>
      <c r="B3816" s="16"/>
      <c r="C3816" s="16"/>
      <c r="D3816" s="16"/>
      <c r="E3816" s="16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</row>
    <row r="3817" spans="1:20" x14ac:dyDescent="0.2">
      <c r="A3817" s="16"/>
      <c r="B3817" s="16"/>
      <c r="C3817" s="16"/>
      <c r="D3817" s="16"/>
      <c r="E3817" s="16"/>
      <c r="F3817" s="16"/>
      <c r="G3817" s="16"/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</row>
    <row r="3818" spans="1:20" x14ac:dyDescent="0.2">
      <c r="A3818" s="16"/>
      <c r="B3818" s="16"/>
      <c r="C3818" s="16"/>
      <c r="D3818" s="16"/>
      <c r="E3818" s="16"/>
      <c r="F3818" s="16"/>
      <c r="G3818" s="16"/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</row>
    <row r="3819" spans="1:20" x14ac:dyDescent="0.2">
      <c r="A3819" s="16"/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</row>
    <row r="3820" spans="1:20" x14ac:dyDescent="0.2">
      <c r="A3820" s="16"/>
      <c r="B3820" s="16"/>
      <c r="C3820" s="16"/>
      <c r="D3820" s="16"/>
      <c r="E3820" s="16"/>
      <c r="F3820" s="16"/>
      <c r="G3820" s="16"/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</row>
    <row r="3821" spans="1:20" x14ac:dyDescent="0.2">
      <c r="A3821" s="16"/>
      <c r="B3821" s="16"/>
      <c r="C3821" s="16"/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</row>
    <row r="3822" spans="1:20" x14ac:dyDescent="0.2">
      <c r="A3822" s="16"/>
      <c r="B3822" s="16"/>
      <c r="C3822" s="16"/>
      <c r="D3822" s="16"/>
      <c r="E3822" s="16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</row>
    <row r="3823" spans="1:20" x14ac:dyDescent="0.2">
      <c r="A3823" s="16"/>
      <c r="B3823" s="16"/>
      <c r="C3823" s="16"/>
      <c r="D3823" s="16"/>
      <c r="E3823" s="16"/>
      <c r="F3823" s="16"/>
      <c r="G3823" s="16"/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</row>
    <row r="3824" spans="1:20" x14ac:dyDescent="0.2">
      <c r="A3824" s="16"/>
      <c r="B3824" s="16"/>
      <c r="C3824" s="16"/>
      <c r="D3824" s="16"/>
      <c r="E3824" s="16"/>
      <c r="F3824" s="16"/>
      <c r="G3824" s="16"/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</row>
    <row r="3825" spans="1:20" x14ac:dyDescent="0.2">
      <c r="A3825" s="16"/>
      <c r="B3825" s="16"/>
      <c r="C3825" s="16"/>
      <c r="D3825" s="16"/>
      <c r="E3825" s="16"/>
      <c r="F3825" s="16"/>
      <c r="G3825" s="16"/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</row>
    <row r="3826" spans="1:20" x14ac:dyDescent="0.2">
      <c r="A3826" s="16"/>
      <c r="B3826" s="16"/>
      <c r="C3826" s="16"/>
      <c r="D3826" s="16"/>
      <c r="E3826" s="16"/>
      <c r="F3826" s="16"/>
      <c r="G3826" s="16"/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</row>
    <row r="3827" spans="1:20" x14ac:dyDescent="0.2">
      <c r="A3827" s="16"/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</row>
    <row r="3828" spans="1:20" x14ac:dyDescent="0.2">
      <c r="A3828" s="16"/>
      <c r="B3828" s="16"/>
      <c r="C3828" s="16"/>
      <c r="D3828" s="16"/>
      <c r="E3828" s="16"/>
      <c r="F3828" s="16"/>
      <c r="G3828" s="16"/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</row>
    <row r="3829" spans="1:20" x14ac:dyDescent="0.2">
      <c r="A3829" s="16"/>
      <c r="B3829" s="16"/>
      <c r="C3829" s="16"/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</row>
    <row r="3830" spans="1:20" x14ac:dyDescent="0.2">
      <c r="A3830" s="16"/>
      <c r="B3830" s="16"/>
      <c r="C3830" s="16"/>
      <c r="D3830" s="16"/>
      <c r="E3830" s="16"/>
      <c r="F3830" s="16"/>
      <c r="G3830" s="16"/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</row>
    <row r="3831" spans="1:20" x14ac:dyDescent="0.2">
      <c r="A3831" s="16"/>
      <c r="B3831" s="16"/>
      <c r="C3831" s="16"/>
      <c r="D3831" s="16"/>
      <c r="E3831" s="16"/>
      <c r="F3831" s="16"/>
      <c r="G3831" s="16"/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</row>
    <row r="3832" spans="1:20" x14ac:dyDescent="0.2">
      <c r="A3832" s="16"/>
      <c r="B3832" s="16"/>
      <c r="C3832" s="16"/>
      <c r="D3832" s="16"/>
      <c r="E3832" s="16"/>
      <c r="F3832" s="16"/>
      <c r="G3832" s="16"/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</row>
    <row r="3833" spans="1:20" x14ac:dyDescent="0.2">
      <c r="A3833" s="16"/>
      <c r="B3833" s="16"/>
      <c r="C3833" s="16"/>
      <c r="D3833" s="16"/>
      <c r="E3833" s="16"/>
      <c r="F3833" s="16"/>
      <c r="G3833" s="16"/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</row>
    <row r="3834" spans="1:20" x14ac:dyDescent="0.2">
      <c r="A3834" s="16"/>
      <c r="B3834" s="16"/>
      <c r="C3834" s="16"/>
      <c r="D3834" s="16"/>
      <c r="E3834" s="16"/>
      <c r="F3834" s="16"/>
      <c r="G3834" s="16"/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</row>
    <row r="3835" spans="1:20" x14ac:dyDescent="0.2">
      <c r="A3835" s="16"/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</row>
    <row r="3836" spans="1:20" x14ac:dyDescent="0.2">
      <c r="A3836" s="16"/>
      <c r="B3836" s="16"/>
      <c r="C3836" s="16"/>
      <c r="D3836" s="16"/>
      <c r="E3836" s="16"/>
      <c r="F3836" s="16"/>
      <c r="G3836" s="16"/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</row>
    <row r="3837" spans="1:20" x14ac:dyDescent="0.2">
      <c r="A3837" s="16"/>
      <c r="B3837" s="16"/>
      <c r="C3837" s="16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</row>
    <row r="3838" spans="1:20" x14ac:dyDescent="0.2">
      <c r="A3838" s="16"/>
      <c r="B3838" s="16"/>
      <c r="C3838" s="16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</row>
    <row r="3839" spans="1:20" x14ac:dyDescent="0.2">
      <c r="A3839" s="16"/>
      <c r="B3839" s="16"/>
      <c r="C3839" s="16"/>
      <c r="D3839" s="16"/>
      <c r="E3839" s="16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  <c r="R3839" s="16"/>
      <c r="S3839" s="16"/>
      <c r="T3839" s="16"/>
    </row>
    <row r="3840" spans="1:20" x14ac:dyDescent="0.2">
      <c r="A3840" s="16"/>
      <c r="B3840" s="16"/>
      <c r="C3840" s="16"/>
      <c r="D3840" s="16"/>
      <c r="E3840" s="16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</row>
    <row r="3841" spans="1:20" x14ac:dyDescent="0.2">
      <c r="A3841" s="16"/>
      <c r="B3841" s="16"/>
      <c r="C3841" s="16"/>
      <c r="D3841" s="16"/>
      <c r="E3841" s="16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</row>
    <row r="3842" spans="1:20" x14ac:dyDescent="0.2">
      <c r="A3842" s="16"/>
      <c r="B3842" s="16"/>
      <c r="C3842" s="16"/>
      <c r="D3842" s="16"/>
      <c r="E3842" s="16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</row>
    <row r="3843" spans="1:20" x14ac:dyDescent="0.2">
      <c r="A3843" s="16"/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</row>
    <row r="3844" spans="1:20" x14ac:dyDescent="0.2">
      <c r="A3844" s="16"/>
      <c r="B3844" s="16"/>
      <c r="C3844" s="16"/>
      <c r="D3844" s="16"/>
      <c r="E3844" s="16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</row>
    <row r="3845" spans="1:20" x14ac:dyDescent="0.2">
      <c r="A3845" s="16"/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</row>
    <row r="3846" spans="1:20" x14ac:dyDescent="0.2">
      <c r="A3846" s="16"/>
      <c r="B3846" s="16"/>
      <c r="C3846" s="16"/>
      <c r="D3846" s="16"/>
      <c r="E3846" s="16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</row>
    <row r="3847" spans="1:20" x14ac:dyDescent="0.2">
      <c r="A3847" s="16"/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</row>
    <row r="3848" spans="1:20" x14ac:dyDescent="0.2">
      <c r="A3848" s="16"/>
      <c r="B3848" s="16"/>
      <c r="C3848" s="16"/>
      <c r="D3848" s="16"/>
      <c r="E3848" s="16"/>
      <c r="F3848" s="16"/>
      <c r="G3848" s="16"/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</row>
    <row r="3849" spans="1:20" x14ac:dyDescent="0.2">
      <c r="A3849" s="16"/>
      <c r="B3849" s="16"/>
      <c r="C3849" s="16"/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</row>
    <row r="3850" spans="1:20" x14ac:dyDescent="0.2">
      <c r="A3850" s="16"/>
      <c r="B3850" s="16"/>
      <c r="C3850" s="16"/>
      <c r="D3850" s="16"/>
      <c r="E3850" s="16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</row>
    <row r="3851" spans="1:20" x14ac:dyDescent="0.2">
      <c r="A3851" s="16"/>
      <c r="B3851" s="16"/>
      <c r="C3851" s="16"/>
      <c r="D3851" s="16"/>
      <c r="E3851" s="16"/>
      <c r="F3851" s="16"/>
      <c r="G3851" s="16"/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</row>
    <row r="3852" spans="1:20" x14ac:dyDescent="0.2">
      <c r="A3852" s="16"/>
      <c r="B3852" s="16"/>
      <c r="C3852" s="16"/>
      <c r="D3852" s="16"/>
      <c r="E3852" s="16"/>
      <c r="F3852" s="16"/>
      <c r="G3852" s="16"/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</row>
    <row r="3853" spans="1:20" x14ac:dyDescent="0.2">
      <c r="A3853" s="16"/>
      <c r="B3853" s="16"/>
      <c r="C3853" s="16"/>
      <c r="D3853" s="16"/>
      <c r="E3853" s="16"/>
      <c r="F3853" s="16"/>
      <c r="G3853" s="16"/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</row>
    <row r="3854" spans="1:20" x14ac:dyDescent="0.2">
      <c r="A3854" s="16"/>
      <c r="B3854" s="16"/>
      <c r="C3854" s="16"/>
      <c r="D3854" s="16"/>
      <c r="E3854" s="16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</row>
    <row r="3855" spans="1:20" x14ac:dyDescent="0.2">
      <c r="A3855" s="16"/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</row>
    <row r="3856" spans="1:20" x14ac:dyDescent="0.2">
      <c r="A3856" s="16"/>
      <c r="B3856" s="16"/>
      <c r="C3856" s="16"/>
      <c r="D3856" s="16"/>
      <c r="E3856" s="16"/>
      <c r="F3856" s="16"/>
      <c r="G3856" s="16"/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</row>
    <row r="3857" spans="1:20" x14ac:dyDescent="0.2">
      <c r="A3857" s="16"/>
      <c r="B3857" s="16"/>
      <c r="C3857" s="16"/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</row>
    <row r="3858" spans="1:20" x14ac:dyDescent="0.2">
      <c r="A3858" s="16"/>
      <c r="B3858" s="16"/>
      <c r="C3858" s="16"/>
      <c r="D3858" s="16"/>
      <c r="E3858" s="16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</row>
    <row r="3859" spans="1:20" x14ac:dyDescent="0.2">
      <c r="A3859" s="16"/>
      <c r="B3859" s="16"/>
      <c r="C3859" s="16"/>
      <c r="D3859" s="16"/>
      <c r="E3859" s="16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</row>
    <row r="3860" spans="1:20" x14ac:dyDescent="0.2">
      <c r="A3860" s="16"/>
      <c r="B3860" s="16"/>
      <c r="C3860" s="16"/>
      <c r="D3860" s="16"/>
      <c r="E3860" s="16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</row>
    <row r="3861" spans="1:20" x14ac:dyDescent="0.2">
      <c r="A3861" s="16"/>
      <c r="B3861" s="16"/>
      <c r="C3861" s="16"/>
      <c r="D3861" s="16"/>
      <c r="E3861" s="16"/>
      <c r="F3861" s="16"/>
      <c r="G3861" s="16"/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</row>
    <row r="3862" spans="1:20" x14ac:dyDescent="0.2">
      <c r="A3862" s="16"/>
      <c r="B3862" s="16"/>
      <c r="C3862" s="16"/>
      <c r="D3862" s="16"/>
      <c r="E3862" s="16"/>
      <c r="F3862" s="16"/>
      <c r="G3862" s="16"/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</row>
    <row r="3863" spans="1:20" x14ac:dyDescent="0.2">
      <c r="A3863" s="16"/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</row>
    <row r="3864" spans="1:20" x14ac:dyDescent="0.2">
      <c r="A3864" s="16"/>
      <c r="B3864" s="16"/>
      <c r="C3864" s="16"/>
      <c r="D3864" s="16"/>
      <c r="E3864" s="16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</row>
    <row r="3865" spans="1:20" x14ac:dyDescent="0.2">
      <c r="A3865" s="16"/>
      <c r="B3865" s="16"/>
      <c r="C3865" s="16"/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</row>
    <row r="3866" spans="1:20" x14ac:dyDescent="0.2">
      <c r="A3866" s="16"/>
      <c r="B3866" s="16"/>
      <c r="C3866" s="16"/>
      <c r="D3866" s="16"/>
      <c r="E3866" s="16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</row>
    <row r="3867" spans="1:20" x14ac:dyDescent="0.2">
      <c r="A3867" s="16"/>
      <c r="B3867" s="16"/>
      <c r="C3867" s="16"/>
      <c r="D3867" s="16"/>
      <c r="E3867" s="16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</row>
    <row r="3868" spans="1:20" x14ac:dyDescent="0.2">
      <c r="A3868" s="16"/>
      <c r="B3868" s="16"/>
      <c r="C3868" s="16"/>
      <c r="D3868" s="16"/>
      <c r="E3868" s="16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</row>
    <row r="3869" spans="1:20" x14ac:dyDescent="0.2">
      <c r="A3869" s="16"/>
      <c r="B3869" s="16"/>
      <c r="C3869" s="16"/>
      <c r="D3869" s="16"/>
      <c r="E3869" s="16"/>
      <c r="F3869" s="16"/>
      <c r="G3869" s="16"/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</row>
    <row r="3870" spans="1:20" x14ac:dyDescent="0.2">
      <c r="A3870" s="16"/>
      <c r="B3870" s="16"/>
      <c r="C3870" s="16"/>
      <c r="D3870" s="16"/>
      <c r="E3870" s="16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</row>
    <row r="3871" spans="1:20" x14ac:dyDescent="0.2">
      <c r="A3871" s="16"/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</row>
    <row r="3872" spans="1:20" x14ac:dyDescent="0.2">
      <c r="A3872" s="16"/>
      <c r="B3872" s="16"/>
      <c r="C3872" s="16"/>
      <c r="D3872" s="16"/>
      <c r="E3872" s="16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</row>
    <row r="3873" spans="1:20" x14ac:dyDescent="0.2">
      <c r="A3873" s="16"/>
      <c r="B3873" s="16"/>
      <c r="C3873" s="16"/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</row>
    <row r="3874" spans="1:20" x14ac:dyDescent="0.2">
      <c r="A3874" s="16"/>
      <c r="B3874" s="16"/>
      <c r="C3874" s="16"/>
      <c r="D3874" s="16"/>
      <c r="E3874" s="16"/>
      <c r="F3874" s="16"/>
      <c r="G3874" s="16"/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</row>
    <row r="3875" spans="1:20" x14ac:dyDescent="0.2">
      <c r="A3875" s="16"/>
      <c r="B3875" s="16"/>
      <c r="C3875" s="16"/>
      <c r="D3875" s="16"/>
      <c r="E3875" s="16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</row>
    <row r="3876" spans="1:20" x14ac:dyDescent="0.2">
      <c r="A3876" s="16"/>
      <c r="B3876" s="16"/>
      <c r="C3876" s="16"/>
      <c r="D3876" s="16"/>
      <c r="E3876" s="16"/>
      <c r="F3876" s="16"/>
      <c r="G3876" s="16"/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</row>
    <row r="3877" spans="1:20" x14ac:dyDescent="0.2">
      <c r="A3877" s="16"/>
      <c r="B3877" s="16"/>
      <c r="C3877" s="16"/>
      <c r="D3877" s="16"/>
      <c r="E3877" s="16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</row>
    <row r="3878" spans="1:20" x14ac:dyDescent="0.2">
      <c r="A3878" s="16"/>
      <c r="B3878" s="16"/>
      <c r="C3878" s="16"/>
      <c r="D3878" s="16"/>
      <c r="E3878" s="16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</row>
    <row r="3879" spans="1:20" x14ac:dyDescent="0.2">
      <c r="A3879" s="16"/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  <c r="R3879" s="16"/>
      <c r="S3879" s="16"/>
      <c r="T3879" s="16"/>
    </row>
    <row r="3880" spans="1:20" x14ac:dyDescent="0.2">
      <c r="A3880" s="16"/>
      <c r="B3880" s="16"/>
      <c r="C3880" s="16"/>
      <c r="D3880" s="16"/>
      <c r="E3880" s="16"/>
      <c r="F3880" s="16"/>
      <c r="G3880" s="16"/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</row>
    <row r="3881" spans="1:20" x14ac:dyDescent="0.2">
      <c r="A3881" s="16"/>
      <c r="B3881" s="16"/>
      <c r="C3881" s="16"/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</row>
    <row r="3882" spans="1:20" x14ac:dyDescent="0.2">
      <c r="A3882" s="16"/>
      <c r="B3882" s="16"/>
      <c r="C3882" s="16"/>
      <c r="D3882" s="16"/>
      <c r="E3882" s="16"/>
      <c r="F3882" s="16"/>
      <c r="G3882" s="16"/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</row>
    <row r="3883" spans="1:20" x14ac:dyDescent="0.2">
      <c r="A3883" s="16"/>
      <c r="B3883" s="16"/>
      <c r="C3883" s="16"/>
      <c r="D3883" s="16"/>
      <c r="E3883" s="16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</row>
    <row r="3884" spans="1:20" x14ac:dyDescent="0.2">
      <c r="A3884" s="16"/>
      <c r="B3884" s="16"/>
      <c r="C3884" s="16"/>
      <c r="D3884" s="16"/>
      <c r="E3884" s="16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</row>
    <row r="3885" spans="1:20" x14ac:dyDescent="0.2">
      <c r="A3885" s="16"/>
      <c r="B3885" s="16"/>
      <c r="C3885" s="16"/>
      <c r="D3885" s="16"/>
      <c r="E3885" s="16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</row>
    <row r="3886" spans="1:20" x14ac:dyDescent="0.2">
      <c r="A3886" s="16"/>
      <c r="B3886" s="16"/>
      <c r="C3886" s="16"/>
      <c r="D3886" s="16"/>
      <c r="E3886" s="16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</row>
    <row r="3887" spans="1:20" x14ac:dyDescent="0.2">
      <c r="A3887" s="16"/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</row>
    <row r="3888" spans="1:20" x14ac:dyDescent="0.2">
      <c r="A3888" s="16"/>
      <c r="B3888" s="16"/>
      <c r="C3888" s="16"/>
      <c r="D3888" s="16"/>
      <c r="E3888" s="16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</row>
    <row r="3889" spans="1:20" x14ac:dyDescent="0.2">
      <c r="A3889" s="16"/>
      <c r="B3889" s="16"/>
      <c r="C3889" s="16"/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</row>
    <row r="3890" spans="1:20" x14ac:dyDescent="0.2">
      <c r="A3890" s="16"/>
      <c r="B3890" s="16"/>
      <c r="C3890" s="16"/>
      <c r="D3890" s="16"/>
      <c r="E3890" s="16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</row>
    <row r="3891" spans="1:20" x14ac:dyDescent="0.2">
      <c r="A3891" s="16"/>
      <c r="B3891" s="16"/>
      <c r="C3891" s="16"/>
      <c r="D3891" s="16"/>
      <c r="E3891" s="16"/>
      <c r="F3891" s="16"/>
      <c r="G3891" s="16"/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</row>
    <row r="3892" spans="1:20" x14ac:dyDescent="0.2">
      <c r="A3892" s="16"/>
      <c r="B3892" s="16"/>
      <c r="C3892" s="16"/>
      <c r="D3892" s="16"/>
      <c r="E3892" s="16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</row>
    <row r="3893" spans="1:20" x14ac:dyDescent="0.2">
      <c r="A3893" s="16"/>
      <c r="B3893" s="16"/>
      <c r="C3893" s="16"/>
      <c r="D3893" s="16"/>
      <c r="E3893" s="16"/>
      <c r="F3893" s="16"/>
      <c r="G3893" s="16"/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</row>
    <row r="3894" spans="1:20" x14ac:dyDescent="0.2">
      <c r="A3894" s="16"/>
      <c r="B3894" s="16"/>
      <c r="C3894" s="16"/>
      <c r="D3894" s="16"/>
      <c r="E3894" s="16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</row>
    <row r="3895" spans="1:20" x14ac:dyDescent="0.2">
      <c r="A3895" s="16"/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</row>
    <row r="3896" spans="1:20" x14ac:dyDescent="0.2">
      <c r="A3896" s="16"/>
      <c r="B3896" s="16"/>
      <c r="C3896" s="16"/>
      <c r="D3896" s="16"/>
      <c r="E3896" s="16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</row>
    <row r="3897" spans="1:20" x14ac:dyDescent="0.2">
      <c r="A3897" s="16"/>
      <c r="B3897" s="16"/>
      <c r="C3897" s="16"/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</row>
    <row r="3898" spans="1:20" x14ac:dyDescent="0.2">
      <c r="A3898" s="16"/>
      <c r="B3898" s="16"/>
      <c r="C3898" s="16"/>
      <c r="D3898" s="16"/>
      <c r="E3898" s="16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</row>
    <row r="3899" spans="1:20" x14ac:dyDescent="0.2">
      <c r="A3899" s="16"/>
      <c r="B3899" s="16"/>
      <c r="C3899" s="16"/>
      <c r="D3899" s="16"/>
      <c r="E3899" s="16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</row>
    <row r="3900" spans="1:20" x14ac:dyDescent="0.2">
      <c r="A3900" s="16"/>
      <c r="B3900" s="16"/>
      <c r="C3900" s="16"/>
      <c r="D3900" s="16"/>
      <c r="E3900" s="16"/>
      <c r="F3900" s="16"/>
      <c r="G3900" s="16"/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</row>
    <row r="3901" spans="1:20" x14ac:dyDescent="0.2">
      <c r="A3901" s="16"/>
      <c r="B3901" s="16"/>
      <c r="C3901" s="16"/>
      <c r="D3901" s="16"/>
      <c r="E3901" s="16"/>
      <c r="F3901" s="16"/>
      <c r="G3901" s="16"/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</row>
    <row r="3902" spans="1:20" x14ac:dyDescent="0.2">
      <c r="A3902" s="16"/>
      <c r="B3902" s="16"/>
      <c r="C3902" s="16"/>
      <c r="D3902" s="16"/>
      <c r="E3902" s="16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</row>
    <row r="3903" spans="1:20" x14ac:dyDescent="0.2">
      <c r="A3903" s="16"/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</row>
    <row r="3904" spans="1:20" x14ac:dyDescent="0.2">
      <c r="A3904" s="16"/>
      <c r="B3904" s="16"/>
      <c r="C3904" s="16"/>
      <c r="D3904" s="16"/>
      <c r="E3904" s="16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</row>
    <row r="3905" spans="1:20" x14ac:dyDescent="0.2">
      <c r="A3905" s="16"/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</row>
    <row r="3906" spans="1:20" x14ac:dyDescent="0.2">
      <c r="A3906" s="16"/>
      <c r="B3906" s="16"/>
      <c r="C3906" s="16"/>
      <c r="D3906" s="16"/>
      <c r="E3906" s="16"/>
      <c r="F3906" s="16"/>
      <c r="G3906" s="16"/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</row>
    <row r="3907" spans="1:20" x14ac:dyDescent="0.2">
      <c r="A3907" s="16"/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</row>
    <row r="3908" spans="1:20" x14ac:dyDescent="0.2">
      <c r="A3908" s="16"/>
      <c r="B3908" s="16"/>
      <c r="C3908" s="16"/>
      <c r="D3908" s="16"/>
      <c r="E3908" s="16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</row>
    <row r="3909" spans="1:20" x14ac:dyDescent="0.2">
      <c r="A3909" s="16"/>
      <c r="B3909" s="16"/>
      <c r="C3909" s="16"/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</row>
    <row r="3910" spans="1:20" x14ac:dyDescent="0.2">
      <c r="A3910" s="16"/>
      <c r="B3910" s="16"/>
      <c r="C3910" s="16"/>
      <c r="D3910" s="16"/>
      <c r="E3910" s="16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</row>
    <row r="3911" spans="1:20" x14ac:dyDescent="0.2">
      <c r="A3911" s="16"/>
      <c r="B3911" s="16"/>
      <c r="C3911" s="16"/>
      <c r="D3911" s="16"/>
      <c r="E3911" s="16"/>
      <c r="F3911" s="16"/>
      <c r="G3911" s="16"/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</row>
    <row r="3912" spans="1:20" x14ac:dyDescent="0.2">
      <c r="A3912" s="16"/>
      <c r="B3912" s="16"/>
      <c r="C3912" s="16"/>
      <c r="D3912" s="16"/>
      <c r="E3912" s="16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</row>
    <row r="3913" spans="1:20" x14ac:dyDescent="0.2">
      <c r="A3913" s="16"/>
      <c r="B3913" s="16"/>
      <c r="C3913" s="16"/>
      <c r="D3913" s="16"/>
      <c r="E3913" s="16"/>
      <c r="F3913" s="16"/>
      <c r="G3913" s="16"/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</row>
    <row r="3914" spans="1:20" x14ac:dyDescent="0.2">
      <c r="A3914" s="16"/>
      <c r="B3914" s="16"/>
      <c r="C3914" s="16"/>
      <c r="D3914" s="16"/>
      <c r="E3914" s="16"/>
      <c r="F3914" s="16"/>
      <c r="G3914" s="16"/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</row>
    <row r="3915" spans="1:20" x14ac:dyDescent="0.2">
      <c r="A3915" s="16"/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</row>
    <row r="3916" spans="1:20" x14ac:dyDescent="0.2">
      <c r="A3916" s="16"/>
      <c r="B3916" s="16"/>
      <c r="C3916" s="16"/>
      <c r="D3916" s="16"/>
      <c r="E3916" s="16"/>
      <c r="F3916" s="16"/>
      <c r="G3916" s="16"/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</row>
    <row r="3917" spans="1:20" x14ac:dyDescent="0.2">
      <c r="A3917" s="16"/>
      <c r="B3917" s="16"/>
      <c r="C3917" s="16"/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</row>
    <row r="3918" spans="1:20" x14ac:dyDescent="0.2">
      <c r="A3918" s="16"/>
      <c r="B3918" s="16"/>
      <c r="C3918" s="16"/>
      <c r="D3918" s="16"/>
      <c r="E3918" s="16"/>
      <c r="F3918" s="16"/>
      <c r="G3918" s="16"/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</row>
    <row r="3919" spans="1:20" x14ac:dyDescent="0.2">
      <c r="A3919" s="16"/>
      <c r="B3919" s="16"/>
      <c r="C3919" s="16"/>
      <c r="D3919" s="16"/>
      <c r="E3919" s="16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</row>
    <row r="3920" spans="1:20" x14ac:dyDescent="0.2">
      <c r="A3920" s="16"/>
      <c r="B3920" s="16"/>
      <c r="C3920" s="16"/>
      <c r="D3920" s="16"/>
      <c r="E3920" s="16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</row>
    <row r="3921" spans="1:20" x14ac:dyDescent="0.2">
      <c r="A3921" s="16"/>
      <c r="B3921" s="16"/>
      <c r="C3921" s="16"/>
      <c r="D3921" s="16"/>
      <c r="E3921" s="16"/>
      <c r="F3921" s="16"/>
      <c r="G3921" s="16"/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</row>
    <row r="3922" spans="1:20" x14ac:dyDescent="0.2">
      <c r="A3922" s="16"/>
      <c r="B3922" s="16"/>
      <c r="C3922" s="16"/>
      <c r="D3922" s="16"/>
      <c r="E3922" s="16"/>
      <c r="F3922" s="16"/>
      <c r="G3922" s="16"/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</row>
    <row r="3923" spans="1:20" x14ac:dyDescent="0.2">
      <c r="A3923" s="16"/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</row>
    <row r="3924" spans="1:20" x14ac:dyDescent="0.2">
      <c r="A3924" s="16"/>
      <c r="B3924" s="16"/>
      <c r="C3924" s="16"/>
      <c r="D3924" s="16"/>
      <c r="E3924" s="16"/>
      <c r="F3924" s="16"/>
      <c r="G3924" s="16"/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  <c r="R3924" s="16"/>
      <c r="S3924" s="16"/>
      <c r="T3924" s="16"/>
    </row>
    <row r="3925" spans="1:20" x14ac:dyDescent="0.2">
      <c r="A3925" s="16"/>
      <c r="B3925" s="16"/>
      <c r="C3925" s="16"/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</row>
    <row r="3926" spans="1:20" x14ac:dyDescent="0.2">
      <c r="A3926" s="16"/>
      <c r="B3926" s="16"/>
      <c r="C3926" s="16"/>
      <c r="D3926" s="16"/>
      <c r="E3926" s="16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</row>
    <row r="3927" spans="1:20" x14ac:dyDescent="0.2">
      <c r="A3927" s="16"/>
      <c r="B3927" s="16"/>
      <c r="C3927" s="16"/>
      <c r="D3927" s="16"/>
      <c r="E3927" s="16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</row>
    <row r="3928" spans="1:20" x14ac:dyDescent="0.2">
      <c r="A3928" s="16"/>
      <c r="B3928" s="16"/>
      <c r="C3928" s="16"/>
      <c r="D3928" s="16"/>
      <c r="E3928" s="16"/>
      <c r="F3928" s="16"/>
      <c r="G3928" s="16"/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</row>
    <row r="3929" spans="1:20" x14ac:dyDescent="0.2">
      <c r="A3929" s="16"/>
      <c r="B3929" s="16"/>
      <c r="C3929" s="16"/>
      <c r="D3929" s="16"/>
      <c r="E3929" s="16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</row>
    <row r="3930" spans="1:20" x14ac:dyDescent="0.2">
      <c r="A3930" s="16"/>
      <c r="B3930" s="16"/>
      <c r="C3930" s="16"/>
      <c r="D3930" s="16"/>
      <c r="E3930" s="16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</row>
    <row r="3931" spans="1:20" x14ac:dyDescent="0.2">
      <c r="A3931" s="16"/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</row>
    <row r="3932" spans="1:20" x14ac:dyDescent="0.2">
      <c r="A3932" s="16"/>
      <c r="B3932" s="16"/>
      <c r="C3932" s="16"/>
      <c r="D3932" s="16"/>
      <c r="E3932" s="16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</row>
    <row r="3933" spans="1:20" x14ac:dyDescent="0.2">
      <c r="A3933" s="16"/>
      <c r="B3933" s="16"/>
      <c r="C3933" s="16"/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</row>
    <row r="3934" spans="1:20" x14ac:dyDescent="0.2">
      <c r="A3934" s="16"/>
      <c r="B3934" s="16"/>
      <c r="C3934" s="16"/>
      <c r="D3934" s="16"/>
      <c r="E3934" s="16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</row>
    <row r="3935" spans="1:20" x14ac:dyDescent="0.2">
      <c r="A3935" s="16"/>
      <c r="B3935" s="16"/>
      <c r="C3935" s="16"/>
      <c r="D3935" s="16"/>
      <c r="E3935" s="16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</row>
    <row r="3936" spans="1:20" x14ac:dyDescent="0.2">
      <c r="A3936" s="16"/>
      <c r="B3936" s="16"/>
      <c r="C3936" s="16"/>
      <c r="D3936" s="16"/>
      <c r="E3936" s="16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</row>
    <row r="3937" spans="1:20" x14ac:dyDescent="0.2">
      <c r="A3937" s="16"/>
      <c r="B3937" s="16"/>
      <c r="C3937" s="16"/>
      <c r="D3937" s="16"/>
      <c r="E3937" s="16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</row>
    <row r="3938" spans="1:20" x14ac:dyDescent="0.2">
      <c r="A3938" s="16"/>
      <c r="B3938" s="16"/>
      <c r="C3938" s="16"/>
      <c r="D3938" s="16"/>
      <c r="E3938" s="16"/>
      <c r="F3938" s="16"/>
      <c r="G3938" s="16"/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</row>
    <row r="3939" spans="1:20" x14ac:dyDescent="0.2">
      <c r="A3939" s="16"/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  <c r="R3939" s="16"/>
      <c r="S3939" s="16"/>
      <c r="T3939" s="16"/>
    </row>
    <row r="3940" spans="1:20" x14ac:dyDescent="0.2">
      <c r="A3940" s="16"/>
      <c r="B3940" s="16"/>
      <c r="C3940" s="16"/>
      <c r="D3940" s="16"/>
      <c r="E3940" s="16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</row>
    <row r="3941" spans="1:20" x14ac:dyDescent="0.2">
      <c r="A3941" s="16"/>
      <c r="B3941" s="16"/>
      <c r="C3941" s="16"/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</row>
    <row r="3942" spans="1:20" x14ac:dyDescent="0.2">
      <c r="A3942" s="16"/>
      <c r="B3942" s="16"/>
      <c r="C3942" s="16"/>
      <c r="D3942" s="16"/>
      <c r="E3942" s="16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</row>
    <row r="3943" spans="1:20" x14ac:dyDescent="0.2">
      <c r="A3943" s="16"/>
      <c r="B3943" s="16"/>
      <c r="C3943" s="16"/>
      <c r="D3943" s="16"/>
      <c r="E3943" s="16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</row>
    <row r="3944" spans="1:20" x14ac:dyDescent="0.2">
      <c r="A3944" s="16"/>
      <c r="B3944" s="16"/>
      <c r="C3944" s="16"/>
      <c r="D3944" s="16"/>
      <c r="E3944" s="16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</row>
    <row r="3945" spans="1:20" x14ac:dyDescent="0.2">
      <c r="A3945" s="16"/>
      <c r="B3945" s="16"/>
      <c r="C3945" s="16"/>
      <c r="D3945" s="16"/>
      <c r="E3945" s="16"/>
      <c r="F3945" s="16"/>
      <c r="G3945" s="16"/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</row>
    <row r="3946" spans="1:20" x14ac:dyDescent="0.2">
      <c r="A3946" s="16"/>
      <c r="B3946" s="16"/>
      <c r="C3946" s="16"/>
      <c r="D3946" s="16"/>
      <c r="E3946" s="16"/>
      <c r="F3946" s="16"/>
      <c r="G3946" s="16"/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</row>
    <row r="3947" spans="1:20" x14ac:dyDescent="0.2">
      <c r="A3947" s="16"/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</row>
    <row r="3948" spans="1:20" x14ac:dyDescent="0.2">
      <c r="A3948" s="16"/>
      <c r="B3948" s="16"/>
      <c r="C3948" s="16"/>
      <c r="D3948" s="16"/>
      <c r="E3948" s="16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</row>
    <row r="3949" spans="1:20" x14ac:dyDescent="0.2">
      <c r="A3949" s="16"/>
      <c r="B3949" s="16"/>
      <c r="C3949" s="16"/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</row>
    <row r="3950" spans="1:20" x14ac:dyDescent="0.2">
      <c r="A3950" s="16"/>
      <c r="B3950" s="16"/>
      <c r="C3950" s="16"/>
      <c r="D3950" s="16"/>
      <c r="E3950" s="16"/>
      <c r="F3950" s="16"/>
      <c r="G3950" s="16"/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</row>
    <row r="3951" spans="1:20" x14ac:dyDescent="0.2">
      <c r="A3951" s="16"/>
      <c r="B3951" s="16"/>
      <c r="C3951" s="16"/>
      <c r="D3951" s="16"/>
      <c r="E3951" s="16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</row>
    <row r="3952" spans="1:20" x14ac:dyDescent="0.2">
      <c r="A3952" s="16"/>
      <c r="B3952" s="16"/>
      <c r="C3952" s="16"/>
      <c r="D3952" s="16"/>
      <c r="E3952" s="16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</row>
    <row r="3953" spans="1:20" x14ac:dyDescent="0.2">
      <c r="A3953" s="16"/>
      <c r="B3953" s="16"/>
      <c r="C3953" s="16"/>
      <c r="D3953" s="16"/>
      <c r="E3953" s="16"/>
      <c r="F3953" s="16"/>
      <c r="G3953" s="16"/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</row>
    <row r="3954" spans="1:20" x14ac:dyDescent="0.2">
      <c r="A3954" s="16"/>
      <c r="B3954" s="16"/>
      <c r="C3954" s="16"/>
      <c r="D3954" s="16"/>
      <c r="E3954" s="16"/>
      <c r="F3954" s="16"/>
      <c r="G3954" s="16"/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</row>
    <row r="3955" spans="1:20" x14ac:dyDescent="0.2">
      <c r="A3955" s="16"/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</row>
    <row r="3956" spans="1:20" x14ac:dyDescent="0.2">
      <c r="A3956" s="16"/>
      <c r="B3956" s="16"/>
      <c r="C3956" s="16"/>
      <c r="D3956" s="16"/>
      <c r="E3956" s="16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</row>
    <row r="3957" spans="1:20" x14ac:dyDescent="0.2">
      <c r="A3957" s="16"/>
      <c r="B3957" s="16"/>
      <c r="C3957" s="16"/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</row>
    <row r="3958" spans="1:20" x14ac:dyDescent="0.2">
      <c r="A3958" s="16"/>
      <c r="B3958" s="16"/>
      <c r="C3958" s="16"/>
      <c r="D3958" s="16"/>
      <c r="E3958" s="16"/>
      <c r="F3958" s="16"/>
      <c r="G3958" s="16"/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</row>
    <row r="3959" spans="1:20" x14ac:dyDescent="0.2">
      <c r="A3959" s="16"/>
      <c r="B3959" s="16"/>
      <c r="C3959" s="16"/>
      <c r="D3959" s="16"/>
      <c r="E3959" s="16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  <c r="S3959" s="16"/>
      <c r="T3959" s="16"/>
    </row>
    <row r="3960" spans="1:20" x14ac:dyDescent="0.2">
      <c r="A3960" s="16"/>
      <c r="B3960" s="16"/>
      <c r="C3960" s="16"/>
      <c r="D3960" s="16"/>
      <c r="E3960" s="16"/>
      <c r="F3960" s="16"/>
      <c r="G3960" s="16"/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</row>
    <row r="3961" spans="1:20" x14ac:dyDescent="0.2">
      <c r="A3961" s="16"/>
      <c r="B3961" s="16"/>
      <c r="C3961" s="16"/>
      <c r="D3961" s="16"/>
      <c r="E3961" s="16"/>
      <c r="F3961" s="16"/>
      <c r="G3961" s="16"/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</row>
    <row r="3962" spans="1:20" x14ac:dyDescent="0.2">
      <c r="A3962" s="16"/>
      <c r="B3962" s="16"/>
      <c r="C3962" s="16"/>
      <c r="D3962" s="16"/>
      <c r="E3962" s="16"/>
      <c r="F3962" s="16"/>
      <c r="G3962" s="16"/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</row>
    <row r="3963" spans="1:20" x14ac:dyDescent="0.2">
      <c r="A3963" s="16"/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</row>
    <row r="3964" spans="1:20" x14ac:dyDescent="0.2">
      <c r="A3964" s="16"/>
      <c r="B3964" s="16"/>
      <c r="C3964" s="16"/>
      <c r="D3964" s="16"/>
      <c r="E3964" s="16"/>
      <c r="F3964" s="16"/>
      <c r="G3964" s="16"/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</row>
    <row r="3965" spans="1:20" x14ac:dyDescent="0.2">
      <c r="A3965" s="16"/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</row>
    <row r="3966" spans="1:20" x14ac:dyDescent="0.2">
      <c r="A3966" s="16"/>
      <c r="B3966" s="16"/>
      <c r="C3966" s="16"/>
      <c r="D3966" s="16"/>
      <c r="E3966" s="16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</row>
    <row r="3967" spans="1:20" x14ac:dyDescent="0.2">
      <c r="A3967" s="16"/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</row>
    <row r="3968" spans="1:20" x14ac:dyDescent="0.2">
      <c r="A3968" s="16"/>
      <c r="B3968" s="16"/>
      <c r="C3968" s="16"/>
      <c r="D3968" s="16"/>
      <c r="E3968" s="16"/>
      <c r="F3968" s="16"/>
      <c r="G3968" s="16"/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</row>
    <row r="3969" spans="1:20" x14ac:dyDescent="0.2">
      <c r="A3969" s="16"/>
      <c r="B3969" s="16"/>
      <c r="C3969" s="16"/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  <c r="S3969" s="16"/>
      <c r="T3969" s="16"/>
    </row>
    <row r="3970" spans="1:20" x14ac:dyDescent="0.2">
      <c r="A3970" s="16"/>
      <c r="B3970" s="16"/>
      <c r="C3970" s="16"/>
      <c r="D3970" s="16"/>
      <c r="E3970" s="16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</row>
    <row r="3971" spans="1:20" x14ac:dyDescent="0.2">
      <c r="A3971" s="16"/>
      <c r="B3971" s="16"/>
      <c r="C3971" s="16"/>
      <c r="D3971" s="16"/>
      <c r="E3971" s="16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</row>
    <row r="3972" spans="1:20" x14ac:dyDescent="0.2">
      <c r="A3972" s="16"/>
      <c r="B3972" s="16"/>
      <c r="C3972" s="16"/>
      <c r="D3972" s="16"/>
      <c r="E3972" s="16"/>
      <c r="F3972" s="16"/>
      <c r="G3972" s="16"/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</row>
    <row r="3973" spans="1:20" x14ac:dyDescent="0.2">
      <c r="A3973" s="16"/>
      <c r="B3973" s="16"/>
      <c r="C3973" s="16"/>
      <c r="D3973" s="16"/>
      <c r="E3973" s="16"/>
      <c r="F3973" s="16"/>
      <c r="G3973" s="16"/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</row>
    <row r="3974" spans="1:20" x14ac:dyDescent="0.2">
      <c r="A3974" s="16"/>
      <c r="B3974" s="16"/>
      <c r="C3974" s="16"/>
      <c r="D3974" s="16"/>
      <c r="E3974" s="16"/>
      <c r="F3974" s="16"/>
      <c r="G3974" s="16"/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  <c r="S3974" s="16"/>
      <c r="T3974" s="16"/>
    </row>
    <row r="3975" spans="1:20" x14ac:dyDescent="0.2">
      <c r="A3975" s="16"/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</row>
    <row r="3976" spans="1:20" x14ac:dyDescent="0.2">
      <c r="A3976" s="16"/>
      <c r="B3976" s="16"/>
      <c r="C3976" s="16"/>
      <c r="D3976" s="16"/>
      <c r="E3976" s="16"/>
      <c r="F3976" s="16"/>
      <c r="G3976" s="16"/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</row>
    <row r="3977" spans="1:20" x14ac:dyDescent="0.2">
      <c r="A3977" s="16"/>
      <c r="B3977" s="16"/>
      <c r="C3977" s="16"/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</row>
    <row r="3978" spans="1:20" x14ac:dyDescent="0.2">
      <c r="A3978" s="16"/>
      <c r="B3978" s="16"/>
      <c r="C3978" s="16"/>
      <c r="D3978" s="16"/>
      <c r="E3978" s="16"/>
      <c r="F3978" s="16"/>
      <c r="G3978" s="16"/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</row>
    <row r="3979" spans="1:20" x14ac:dyDescent="0.2">
      <c r="A3979" s="16"/>
      <c r="B3979" s="16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</row>
    <row r="3980" spans="1:20" x14ac:dyDescent="0.2">
      <c r="A3980" s="16"/>
      <c r="B3980" s="16"/>
      <c r="C3980" s="16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</row>
    <row r="3981" spans="1:20" x14ac:dyDescent="0.2">
      <c r="A3981" s="16"/>
      <c r="B3981" s="16"/>
      <c r="C3981" s="16"/>
      <c r="D3981" s="16"/>
      <c r="E3981" s="16"/>
      <c r="F3981" s="16"/>
      <c r="G3981" s="16"/>
      <c r="H3981" s="16"/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</row>
    <row r="3982" spans="1:20" x14ac:dyDescent="0.2">
      <c r="A3982" s="16"/>
      <c r="B3982" s="16"/>
      <c r="C3982" s="16"/>
      <c r="D3982" s="16"/>
      <c r="E3982" s="16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  <c r="S3982" s="16"/>
      <c r="T3982" s="16"/>
    </row>
    <row r="3983" spans="1:20" x14ac:dyDescent="0.2">
      <c r="A3983" s="16"/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  <c r="S3983" s="16"/>
      <c r="T3983" s="16"/>
    </row>
    <row r="3984" spans="1:20" x14ac:dyDescent="0.2">
      <c r="A3984" s="16"/>
      <c r="B3984" s="16"/>
      <c r="C3984" s="16"/>
      <c r="D3984" s="16"/>
      <c r="E3984" s="16"/>
      <c r="F3984" s="16"/>
      <c r="G3984" s="16"/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</row>
    <row r="3985" spans="1:20" x14ac:dyDescent="0.2">
      <c r="A3985" s="16"/>
      <c r="B3985" s="16"/>
      <c r="C3985" s="16"/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  <c r="S3985" s="16"/>
      <c r="T3985" s="16"/>
    </row>
    <row r="3986" spans="1:20" x14ac:dyDescent="0.2">
      <c r="A3986" s="16"/>
      <c r="B3986" s="16"/>
      <c r="C3986" s="16"/>
      <c r="D3986" s="16"/>
      <c r="E3986" s="16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</row>
    <row r="3987" spans="1:20" x14ac:dyDescent="0.2">
      <c r="A3987" s="16"/>
      <c r="B3987" s="16"/>
      <c r="C3987" s="16"/>
      <c r="D3987" s="16"/>
      <c r="E3987" s="16"/>
      <c r="F3987" s="16"/>
      <c r="G3987" s="16"/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</row>
    <row r="3988" spans="1:20" x14ac:dyDescent="0.2">
      <c r="A3988" s="16"/>
      <c r="B3988" s="16"/>
      <c r="C3988" s="16"/>
      <c r="D3988" s="16"/>
      <c r="E3988" s="16"/>
      <c r="F3988" s="16"/>
      <c r="G3988" s="16"/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  <c r="S3988" s="16"/>
      <c r="T3988" s="16"/>
    </row>
    <row r="3989" spans="1:20" x14ac:dyDescent="0.2">
      <c r="A3989" s="16"/>
      <c r="B3989" s="16"/>
      <c r="C3989" s="16"/>
      <c r="D3989" s="16"/>
      <c r="E3989" s="16"/>
      <c r="F3989" s="16"/>
      <c r="G3989" s="16"/>
      <c r="H3989" s="16"/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</row>
    <row r="3990" spans="1:20" x14ac:dyDescent="0.2">
      <c r="A3990" s="16"/>
      <c r="B3990" s="16"/>
      <c r="C3990" s="16"/>
      <c r="D3990" s="16"/>
      <c r="E3990" s="16"/>
      <c r="F3990" s="16"/>
      <c r="G3990" s="16"/>
      <c r="H3990" s="16"/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  <c r="S3990" s="16"/>
      <c r="T3990" s="16"/>
    </row>
    <row r="3991" spans="1:20" x14ac:dyDescent="0.2">
      <c r="A3991" s="16"/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  <c r="S3991" s="16"/>
      <c r="T3991" s="16"/>
    </row>
    <row r="3992" spans="1:20" x14ac:dyDescent="0.2">
      <c r="A3992" s="16"/>
      <c r="B3992" s="16"/>
      <c r="C3992" s="16"/>
      <c r="D3992" s="16"/>
      <c r="E3992" s="16"/>
      <c r="F3992" s="16"/>
      <c r="G3992" s="16"/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</row>
    <row r="3993" spans="1:20" x14ac:dyDescent="0.2">
      <c r="A3993" s="16"/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</row>
    <row r="3994" spans="1:20" x14ac:dyDescent="0.2">
      <c r="A3994" s="16"/>
      <c r="B3994" s="16"/>
      <c r="C3994" s="16"/>
      <c r="D3994" s="16"/>
      <c r="E3994" s="16"/>
      <c r="F3994" s="16"/>
      <c r="G3994" s="16"/>
      <c r="H3994" s="16"/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</row>
    <row r="3995" spans="1:20" x14ac:dyDescent="0.2">
      <c r="A3995" s="16"/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</row>
    <row r="3996" spans="1:20" x14ac:dyDescent="0.2">
      <c r="A3996" s="16"/>
      <c r="B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</row>
    <row r="3997" spans="1:20" x14ac:dyDescent="0.2">
      <c r="A3997" s="16"/>
      <c r="B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</row>
    <row r="3998" spans="1:20" x14ac:dyDescent="0.2">
      <c r="A3998" s="16"/>
      <c r="B3998" s="16"/>
      <c r="C3998" s="16"/>
      <c r="D3998" s="16"/>
      <c r="E3998" s="16"/>
      <c r="F3998" s="16"/>
      <c r="G3998" s="16"/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</row>
    <row r="3999" spans="1:20" x14ac:dyDescent="0.2">
      <c r="A3999" s="16"/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</row>
    <row r="4000" spans="1:20" x14ac:dyDescent="0.2">
      <c r="A4000" s="16"/>
      <c r="B4000" s="16"/>
      <c r="C4000" s="16"/>
      <c r="D4000" s="16"/>
      <c r="E4000" s="16"/>
      <c r="F4000" s="16"/>
      <c r="G4000" s="16"/>
      <c r="H4000" s="16"/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</row>
    <row r="4001" spans="1:20" x14ac:dyDescent="0.2">
      <c r="A4001" s="16"/>
      <c r="B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</row>
    <row r="4002" spans="1:20" x14ac:dyDescent="0.2">
      <c r="A4002" s="16"/>
      <c r="B4002" s="16"/>
      <c r="C4002" s="16"/>
      <c r="D4002" s="16"/>
      <c r="E4002" s="16"/>
      <c r="F4002" s="16"/>
      <c r="G4002" s="16"/>
      <c r="H4002" s="16"/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</row>
    <row r="4003" spans="1:20" x14ac:dyDescent="0.2">
      <c r="A4003" s="16"/>
      <c r="B4003" s="16"/>
      <c r="C4003" s="16"/>
      <c r="D4003" s="16"/>
      <c r="E4003" s="16"/>
      <c r="F4003" s="16"/>
      <c r="G4003" s="16"/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</row>
    <row r="4004" spans="1:20" x14ac:dyDescent="0.2">
      <c r="A4004" s="16"/>
      <c r="B4004" s="16"/>
      <c r="C4004" s="16"/>
      <c r="D4004" s="16"/>
      <c r="E4004" s="16"/>
      <c r="F4004" s="16"/>
      <c r="G4004" s="16"/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</row>
    <row r="4005" spans="1:20" x14ac:dyDescent="0.2">
      <c r="A4005" s="16"/>
      <c r="B4005" s="16"/>
      <c r="C4005" s="16"/>
      <c r="D4005" s="16"/>
      <c r="E4005" s="16"/>
      <c r="F4005" s="16"/>
      <c r="G4005" s="16"/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</row>
    <row r="4006" spans="1:20" x14ac:dyDescent="0.2">
      <c r="A4006" s="16"/>
      <c r="B4006" s="16"/>
      <c r="C4006" s="16"/>
      <c r="D4006" s="16"/>
      <c r="E4006" s="16"/>
      <c r="F4006" s="16"/>
      <c r="G4006" s="16"/>
      <c r="H4006" s="16"/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</row>
    <row r="4007" spans="1:20" x14ac:dyDescent="0.2">
      <c r="A4007" s="16"/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</row>
    <row r="4008" spans="1:20" x14ac:dyDescent="0.2">
      <c r="A4008" s="16"/>
      <c r="B4008" s="16"/>
      <c r="C4008" s="16"/>
      <c r="D4008" s="16"/>
      <c r="E4008" s="16"/>
      <c r="F4008" s="16"/>
      <c r="G4008" s="16"/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</row>
    <row r="4009" spans="1:20" x14ac:dyDescent="0.2">
      <c r="A4009" s="16"/>
      <c r="B4009" s="16"/>
      <c r="C4009" s="16"/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</row>
    <row r="4010" spans="1:20" x14ac:dyDescent="0.2">
      <c r="A4010" s="16"/>
      <c r="B4010" s="16"/>
      <c r="C4010" s="16"/>
      <c r="D4010" s="16"/>
      <c r="E4010" s="16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</row>
    <row r="4011" spans="1:20" x14ac:dyDescent="0.2">
      <c r="A4011" s="16"/>
      <c r="B4011" s="16"/>
      <c r="C4011" s="16"/>
      <c r="D4011" s="16"/>
      <c r="E4011" s="16"/>
      <c r="F4011" s="16"/>
      <c r="G4011" s="16"/>
      <c r="H4011" s="16"/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</row>
    <row r="4012" spans="1:20" x14ac:dyDescent="0.2">
      <c r="A4012" s="16"/>
      <c r="B4012" s="16"/>
      <c r="C4012" s="16"/>
      <c r="D4012" s="16"/>
      <c r="E4012" s="16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</row>
    <row r="4013" spans="1:20" x14ac:dyDescent="0.2">
      <c r="A4013" s="16"/>
      <c r="B4013" s="16"/>
      <c r="C4013" s="16"/>
      <c r="D4013" s="16"/>
      <c r="E4013" s="16"/>
      <c r="F4013" s="16"/>
      <c r="G4013" s="16"/>
      <c r="H4013" s="16"/>
      <c r="I4013" s="16"/>
      <c r="J4013" s="16"/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</row>
    <row r="4014" spans="1:20" x14ac:dyDescent="0.2">
      <c r="A4014" s="16"/>
      <c r="B4014" s="16"/>
      <c r="C4014" s="16"/>
      <c r="D4014" s="16"/>
      <c r="E4014" s="16"/>
      <c r="F4014" s="16"/>
      <c r="G4014" s="16"/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</row>
    <row r="4015" spans="1:20" x14ac:dyDescent="0.2">
      <c r="A4015" s="16"/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</row>
    <row r="4016" spans="1:20" x14ac:dyDescent="0.2">
      <c r="A4016" s="16"/>
      <c r="B4016" s="16"/>
      <c r="C4016" s="16"/>
      <c r="D4016" s="16"/>
      <c r="E4016" s="16"/>
      <c r="F4016" s="16"/>
      <c r="G4016" s="16"/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</row>
    <row r="4017" spans="1:20" x14ac:dyDescent="0.2">
      <c r="A4017" s="16"/>
      <c r="B4017" s="16"/>
      <c r="C4017" s="16"/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</row>
    <row r="4018" spans="1:20" x14ac:dyDescent="0.2">
      <c r="A4018" s="16"/>
      <c r="B4018" s="16"/>
      <c r="C4018" s="16"/>
      <c r="D4018" s="16"/>
      <c r="E4018" s="16"/>
      <c r="F4018" s="16"/>
      <c r="G4018" s="16"/>
      <c r="H4018" s="16"/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</row>
    <row r="4019" spans="1:20" x14ac:dyDescent="0.2">
      <c r="A4019" s="16"/>
      <c r="B4019" s="16"/>
      <c r="C4019" s="16"/>
      <c r="D4019" s="16"/>
      <c r="E4019" s="16"/>
      <c r="F4019" s="16"/>
      <c r="G4019" s="16"/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</row>
    <row r="4020" spans="1:20" x14ac:dyDescent="0.2">
      <c r="A4020" s="16"/>
      <c r="B4020" s="16"/>
      <c r="C4020" s="16"/>
      <c r="D4020" s="16"/>
      <c r="E4020" s="16"/>
      <c r="F4020" s="16"/>
      <c r="G4020" s="16"/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</row>
    <row r="4021" spans="1:20" x14ac:dyDescent="0.2">
      <c r="A4021" s="16"/>
      <c r="B4021" s="16"/>
      <c r="C4021" s="16"/>
      <c r="D4021" s="16"/>
      <c r="E4021" s="16"/>
      <c r="F4021" s="16"/>
      <c r="G4021" s="16"/>
      <c r="H4021" s="16"/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</row>
    <row r="4022" spans="1:20" x14ac:dyDescent="0.2">
      <c r="A4022" s="16"/>
      <c r="B4022" s="16"/>
      <c r="C4022" s="16"/>
      <c r="D4022" s="16"/>
      <c r="E4022" s="16"/>
      <c r="F4022" s="16"/>
      <c r="G4022" s="16"/>
      <c r="H4022" s="16"/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</row>
    <row r="4023" spans="1:20" x14ac:dyDescent="0.2">
      <c r="A4023" s="16"/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</row>
    <row r="4024" spans="1:20" x14ac:dyDescent="0.2">
      <c r="A4024" s="16"/>
      <c r="B4024" s="16"/>
      <c r="C4024" s="16"/>
      <c r="D4024" s="16"/>
      <c r="E4024" s="16"/>
      <c r="F4024" s="16"/>
      <c r="G4024" s="16"/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</row>
    <row r="4025" spans="1:20" x14ac:dyDescent="0.2">
      <c r="A4025" s="16"/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</row>
    <row r="4026" spans="1:20" x14ac:dyDescent="0.2">
      <c r="A4026" s="16"/>
      <c r="B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</row>
    <row r="4027" spans="1:20" x14ac:dyDescent="0.2">
      <c r="A4027" s="16"/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</row>
    <row r="4028" spans="1:20" x14ac:dyDescent="0.2">
      <c r="A4028" s="16"/>
      <c r="B4028" s="16"/>
      <c r="C4028" s="16"/>
      <c r="D4028" s="16"/>
      <c r="E4028" s="16"/>
      <c r="F4028" s="16"/>
      <c r="G4028" s="16"/>
      <c r="H4028" s="16"/>
      <c r="I4028" s="16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</row>
    <row r="4029" spans="1:20" x14ac:dyDescent="0.2">
      <c r="A4029" s="16"/>
      <c r="B4029" s="16"/>
      <c r="C4029" s="16"/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</row>
    <row r="4030" spans="1:20" x14ac:dyDescent="0.2">
      <c r="A4030" s="16"/>
      <c r="B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</row>
    <row r="4031" spans="1:20" x14ac:dyDescent="0.2">
      <c r="A4031" s="16"/>
      <c r="B4031" s="16"/>
      <c r="C4031" s="16"/>
      <c r="D4031" s="16"/>
      <c r="E4031" s="16"/>
      <c r="F4031" s="16"/>
      <c r="G4031" s="16"/>
      <c r="H4031" s="16"/>
      <c r="I4031" s="16"/>
      <c r="J4031" s="16"/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</row>
    <row r="4032" spans="1:20" x14ac:dyDescent="0.2">
      <c r="A4032" s="16"/>
      <c r="B4032" s="16"/>
      <c r="C4032" s="16"/>
      <c r="D4032" s="16"/>
      <c r="E4032" s="16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</row>
    <row r="4033" spans="1:20" x14ac:dyDescent="0.2">
      <c r="A4033" s="16"/>
      <c r="B4033" s="16"/>
      <c r="C4033" s="16"/>
      <c r="D4033" s="16"/>
      <c r="E4033" s="16"/>
      <c r="F4033" s="16"/>
      <c r="G4033" s="16"/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</row>
    <row r="4034" spans="1:20" x14ac:dyDescent="0.2">
      <c r="A4034" s="16"/>
      <c r="B4034" s="16"/>
      <c r="C4034" s="16"/>
      <c r="D4034" s="16"/>
      <c r="E4034" s="16"/>
      <c r="F4034" s="16"/>
      <c r="G4034" s="16"/>
      <c r="H4034" s="16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</row>
    <row r="4035" spans="1:20" x14ac:dyDescent="0.2">
      <c r="A4035" s="16"/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</row>
    <row r="4036" spans="1:20" x14ac:dyDescent="0.2">
      <c r="A4036" s="16"/>
      <c r="B4036" s="16"/>
      <c r="C4036" s="16"/>
      <c r="D4036" s="16"/>
      <c r="E4036" s="16"/>
      <c r="F4036" s="16"/>
      <c r="G4036" s="16"/>
      <c r="H4036" s="16"/>
      <c r="I4036" s="16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</row>
    <row r="4037" spans="1:20" x14ac:dyDescent="0.2">
      <c r="A4037" s="16"/>
      <c r="B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</row>
    <row r="4038" spans="1:20" x14ac:dyDescent="0.2">
      <c r="A4038" s="16"/>
      <c r="B4038" s="16"/>
      <c r="C4038" s="16"/>
      <c r="D4038" s="16"/>
      <c r="E4038" s="16"/>
      <c r="F4038" s="16"/>
      <c r="G4038" s="16"/>
      <c r="H4038" s="16"/>
      <c r="I4038" s="16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</row>
    <row r="4039" spans="1:20" x14ac:dyDescent="0.2">
      <c r="A4039" s="16"/>
      <c r="B4039" s="16"/>
      <c r="C4039" s="16"/>
      <c r="D4039" s="16"/>
      <c r="E4039" s="16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</row>
    <row r="4040" spans="1:20" x14ac:dyDescent="0.2">
      <c r="A4040" s="16"/>
      <c r="B4040" s="16"/>
      <c r="C4040" s="16"/>
      <c r="D4040" s="16"/>
      <c r="E4040" s="16"/>
      <c r="F4040" s="16"/>
      <c r="G4040" s="16"/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</row>
    <row r="4041" spans="1:20" x14ac:dyDescent="0.2">
      <c r="A4041" s="16"/>
      <c r="B4041" s="16"/>
      <c r="C4041" s="16"/>
      <c r="D4041" s="16"/>
      <c r="E4041" s="16"/>
      <c r="F4041" s="16"/>
      <c r="G4041" s="16"/>
      <c r="H4041" s="16"/>
      <c r="I4041" s="16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</row>
    <row r="4042" spans="1:20" x14ac:dyDescent="0.2">
      <c r="A4042" s="16"/>
      <c r="B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</row>
    <row r="4043" spans="1:20" x14ac:dyDescent="0.2">
      <c r="A4043" s="16"/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</row>
    <row r="4044" spans="1:20" x14ac:dyDescent="0.2">
      <c r="A4044" s="16"/>
      <c r="B4044" s="16"/>
      <c r="C4044" s="16"/>
      <c r="D4044" s="16"/>
      <c r="E4044" s="16"/>
      <c r="F4044" s="16"/>
      <c r="G4044" s="16"/>
      <c r="H4044" s="16"/>
      <c r="I4044" s="16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</row>
    <row r="4045" spans="1:20" x14ac:dyDescent="0.2">
      <c r="A4045" s="16"/>
      <c r="B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</row>
    <row r="4046" spans="1:20" x14ac:dyDescent="0.2">
      <c r="A4046" s="16"/>
      <c r="B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</row>
    <row r="4047" spans="1:20" x14ac:dyDescent="0.2">
      <c r="A4047" s="16"/>
      <c r="B4047" s="16"/>
      <c r="C4047" s="16"/>
      <c r="D4047" s="16"/>
      <c r="E4047" s="16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</row>
    <row r="4048" spans="1:20" x14ac:dyDescent="0.2">
      <c r="A4048" s="16"/>
      <c r="B4048" s="16"/>
      <c r="C4048" s="16"/>
      <c r="D4048" s="16"/>
      <c r="E4048" s="16"/>
      <c r="F4048" s="16"/>
      <c r="G4048" s="16"/>
      <c r="H4048" s="16"/>
      <c r="I4048" s="16"/>
      <c r="J4048" s="16"/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</row>
    <row r="4049" spans="1:20" x14ac:dyDescent="0.2">
      <c r="A4049" s="16"/>
      <c r="B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</row>
    <row r="4050" spans="1:20" x14ac:dyDescent="0.2">
      <c r="A4050" s="16"/>
      <c r="B4050" s="16"/>
      <c r="C4050" s="16"/>
      <c r="D4050" s="16"/>
      <c r="E4050" s="16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</row>
    <row r="4051" spans="1:20" x14ac:dyDescent="0.2">
      <c r="A4051" s="16"/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</row>
    <row r="4052" spans="1:20" x14ac:dyDescent="0.2">
      <c r="A4052" s="16"/>
      <c r="B4052" s="16"/>
      <c r="C4052" s="16"/>
      <c r="D4052" s="16"/>
      <c r="E4052" s="16"/>
      <c r="F4052" s="16"/>
      <c r="G4052" s="16"/>
      <c r="H4052" s="16"/>
      <c r="I4052" s="16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</row>
    <row r="4053" spans="1:20" x14ac:dyDescent="0.2">
      <c r="A4053" s="16"/>
      <c r="B4053" s="16"/>
      <c r="C4053" s="16"/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</row>
    <row r="4054" spans="1:20" x14ac:dyDescent="0.2">
      <c r="A4054" s="16"/>
      <c r="B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</row>
    <row r="4055" spans="1:20" x14ac:dyDescent="0.2">
      <c r="A4055" s="16"/>
      <c r="B4055" s="16"/>
      <c r="C4055" s="16"/>
      <c r="D4055" s="16"/>
      <c r="E4055" s="16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</row>
    <row r="4056" spans="1:20" x14ac:dyDescent="0.2">
      <c r="A4056" s="16"/>
      <c r="B4056" s="16"/>
      <c r="C4056" s="16"/>
      <c r="D4056" s="16"/>
      <c r="E4056" s="16"/>
      <c r="F4056" s="16"/>
      <c r="G4056" s="16"/>
      <c r="H4056" s="16"/>
      <c r="I4056" s="16"/>
      <c r="J4056" s="16"/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</row>
    <row r="4057" spans="1:20" x14ac:dyDescent="0.2">
      <c r="A4057" s="16"/>
      <c r="B4057" s="16"/>
      <c r="C4057" s="16"/>
      <c r="D4057" s="16"/>
      <c r="E4057" s="16"/>
      <c r="F4057" s="16"/>
      <c r="G4057" s="16"/>
      <c r="H4057" s="16"/>
      <c r="I4057" s="16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</row>
    <row r="4058" spans="1:20" x14ac:dyDescent="0.2">
      <c r="A4058" s="16"/>
      <c r="B4058" s="16"/>
      <c r="C4058" s="16"/>
      <c r="D4058" s="16"/>
      <c r="E4058" s="16"/>
      <c r="F4058" s="16"/>
      <c r="G4058" s="16"/>
      <c r="H4058" s="16"/>
      <c r="I4058" s="16"/>
      <c r="J4058" s="16"/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</row>
    <row r="4059" spans="1:20" x14ac:dyDescent="0.2">
      <c r="A4059" s="16"/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</row>
    <row r="4060" spans="1:20" x14ac:dyDescent="0.2">
      <c r="A4060" s="16"/>
      <c r="B4060" s="16"/>
      <c r="C4060" s="16"/>
      <c r="D4060" s="16"/>
      <c r="E4060" s="16"/>
      <c r="F4060" s="16"/>
      <c r="G4060" s="16"/>
      <c r="H4060" s="16"/>
      <c r="I4060" s="16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</row>
    <row r="4061" spans="1:20" x14ac:dyDescent="0.2">
      <c r="A4061" s="16"/>
      <c r="B4061" s="16"/>
      <c r="C4061" s="16"/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</row>
    <row r="4062" spans="1:20" x14ac:dyDescent="0.2">
      <c r="A4062" s="16"/>
      <c r="B4062" s="16"/>
      <c r="C4062" s="16"/>
      <c r="D4062" s="16"/>
      <c r="E4062" s="16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</row>
    <row r="4063" spans="1:20" x14ac:dyDescent="0.2">
      <c r="A4063" s="16"/>
      <c r="B4063" s="16"/>
      <c r="C4063" s="16"/>
      <c r="D4063" s="16"/>
      <c r="E4063" s="16"/>
      <c r="F4063" s="16"/>
      <c r="G4063" s="16"/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</row>
    <row r="4064" spans="1:20" x14ac:dyDescent="0.2">
      <c r="A4064" s="16"/>
      <c r="B4064" s="16"/>
      <c r="C4064" s="16"/>
      <c r="D4064" s="16"/>
      <c r="E4064" s="16"/>
      <c r="F4064" s="16"/>
      <c r="G4064" s="16"/>
      <c r="H4064" s="16"/>
      <c r="I4064" s="16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</row>
    <row r="4065" spans="1:20" x14ac:dyDescent="0.2">
      <c r="A4065" s="16"/>
      <c r="B4065" s="16"/>
      <c r="C4065" s="16"/>
      <c r="D4065" s="16"/>
      <c r="E4065" s="16"/>
      <c r="F4065" s="16"/>
      <c r="G4065" s="16"/>
      <c r="H4065" s="16"/>
      <c r="I4065" s="16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</row>
    <row r="4066" spans="1:20" x14ac:dyDescent="0.2">
      <c r="A4066" s="16"/>
      <c r="B4066" s="16"/>
      <c r="C4066" s="16"/>
      <c r="D4066" s="16"/>
      <c r="E4066" s="16"/>
      <c r="F4066" s="16"/>
      <c r="G4066" s="16"/>
      <c r="H4066" s="16"/>
      <c r="I4066" s="16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</row>
    <row r="4067" spans="1:20" x14ac:dyDescent="0.2">
      <c r="A4067" s="16"/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</row>
    <row r="4068" spans="1:20" x14ac:dyDescent="0.2">
      <c r="A4068" s="16"/>
      <c r="B4068" s="16"/>
      <c r="C4068" s="16"/>
      <c r="D4068" s="16"/>
      <c r="E4068" s="16"/>
      <c r="F4068" s="16"/>
      <c r="G4068" s="16"/>
      <c r="H4068" s="16"/>
      <c r="I4068" s="16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</row>
    <row r="4069" spans="1:20" x14ac:dyDescent="0.2">
      <c r="A4069" s="16"/>
      <c r="B4069" s="16"/>
      <c r="C4069" s="16"/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</row>
    <row r="4070" spans="1:20" x14ac:dyDescent="0.2">
      <c r="A4070" s="16"/>
      <c r="B4070" s="16"/>
      <c r="C4070" s="16"/>
      <c r="D4070" s="16"/>
      <c r="E4070" s="16"/>
      <c r="F4070" s="16"/>
      <c r="G4070" s="16"/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</row>
    <row r="4071" spans="1:20" x14ac:dyDescent="0.2">
      <c r="A4071" s="16"/>
      <c r="B4071" s="16"/>
      <c r="C4071" s="16"/>
      <c r="D4071" s="16"/>
      <c r="E4071" s="16"/>
      <c r="F4071" s="16"/>
      <c r="G4071" s="16"/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</row>
    <row r="4072" spans="1:20" x14ac:dyDescent="0.2">
      <c r="A4072" s="16"/>
      <c r="B4072" s="16"/>
      <c r="C4072" s="16"/>
      <c r="D4072" s="16"/>
      <c r="E4072" s="16"/>
      <c r="F4072" s="16"/>
      <c r="G4072" s="16"/>
      <c r="H4072" s="16"/>
      <c r="I4072" s="16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</row>
    <row r="4073" spans="1:20" x14ac:dyDescent="0.2">
      <c r="A4073" s="16"/>
      <c r="B4073" s="16"/>
      <c r="C4073" s="16"/>
      <c r="D4073" s="16"/>
      <c r="E4073" s="16"/>
      <c r="F4073" s="16"/>
      <c r="G4073" s="16"/>
      <c r="H4073" s="16"/>
      <c r="I4073" s="16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</row>
    <row r="4074" spans="1:20" x14ac:dyDescent="0.2">
      <c r="A4074" s="16"/>
      <c r="B4074" s="16"/>
      <c r="C4074" s="16"/>
      <c r="D4074" s="16"/>
      <c r="E4074" s="16"/>
      <c r="F4074" s="16"/>
      <c r="G4074" s="16"/>
      <c r="H4074" s="16"/>
      <c r="I4074" s="16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</row>
    <row r="4075" spans="1:20" x14ac:dyDescent="0.2">
      <c r="A4075" s="16"/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</row>
    <row r="4076" spans="1:20" x14ac:dyDescent="0.2">
      <c r="A4076" s="16"/>
      <c r="B4076" s="16"/>
      <c r="C4076" s="16"/>
      <c r="D4076" s="16"/>
      <c r="E4076" s="16"/>
      <c r="F4076" s="16"/>
      <c r="G4076" s="16"/>
      <c r="H4076" s="16"/>
      <c r="I4076" s="16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</row>
    <row r="4077" spans="1:20" x14ac:dyDescent="0.2">
      <c r="A4077" s="16"/>
      <c r="B4077" s="16"/>
      <c r="C4077" s="16"/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</row>
    <row r="4078" spans="1:20" x14ac:dyDescent="0.2">
      <c r="A4078" s="16"/>
      <c r="B4078" s="16"/>
      <c r="C4078" s="16"/>
      <c r="D4078" s="16"/>
      <c r="E4078" s="16"/>
      <c r="F4078" s="16"/>
      <c r="G4078" s="16"/>
      <c r="H4078" s="16"/>
      <c r="I4078" s="16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</row>
    <row r="4079" spans="1:20" x14ac:dyDescent="0.2">
      <c r="A4079" s="16"/>
      <c r="B4079" s="16"/>
      <c r="C4079" s="16"/>
      <c r="D4079" s="16"/>
      <c r="E4079" s="16"/>
      <c r="F4079" s="16"/>
      <c r="G4079" s="16"/>
      <c r="H4079" s="16"/>
      <c r="I4079" s="16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</row>
    <row r="4080" spans="1:20" x14ac:dyDescent="0.2">
      <c r="A4080" s="16"/>
      <c r="B4080" s="16"/>
      <c r="C4080" s="16"/>
      <c r="D4080" s="16"/>
      <c r="E4080" s="16"/>
      <c r="F4080" s="16"/>
      <c r="G4080" s="16"/>
      <c r="H4080" s="16"/>
      <c r="I4080" s="16"/>
      <c r="J4080" s="16"/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</row>
    <row r="4081" spans="1:20" x14ac:dyDescent="0.2">
      <c r="A4081" s="16"/>
      <c r="B4081" s="16"/>
      <c r="C4081" s="16"/>
      <c r="D4081" s="16"/>
      <c r="E4081" s="16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</row>
    <row r="4082" spans="1:20" x14ac:dyDescent="0.2">
      <c r="A4082" s="16"/>
      <c r="B4082" s="16"/>
      <c r="C4082" s="16"/>
      <c r="D4082" s="16"/>
      <c r="E4082" s="16"/>
      <c r="F4082" s="16"/>
      <c r="G4082" s="16"/>
      <c r="H4082" s="16"/>
      <c r="I4082" s="16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</row>
    <row r="4083" spans="1:20" x14ac:dyDescent="0.2">
      <c r="A4083" s="16"/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</row>
    <row r="4084" spans="1:20" x14ac:dyDescent="0.2">
      <c r="A4084" s="16"/>
      <c r="B4084" s="16"/>
      <c r="C4084" s="16"/>
      <c r="D4084" s="16"/>
      <c r="E4084" s="16"/>
      <c r="F4084" s="16"/>
      <c r="G4084" s="16"/>
      <c r="H4084" s="16"/>
      <c r="I4084" s="16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</row>
    <row r="4085" spans="1:20" x14ac:dyDescent="0.2">
      <c r="A4085" s="16"/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</row>
    <row r="4086" spans="1:20" x14ac:dyDescent="0.2">
      <c r="A4086" s="16"/>
      <c r="B4086" s="16"/>
      <c r="C4086" s="16"/>
      <c r="D4086" s="16"/>
      <c r="E4086" s="16"/>
      <c r="F4086" s="16"/>
      <c r="G4086" s="16"/>
      <c r="H4086" s="16"/>
      <c r="I4086" s="16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</row>
    <row r="4087" spans="1:20" x14ac:dyDescent="0.2">
      <c r="A4087" s="16"/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</row>
    <row r="4088" spans="1:20" x14ac:dyDescent="0.2">
      <c r="A4088" s="16"/>
      <c r="B4088" s="16"/>
      <c r="C4088" s="16"/>
      <c r="D4088" s="16"/>
      <c r="E4088" s="16"/>
      <c r="F4088" s="16"/>
      <c r="G4088" s="16"/>
      <c r="H4088" s="16"/>
      <c r="I4088" s="16"/>
      <c r="J4088" s="16"/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</row>
    <row r="4089" spans="1:20" x14ac:dyDescent="0.2">
      <c r="A4089" s="16"/>
      <c r="B4089" s="16"/>
      <c r="C4089" s="16"/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</row>
    <row r="4090" spans="1:20" x14ac:dyDescent="0.2">
      <c r="A4090" s="16"/>
      <c r="B4090" s="16"/>
      <c r="C4090" s="16"/>
      <c r="D4090" s="16"/>
      <c r="E4090" s="16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</row>
    <row r="4091" spans="1:20" x14ac:dyDescent="0.2">
      <c r="A4091" s="16"/>
      <c r="B4091" s="16"/>
      <c r="C4091" s="16"/>
      <c r="D4091" s="16"/>
      <c r="E4091" s="16"/>
      <c r="F4091" s="16"/>
      <c r="G4091" s="16"/>
      <c r="H4091" s="16"/>
      <c r="I4091" s="16"/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</row>
    <row r="4092" spans="1:20" x14ac:dyDescent="0.2">
      <c r="A4092" s="16"/>
      <c r="B4092" s="16"/>
      <c r="C4092" s="16"/>
      <c r="D4092" s="16"/>
      <c r="E4092" s="16"/>
      <c r="F4092" s="16"/>
      <c r="G4092" s="16"/>
      <c r="H4092" s="16"/>
      <c r="I4092" s="16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</row>
    <row r="4093" spans="1:20" x14ac:dyDescent="0.2">
      <c r="A4093" s="16"/>
      <c r="B4093" s="16"/>
      <c r="C4093" s="16"/>
      <c r="D4093" s="16"/>
      <c r="E4093" s="16"/>
      <c r="F4093" s="16"/>
      <c r="G4093" s="16"/>
      <c r="H4093" s="16"/>
      <c r="I4093" s="16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</row>
    <row r="4094" spans="1:20" x14ac:dyDescent="0.2">
      <c r="A4094" s="16"/>
      <c r="B4094" s="16"/>
      <c r="C4094" s="16"/>
      <c r="D4094" s="16"/>
      <c r="E4094" s="16"/>
      <c r="F4094" s="16"/>
      <c r="G4094" s="16"/>
      <c r="H4094" s="16"/>
      <c r="I4094" s="16"/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</row>
    <row r="4095" spans="1:20" x14ac:dyDescent="0.2">
      <c r="A4095" s="16"/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</row>
    <row r="4096" spans="1:20" x14ac:dyDescent="0.2">
      <c r="A4096" s="16"/>
      <c r="B4096" s="16"/>
      <c r="C4096" s="16"/>
      <c r="D4096" s="16"/>
      <c r="E4096" s="16"/>
      <c r="F4096" s="16"/>
      <c r="G4096" s="16"/>
      <c r="H4096" s="16"/>
      <c r="I4096" s="16"/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</row>
    <row r="4097" spans="1:20" x14ac:dyDescent="0.2">
      <c r="A4097" s="16"/>
      <c r="B4097" s="16"/>
      <c r="C4097" s="16"/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</row>
    <row r="4098" spans="1:20" x14ac:dyDescent="0.2">
      <c r="A4098" s="16"/>
      <c r="B4098" s="16"/>
      <c r="C4098" s="16"/>
      <c r="D4098" s="16"/>
      <c r="E4098" s="16"/>
      <c r="F4098" s="16"/>
      <c r="G4098" s="16"/>
      <c r="H4098" s="16"/>
      <c r="I4098" s="16"/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</row>
    <row r="4099" spans="1:20" x14ac:dyDescent="0.2">
      <c r="A4099" s="16"/>
      <c r="B4099" s="16"/>
      <c r="C4099" s="16"/>
      <c r="D4099" s="16"/>
      <c r="E4099" s="16"/>
      <c r="F4099" s="16"/>
      <c r="G4099" s="16"/>
      <c r="H4099" s="16"/>
      <c r="I4099" s="16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</row>
    <row r="4100" spans="1:20" x14ac:dyDescent="0.2">
      <c r="A4100" s="16"/>
      <c r="B4100" s="16"/>
      <c r="C4100" s="16"/>
      <c r="D4100" s="16"/>
      <c r="E4100" s="16"/>
      <c r="F4100" s="16"/>
      <c r="G4100" s="16"/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</row>
    <row r="4101" spans="1:20" x14ac:dyDescent="0.2">
      <c r="A4101" s="16"/>
      <c r="B4101" s="16"/>
      <c r="C4101" s="16"/>
      <c r="D4101" s="16"/>
      <c r="E4101" s="16"/>
      <c r="F4101" s="16"/>
      <c r="G4101" s="16"/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</row>
    <row r="4102" spans="1:20" x14ac:dyDescent="0.2">
      <c r="A4102" s="16"/>
      <c r="B4102" s="16"/>
      <c r="C4102" s="16"/>
      <c r="D4102" s="16"/>
      <c r="E4102" s="16"/>
      <c r="F4102" s="16"/>
      <c r="G4102" s="16"/>
      <c r="H4102" s="16"/>
      <c r="I4102" s="16"/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</row>
    <row r="4103" spans="1:20" x14ac:dyDescent="0.2">
      <c r="A4103" s="16"/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</row>
    <row r="4104" spans="1:20" x14ac:dyDescent="0.2">
      <c r="A4104" s="16"/>
      <c r="B4104" s="16"/>
      <c r="C4104" s="16"/>
      <c r="D4104" s="16"/>
      <c r="E4104" s="16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 s="16"/>
      <c r="Q4104" s="16"/>
      <c r="R4104" s="16"/>
      <c r="S4104" s="16"/>
      <c r="T4104" s="16"/>
    </row>
    <row r="4105" spans="1:20" x14ac:dyDescent="0.2">
      <c r="A4105" s="16"/>
      <c r="B4105" s="16"/>
      <c r="C4105" s="16"/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</row>
    <row r="4106" spans="1:20" x14ac:dyDescent="0.2">
      <c r="A4106" s="16"/>
      <c r="B4106" s="16"/>
      <c r="C4106" s="16"/>
      <c r="D4106" s="16"/>
      <c r="E4106" s="16"/>
      <c r="F4106" s="16"/>
      <c r="G4106" s="16"/>
      <c r="H4106" s="16"/>
      <c r="I4106" s="16"/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</row>
    <row r="4107" spans="1:20" x14ac:dyDescent="0.2">
      <c r="A4107" s="16"/>
      <c r="B4107" s="16"/>
      <c r="C4107" s="16"/>
      <c r="D4107" s="16"/>
      <c r="E4107" s="16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</row>
    <row r="4108" spans="1:20" x14ac:dyDescent="0.2">
      <c r="A4108" s="16"/>
      <c r="B4108" s="16"/>
      <c r="C4108" s="16"/>
      <c r="D4108" s="16"/>
      <c r="E4108" s="16"/>
      <c r="F4108" s="16"/>
      <c r="G4108" s="16"/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</row>
    <row r="4109" spans="1:20" x14ac:dyDescent="0.2">
      <c r="A4109" s="16"/>
      <c r="B4109" s="16"/>
      <c r="C4109" s="16"/>
      <c r="D4109" s="16"/>
      <c r="E4109" s="16"/>
      <c r="F4109" s="16"/>
      <c r="G4109" s="16"/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</row>
    <row r="4110" spans="1:20" x14ac:dyDescent="0.2">
      <c r="A4110" s="16"/>
      <c r="B4110" s="16"/>
      <c r="C4110" s="16"/>
      <c r="D4110" s="16"/>
      <c r="E4110" s="16"/>
      <c r="F4110" s="16"/>
      <c r="G4110" s="16"/>
      <c r="H4110" s="16"/>
      <c r="I4110" s="16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</row>
    <row r="4111" spans="1:20" x14ac:dyDescent="0.2">
      <c r="A4111" s="16"/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</row>
    <row r="4112" spans="1:20" x14ac:dyDescent="0.2">
      <c r="A4112" s="16"/>
      <c r="B4112" s="16"/>
      <c r="C4112" s="16"/>
      <c r="D4112" s="16"/>
      <c r="E4112" s="16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</row>
    <row r="4113" spans="1:20" x14ac:dyDescent="0.2">
      <c r="A4113" s="16"/>
      <c r="B4113" s="16"/>
      <c r="C4113" s="16"/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</row>
    <row r="4114" spans="1:20" x14ac:dyDescent="0.2">
      <c r="A4114" s="16"/>
      <c r="B4114" s="16"/>
      <c r="C4114" s="16"/>
      <c r="D4114" s="16"/>
      <c r="E4114" s="16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</row>
    <row r="4115" spans="1:20" x14ac:dyDescent="0.2">
      <c r="A4115" s="16"/>
      <c r="B4115" s="16"/>
      <c r="C4115" s="16"/>
      <c r="D4115" s="16"/>
      <c r="E4115" s="16"/>
      <c r="F4115" s="16"/>
      <c r="G4115" s="16"/>
      <c r="H4115" s="16"/>
      <c r="I4115" s="16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</row>
    <row r="4116" spans="1:20" x14ac:dyDescent="0.2">
      <c r="A4116" s="16"/>
      <c r="B4116" s="16"/>
      <c r="C4116" s="16"/>
      <c r="D4116" s="16"/>
      <c r="E4116" s="16"/>
      <c r="F4116" s="16"/>
      <c r="G4116" s="16"/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</row>
    <row r="4117" spans="1:20" x14ac:dyDescent="0.2">
      <c r="A4117" s="16"/>
      <c r="B4117" s="16"/>
      <c r="C4117" s="16"/>
      <c r="D4117" s="16"/>
      <c r="E4117" s="16"/>
      <c r="F4117" s="16"/>
      <c r="G4117" s="16"/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</row>
    <row r="4118" spans="1:20" x14ac:dyDescent="0.2">
      <c r="A4118" s="16"/>
      <c r="B4118" s="16"/>
      <c r="C4118" s="16"/>
      <c r="D4118" s="16"/>
      <c r="E4118" s="16"/>
      <c r="F4118" s="16"/>
      <c r="G4118" s="16"/>
      <c r="H4118" s="16"/>
      <c r="I4118" s="16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</row>
    <row r="4119" spans="1:20" x14ac:dyDescent="0.2">
      <c r="A4119" s="16"/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  <c r="O4119" s="16"/>
      <c r="P4119" s="16"/>
      <c r="Q4119" s="16"/>
      <c r="R4119" s="16"/>
      <c r="S4119" s="16"/>
      <c r="T4119" s="16"/>
    </row>
    <row r="4120" spans="1:20" x14ac:dyDescent="0.2">
      <c r="A4120" s="16"/>
      <c r="B4120" s="16"/>
      <c r="C4120" s="16"/>
      <c r="D4120" s="16"/>
      <c r="E4120" s="16"/>
      <c r="F4120" s="16"/>
      <c r="G4120" s="16"/>
      <c r="H4120" s="16"/>
      <c r="I4120" s="16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</row>
    <row r="4121" spans="1:20" x14ac:dyDescent="0.2">
      <c r="A4121" s="16"/>
      <c r="B4121" s="16"/>
      <c r="C4121" s="16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</row>
    <row r="4122" spans="1:20" x14ac:dyDescent="0.2">
      <c r="A4122" s="16"/>
      <c r="B4122" s="16"/>
      <c r="C4122" s="16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</row>
    <row r="4123" spans="1:20" x14ac:dyDescent="0.2">
      <c r="A4123" s="16"/>
      <c r="B4123" s="16"/>
      <c r="C4123" s="16"/>
      <c r="D4123" s="16"/>
      <c r="E4123" s="16"/>
      <c r="F4123" s="16"/>
      <c r="G4123" s="16"/>
      <c r="H4123" s="16"/>
      <c r="I4123" s="16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</row>
    <row r="4124" spans="1:20" x14ac:dyDescent="0.2">
      <c r="A4124" s="16"/>
      <c r="B4124" s="16"/>
      <c r="C4124" s="16"/>
      <c r="D4124" s="16"/>
      <c r="E4124" s="16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</row>
    <row r="4125" spans="1:20" x14ac:dyDescent="0.2">
      <c r="A4125" s="16"/>
      <c r="B4125" s="16"/>
      <c r="C4125" s="16"/>
      <c r="D4125" s="16"/>
      <c r="E4125" s="16"/>
      <c r="F4125" s="16"/>
      <c r="G4125" s="16"/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</row>
    <row r="4126" spans="1:20" x14ac:dyDescent="0.2">
      <c r="A4126" s="16"/>
      <c r="B4126" s="16"/>
      <c r="C4126" s="16"/>
      <c r="D4126" s="16"/>
      <c r="E4126" s="16"/>
      <c r="F4126" s="16"/>
      <c r="G4126" s="16"/>
      <c r="H4126" s="16"/>
      <c r="I4126" s="16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</row>
    <row r="4127" spans="1:20" x14ac:dyDescent="0.2">
      <c r="A4127" s="16"/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</row>
    <row r="4128" spans="1:20" x14ac:dyDescent="0.2">
      <c r="A4128" s="16"/>
      <c r="B4128" s="16"/>
      <c r="C4128" s="16"/>
      <c r="D4128" s="16"/>
      <c r="E4128" s="16"/>
      <c r="F4128" s="16"/>
      <c r="G4128" s="16"/>
      <c r="H4128" s="16"/>
      <c r="I4128" s="16"/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</row>
    <row r="4129" spans="1:20" x14ac:dyDescent="0.2">
      <c r="A4129" s="16"/>
      <c r="B4129" s="16"/>
      <c r="C4129" s="16"/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</row>
    <row r="4130" spans="1:20" x14ac:dyDescent="0.2">
      <c r="A4130" s="16"/>
      <c r="B4130" s="16"/>
      <c r="C4130" s="16"/>
      <c r="D4130" s="16"/>
      <c r="E4130" s="16"/>
      <c r="F4130" s="16"/>
      <c r="G4130" s="16"/>
      <c r="H4130" s="16"/>
      <c r="I4130" s="16"/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</row>
    <row r="4131" spans="1:20" x14ac:dyDescent="0.2">
      <c r="A4131" s="16"/>
      <c r="B4131" s="16"/>
      <c r="C4131" s="16"/>
      <c r="D4131" s="16"/>
      <c r="E4131" s="16"/>
      <c r="F4131" s="16"/>
      <c r="G4131" s="16"/>
      <c r="H4131" s="16"/>
      <c r="I4131" s="16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</row>
    <row r="4132" spans="1:20" x14ac:dyDescent="0.2">
      <c r="A4132" s="16"/>
      <c r="B4132" s="16"/>
      <c r="C4132" s="16"/>
      <c r="D4132" s="16"/>
      <c r="E4132" s="16"/>
      <c r="F4132" s="16"/>
      <c r="G4132" s="16"/>
      <c r="H4132" s="16"/>
      <c r="I4132" s="16"/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</row>
    <row r="4133" spans="1:20" x14ac:dyDescent="0.2">
      <c r="A4133" s="16"/>
      <c r="B4133" s="16"/>
      <c r="C4133" s="16"/>
      <c r="D4133" s="16"/>
      <c r="E4133" s="16"/>
      <c r="F4133" s="16"/>
      <c r="G4133" s="16"/>
      <c r="H4133" s="16"/>
      <c r="I4133" s="16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</row>
    <row r="4134" spans="1:20" x14ac:dyDescent="0.2">
      <c r="A4134" s="16"/>
      <c r="B4134" s="16"/>
      <c r="C4134" s="16"/>
      <c r="D4134" s="16"/>
      <c r="E4134" s="16"/>
      <c r="F4134" s="16"/>
      <c r="G4134" s="16"/>
      <c r="H4134" s="16"/>
      <c r="I4134" s="16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</row>
    <row r="4135" spans="1:20" x14ac:dyDescent="0.2">
      <c r="A4135" s="16"/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</row>
    <row r="4136" spans="1:20" x14ac:dyDescent="0.2">
      <c r="A4136" s="16"/>
      <c r="B4136" s="16"/>
      <c r="C4136" s="16"/>
      <c r="D4136" s="16"/>
      <c r="E4136" s="16"/>
      <c r="F4136" s="16"/>
      <c r="G4136" s="16"/>
      <c r="H4136" s="16"/>
      <c r="I4136" s="16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</row>
    <row r="4137" spans="1:20" x14ac:dyDescent="0.2">
      <c r="A4137" s="16"/>
      <c r="B4137" s="16"/>
      <c r="C4137" s="16"/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</row>
    <row r="4138" spans="1:20" x14ac:dyDescent="0.2">
      <c r="A4138" s="16"/>
      <c r="B4138" s="16"/>
      <c r="C4138" s="16"/>
      <c r="D4138" s="16"/>
      <c r="E4138" s="16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</row>
    <row r="4139" spans="1:20" x14ac:dyDescent="0.2">
      <c r="A4139" s="16"/>
      <c r="B4139" s="16"/>
      <c r="C4139" s="16"/>
      <c r="D4139" s="16"/>
      <c r="E4139" s="16"/>
      <c r="F4139" s="16"/>
      <c r="G4139" s="16"/>
      <c r="H4139" s="16"/>
      <c r="I4139" s="16"/>
      <c r="J4139" s="16"/>
      <c r="K4139" s="16"/>
      <c r="L4139" s="16"/>
      <c r="M4139" s="16"/>
      <c r="N4139" s="16"/>
      <c r="O4139" s="16"/>
      <c r="P4139" s="16"/>
      <c r="Q4139" s="16"/>
      <c r="R4139" s="16"/>
      <c r="S4139" s="16"/>
      <c r="T4139" s="16"/>
    </row>
    <row r="4140" spans="1:20" x14ac:dyDescent="0.2">
      <c r="A4140" s="16"/>
      <c r="B4140" s="16"/>
      <c r="C4140" s="16"/>
      <c r="D4140" s="16"/>
      <c r="E4140" s="16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</row>
    <row r="4141" spans="1:20" x14ac:dyDescent="0.2">
      <c r="A4141" s="16"/>
      <c r="B4141" s="16"/>
      <c r="C4141" s="16"/>
      <c r="D4141" s="16"/>
      <c r="E4141" s="16"/>
      <c r="F4141" s="16"/>
      <c r="G4141" s="16"/>
      <c r="H4141" s="16"/>
      <c r="I4141" s="16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</row>
    <row r="4142" spans="1:20" x14ac:dyDescent="0.2">
      <c r="A4142" s="16"/>
      <c r="B4142" s="16"/>
      <c r="C4142" s="16"/>
      <c r="D4142" s="16"/>
      <c r="E4142" s="16"/>
      <c r="F4142" s="16"/>
      <c r="G4142" s="16"/>
      <c r="H4142" s="16"/>
      <c r="I4142" s="16"/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</row>
    <row r="4143" spans="1:20" x14ac:dyDescent="0.2">
      <c r="A4143" s="16"/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</row>
    <row r="4144" spans="1:20" x14ac:dyDescent="0.2">
      <c r="A4144" s="16"/>
      <c r="B4144" s="16"/>
      <c r="C4144" s="16"/>
      <c r="D4144" s="16"/>
      <c r="E4144" s="16"/>
      <c r="F4144" s="16"/>
      <c r="G4144" s="16"/>
      <c r="H4144" s="16"/>
      <c r="I4144" s="16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</row>
    <row r="4145" spans="1:20" x14ac:dyDescent="0.2">
      <c r="A4145" s="16"/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</row>
    <row r="4146" spans="1:20" x14ac:dyDescent="0.2">
      <c r="A4146" s="16"/>
      <c r="B4146" s="16"/>
      <c r="C4146" s="16"/>
      <c r="D4146" s="16"/>
      <c r="E4146" s="16"/>
      <c r="F4146" s="16"/>
      <c r="G4146" s="16"/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</row>
    <row r="4147" spans="1:20" x14ac:dyDescent="0.2">
      <c r="A4147" s="16"/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</row>
    <row r="4148" spans="1:20" x14ac:dyDescent="0.2">
      <c r="A4148" s="16"/>
      <c r="B4148" s="16"/>
      <c r="C4148" s="16"/>
      <c r="D4148" s="16"/>
      <c r="E4148" s="16"/>
      <c r="F4148" s="16"/>
      <c r="G4148" s="16"/>
      <c r="H4148" s="16"/>
      <c r="I4148" s="16"/>
      <c r="J4148" s="16"/>
      <c r="K4148" s="16"/>
      <c r="L4148" s="16"/>
      <c r="M4148" s="16"/>
      <c r="N4148" s="16"/>
      <c r="O4148" s="16"/>
      <c r="P4148" s="16"/>
      <c r="Q4148" s="16"/>
      <c r="R4148" s="16"/>
      <c r="S4148" s="16"/>
      <c r="T4148" s="16"/>
    </row>
    <row r="4149" spans="1:20" x14ac:dyDescent="0.2">
      <c r="A4149" s="16"/>
      <c r="B4149" s="16"/>
      <c r="C4149" s="16"/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</row>
    <row r="4150" spans="1:20" x14ac:dyDescent="0.2">
      <c r="A4150" s="16"/>
      <c r="B4150" s="16"/>
      <c r="C4150" s="16"/>
      <c r="D4150" s="16"/>
      <c r="E4150" s="16"/>
      <c r="F4150" s="16"/>
      <c r="G4150" s="16"/>
      <c r="H4150" s="16"/>
      <c r="I4150" s="16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</row>
    <row r="4151" spans="1:20" x14ac:dyDescent="0.2">
      <c r="A4151" s="16"/>
      <c r="B4151" s="16"/>
      <c r="C4151" s="16"/>
      <c r="D4151" s="16"/>
      <c r="E4151" s="16"/>
      <c r="F4151" s="16"/>
      <c r="G4151" s="16"/>
      <c r="H4151" s="16"/>
      <c r="I4151" s="16"/>
      <c r="J4151" s="16"/>
      <c r="K4151" s="16"/>
      <c r="L4151" s="16"/>
      <c r="M4151" s="16"/>
      <c r="N4151" s="16"/>
      <c r="O4151" s="16"/>
      <c r="P4151" s="16"/>
      <c r="Q4151" s="16"/>
      <c r="R4151" s="16"/>
      <c r="S4151" s="16"/>
      <c r="T4151" s="16"/>
    </row>
    <row r="4152" spans="1:20" x14ac:dyDescent="0.2">
      <c r="A4152" s="16"/>
      <c r="B4152" s="16"/>
      <c r="C4152" s="16"/>
      <c r="D4152" s="16"/>
      <c r="E4152" s="16"/>
      <c r="F4152" s="16"/>
      <c r="G4152" s="16"/>
      <c r="H4152" s="16"/>
      <c r="I4152" s="16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</row>
    <row r="4153" spans="1:20" x14ac:dyDescent="0.2">
      <c r="A4153" s="16"/>
      <c r="B4153" s="16"/>
      <c r="C4153" s="16"/>
      <c r="D4153" s="16"/>
      <c r="E4153" s="16"/>
      <c r="F4153" s="16"/>
      <c r="G4153" s="16"/>
      <c r="H4153" s="16"/>
      <c r="I4153" s="16"/>
      <c r="J4153" s="16"/>
      <c r="K4153" s="16"/>
      <c r="L4153" s="16"/>
      <c r="M4153" s="16"/>
      <c r="N4153" s="16"/>
      <c r="O4153" s="16"/>
      <c r="P4153" s="16"/>
      <c r="Q4153" s="16"/>
      <c r="R4153" s="16"/>
      <c r="S4153" s="16"/>
      <c r="T4153" s="16"/>
    </row>
    <row r="4154" spans="1:20" x14ac:dyDescent="0.2">
      <c r="A4154" s="16"/>
      <c r="B4154" s="16"/>
      <c r="C4154" s="16"/>
      <c r="D4154" s="16"/>
      <c r="E4154" s="16"/>
      <c r="F4154" s="16"/>
      <c r="G4154" s="16"/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</row>
    <row r="4155" spans="1:20" x14ac:dyDescent="0.2">
      <c r="A4155" s="16"/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</row>
    <row r="4156" spans="1:20" x14ac:dyDescent="0.2">
      <c r="A4156" s="16"/>
      <c r="B4156" s="16"/>
      <c r="C4156" s="16"/>
      <c r="D4156" s="16"/>
      <c r="E4156" s="16"/>
      <c r="F4156" s="16"/>
      <c r="G4156" s="16"/>
      <c r="H4156" s="16"/>
      <c r="I4156" s="16"/>
      <c r="J4156" s="16"/>
      <c r="K4156" s="16"/>
      <c r="L4156" s="16"/>
      <c r="M4156" s="16"/>
      <c r="N4156" s="16"/>
      <c r="O4156" s="16"/>
      <c r="P4156" s="16"/>
      <c r="Q4156" s="16"/>
      <c r="R4156" s="16"/>
      <c r="S4156" s="16"/>
      <c r="T4156" s="16"/>
    </row>
    <row r="4157" spans="1:20" x14ac:dyDescent="0.2">
      <c r="A4157" s="16"/>
      <c r="B4157" s="16"/>
      <c r="C4157" s="16"/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</row>
    <row r="4158" spans="1:20" x14ac:dyDescent="0.2">
      <c r="A4158" s="16"/>
      <c r="B4158" s="16"/>
      <c r="C4158" s="16"/>
      <c r="D4158" s="16"/>
      <c r="E4158" s="16"/>
      <c r="F4158" s="16"/>
      <c r="G4158" s="16"/>
      <c r="H4158" s="16"/>
      <c r="I4158" s="16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</row>
    <row r="4159" spans="1:20" x14ac:dyDescent="0.2">
      <c r="A4159" s="16"/>
      <c r="B4159" s="16"/>
      <c r="C4159" s="16"/>
      <c r="D4159" s="16"/>
      <c r="E4159" s="16"/>
      <c r="F4159" s="16"/>
      <c r="G4159" s="16"/>
      <c r="H4159" s="16"/>
      <c r="I4159" s="16"/>
      <c r="J4159" s="16"/>
      <c r="K4159" s="16"/>
      <c r="L4159" s="16"/>
      <c r="M4159" s="16"/>
      <c r="N4159" s="16"/>
      <c r="O4159" s="16"/>
      <c r="P4159" s="16"/>
      <c r="Q4159" s="16"/>
      <c r="R4159" s="16"/>
      <c r="S4159" s="16"/>
      <c r="T4159" s="16"/>
    </row>
    <row r="4160" spans="1:20" x14ac:dyDescent="0.2">
      <c r="A4160" s="16"/>
      <c r="B4160" s="16"/>
      <c r="C4160" s="16"/>
      <c r="D4160" s="16"/>
      <c r="E4160" s="16"/>
      <c r="F4160" s="16"/>
      <c r="G4160" s="16"/>
      <c r="H4160" s="16"/>
      <c r="I4160" s="16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</row>
    <row r="4161" spans="1:20" x14ac:dyDescent="0.2">
      <c r="A4161" s="16"/>
      <c r="B4161" s="16"/>
      <c r="C4161" s="16"/>
      <c r="D4161" s="16"/>
      <c r="E4161" s="16"/>
      <c r="F4161" s="16"/>
      <c r="G4161" s="16"/>
      <c r="H4161" s="16"/>
      <c r="I4161" s="16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</row>
    <row r="4162" spans="1:20" x14ac:dyDescent="0.2">
      <c r="A4162" s="16"/>
      <c r="B4162" s="16"/>
      <c r="C4162" s="16"/>
      <c r="D4162" s="16"/>
      <c r="E4162" s="16"/>
      <c r="F4162" s="16"/>
      <c r="G4162" s="16"/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</row>
    <row r="4163" spans="1:20" x14ac:dyDescent="0.2">
      <c r="A4163" s="16"/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</row>
    <row r="4164" spans="1:20" x14ac:dyDescent="0.2">
      <c r="A4164" s="16"/>
      <c r="B4164" s="16"/>
      <c r="C4164" s="16"/>
      <c r="D4164" s="16"/>
      <c r="E4164" s="16"/>
      <c r="F4164" s="16"/>
      <c r="G4164" s="16"/>
      <c r="H4164" s="16"/>
      <c r="I4164" s="16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</row>
    <row r="4165" spans="1:20" x14ac:dyDescent="0.2">
      <c r="A4165" s="16"/>
      <c r="B4165" s="16"/>
      <c r="C4165" s="16"/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</row>
    <row r="4166" spans="1:20" x14ac:dyDescent="0.2">
      <c r="A4166" s="16"/>
      <c r="B4166" s="16"/>
      <c r="C4166" s="16"/>
      <c r="D4166" s="16"/>
      <c r="E4166" s="16"/>
      <c r="F4166" s="16"/>
      <c r="G4166" s="16"/>
      <c r="H4166" s="16"/>
      <c r="I4166" s="16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</row>
    <row r="4167" spans="1:20" x14ac:dyDescent="0.2">
      <c r="A4167" s="16"/>
      <c r="B4167" s="16"/>
      <c r="C4167" s="16"/>
      <c r="D4167" s="16"/>
      <c r="E4167" s="16"/>
      <c r="F4167" s="16"/>
      <c r="G4167" s="16"/>
      <c r="H4167" s="16"/>
      <c r="I4167" s="16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</row>
    <row r="4168" spans="1:20" x14ac:dyDescent="0.2">
      <c r="A4168" s="16"/>
      <c r="B4168" s="16"/>
      <c r="C4168" s="16"/>
      <c r="D4168" s="16"/>
      <c r="E4168" s="16"/>
      <c r="F4168" s="16"/>
      <c r="G4168" s="16"/>
      <c r="H4168" s="16"/>
      <c r="I4168" s="16"/>
      <c r="J4168" s="16"/>
      <c r="K4168" s="16"/>
      <c r="L4168" s="16"/>
      <c r="M4168" s="16"/>
      <c r="N4168" s="16"/>
      <c r="O4168" s="16"/>
      <c r="P4168" s="16"/>
      <c r="Q4168" s="16"/>
      <c r="R4168" s="16"/>
      <c r="S4168" s="16"/>
      <c r="T4168" s="16"/>
    </row>
    <row r="4169" spans="1:20" x14ac:dyDescent="0.2">
      <c r="A4169" s="16"/>
      <c r="B4169" s="16"/>
      <c r="C4169" s="16"/>
      <c r="D4169" s="16"/>
      <c r="E4169" s="16"/>
      <c r="F4169" s="16"/>
      <c r="G4169" s="16"/>
      <c r="H4169" s="16"/>
      <c r="I4169" s="16"/>
      <c r="J4169" s="16"/>
      <c r="K4169" s="16"/>
      <c r="L4169" s="16"/>
      <c r="M4169" s="16"/>
      <c r="N4169" s="16"/>
      <c r="O4169" s="16"/>
      <c r="P4169" s="16"/>
      <c r="Q4169" s="16"/>
      <c r="R4169" s="16"/>
      <c r="S4169" s="16"/>
      <c r="T4169" s="16"/>
    </row>
    <row r="4170" spans="1:20" x14ac:dyDescent="0.2">
      <c r="A4170" s="16"/>
      <c r="B4170" s="16"/>
      <c r="C4170" s="16"/>
      <c r="D4170" s="16"/>
      <c r="E4170" s="16"/>
      <c r="F4170" s="16"/>
      <c r="G4170" s="16"/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</row>
    <row r="4171" spans="1:20" x14ac:dyDescent="0.2">
      <c r="A4171" s="16"/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</row>
    <row r="4172" spans="1:20" x14ac:dyDescent="0.2">
      <c r="A4172" s="16"/>
      <c r="B4172" s="16"/>
      <c r="C4172" s="16"/>
      <c r="D4172" s="16"/>
      <c r="E4172" s="16"/>
      <c r="F4172" s="16"/>
      <c r="G4172" s="16"/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</row>
    <row r="4173" spans="1:20" x14ac:dyDescent="0.2">
      <c r="A4173" s="16"/>
      <c r="B4173" s="16"/>
      <c r="C4173" s="16"/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  <c r="O4173" s="16"/>
      <c r="P4173" s="16"/>
      <c r="Q4173" s="16"/>
      <c r="R4173" s="16"/>
      <c r="S4173" s="16"/>
      <c r="T4173" s="16"/>
    </row>
    <row r="4174" spans="1:20" x14ac:dyDescent="0.2">
      <c r="A4174" s="16"/>
      <c r="B4174" s="16"/>
      <c r="C4174" s="16"/>
      <c r="D4174" s="16"/>
      <c r="E4174" s="16"/>
      <c r="F4174" s="16"/>
      <c r="G4174" s="16"/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</row>
    <row r="4175" spans="1:20" x14ac:dyDescent="0.2">
      <c r="A4175" s="16"/>
      <c r="B4175" s="16"/>
      <c r="C4175" s="16"/>
      <c r="D4175" s="16"/>
      <c r="E4175" s="16"/>
      <c r="F4175" s="16"/>
      <c r="G4175" s="16"/>
      <c r="H4175" s="16"/>
      <c r="I4175" s="16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</row>
    <row r="4176" spans="1:20" x14ac:dyDescent="0.2">
      <c r="A4176" s="16"/>
      <c r="B4176" s="16"/>
      <c r="C4176" s="16"/>
      <c r="D4176" s="16"/>
      <c r="E4176" s="16"/>
      <c r="F4176" s="16"/>
      <c r="G4176" s="16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</row>
    <row r="4177" spans="1:20" x14ac:dyDescent="0.2">
      <c r="A4177" s="16"/>
      <c r="B4177" s="16"/>
      <c r="C4177" s="16"/>
      <c r="D4177" s="16"/>
      <c r="E4177" s="16"/>
      <c r="F4177" s="16"/>
      <c r="G4177" s="16"/>
      <c r="H4177" s="16"/>
      <c r="I4177" s="16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</row>
    <row r="4178" spans="1:20" x14ac:dyDescent="0.2">
      <c r="A4178" s="16"/>
      <c r="B4178" s="16"/>
      <c r="C4178" s="16"/>
      <c r="D4178" s="16"/>
      <c r="E4178" s="16"/>
      <c r="F4178" s="16"/>
      <c r="G4178" s="16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</row>
    <row r="4179" spans="1:20" x14ac:dyDescent="0.2">
      <c r="A4179" s="16"/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</row>
    <row r="4180" spans="1:20" x14ac:dyDescent="0.2">
      <c r="A4180" s="16"/>
      <c r="B4180" s="16"/>
      <c r="C4180" s="16"/>
      <c r="D4180" s="16"/>
      <c r="E4180" s="16"/>
      <c r="F4180" s="16"/>
      <c r="G4180" s="16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</row>
    <row r="4181" spans="1:20" x14ac:dyDescent="0.2">
      <c r="A4181" s="16"/>
      <c r="B4181" s="16"/>
      <c r="C4181" s="16"/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</row>
    <row r="4182" spans="1:20" x14ac:dyDescent="0.2">
      <c r="A4182" s="16"/>
      <c r="B4182" s="16"/>
      <c r="C4182" s="16"/>
      <c r="D4182" s="16"/>
      <c r="E4182" s="16"/>
      <c r="F4182" s="16"/>
      <c r="G4182" s="16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</row>
    <row r="4183" spans="1:20" x14ac:dyDescent="0.2">
      <c r="A4183" s="16"/>
      <c r="B4183" s="16"/>
      <c r="C4183" s="16"/>
      <c r="D4183" s="16"/>
      <c r="E4183" s="16"/>
      <c r="F4183" s="16"/>
      <c r="G4183" s="16"/>
      <c r="H4183" s="16"/>
      <c r="I4183" s="16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</row>
    <row r="4184" spans="1:20" x14ac:dyDescent="0.2">
      <c r="A4184" s="16"/>
      <c r="B4184" s="16"/>
      <c r="C4184" s="16"/>
      <c r="D4184" s="16"/>
      <c r="E4184" s="16"/>
      <c r="F4184" s="16"/>
      <c r="G4184" s="16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</row>
    <row r="4185" spans="1:20" x14ac:dyDescent="0.2">
      <c r="A4185" s="16"/>
      <c r="B4185" s="16"/>
      <c r="C4185" s="16"/>
      <c r="D4185" s="16"/>
      <c r="E4185" s="16"/>
      <c r="F4185" s="16"/>
      <c r="G4185" s="16"/>
      <c r="H4185" s="16"/>
      <c r="I4185" s="16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</row>
    <row r="4186" spans="1:20" x14ac:dyDescent="0.2">
      <c r="A4186" s="16"/>
      <c r="B4186" s="16"/>
      <c r="C4186" s="16"/>
      <c r="D4186" s="16"/>
      <c r="E4186" s="16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</row>
    <row r="4187" spans="1:20" x14ac:dyDescent="0.2">
      <c r="A4187" s="16"/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</row>
    <row r="4188" spans="1:20" x14ac:dyDescent="0.2">
      <c r="A4188" s="16"/>
      <c r="B4188" s="16"/>
      <c r="C4188" s="16"/>
      <c r="D4188" s="16"/>
      <c r="E4188" s="16"/>
      <c r="F4188" s="16"/>
      <c r="G4188" s="16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</row>
    <row r="4189" spans="1:20" x14ac:dyDescent="0.2">
      <c r="A4189" s="16"/>
      <c r="B4189" s="16"/>
      <c r="C4189" s="16"/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</row>
    <row r="4190" spans="1:20" x14ac:dyDescent="0.2">
      <c r="A4190" s="16"/>
      <c r="B4190" s="16"/>
      <c r="C4190" s="16"/>
      <c r="D4190" s="16"/>
      <c r="E4190" s="16"/>
      <c r="F4190" s="16"/>
      <c r="G4190" s="16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</row>
    <row r="4191" spans="1:20" x14ac:dyDescent="0.2">
      <c r="A4191" s="16"/>
      <c r="B4191" s="16"/>
      <c r="C4191" s="16"/>
      <c r="D4191" s="16"/>
      <c r="E4191" s="16"/>
      <c r="F4191" s="16"/>
      <c r="G4191" s="16"/>
      <c r="H4191" s="16"/>
      <c r="I4191" s="16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</row>
    <row r="4192" spans="1:20" x14ac:dyDescent="0.2">
      <c r="A4192" s="16"/>
      <c r="B4192" s="16"/>
      <c r="C4192" s="16"/>
      <c r="D4192" s="16"/>
      <c r="E4192" s="16"/>
      <c r="F4192" s="16"/>
      <c r="G4192" s="16"/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</row>
    <row r="4193" spans="1:20" x14ac:dyDescent="0.2">
      <c r="A4193" s="16"/>
      <c r="B4193" s="16"/>
      <c r="C4193" s="16"/>
      <c r="D4193" s="16"/>
      <c r="E4193" s="16"/>
      <c r="F4193" s="16"/>
      <c r="G4193" s="16"/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</row>
    <row r="4194" spans="1:20" x14ac:dyDescent="0.2">
      <c r="A4194" s="16"/>
      <c r="B4194" s="16"/>
      <c r="C4194" s="16"/>
      <c r="D4194" s="16"/>
      <c r="E4194" s="16"/>
      <c r="F4194" s="16"/>
      <c r="G4194" s="16"/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</row>
    <row r="4195" spans="1:20" x14ac:dyDescent="0.2">
      <c r="A4195" s="16"/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</row>
    <row r="4196" spans="1:20" x14ac:dyDescent="0.2">
      <c r="A4196" s="16"/>
      <c r="B4196" s="16"/>
      <c r="C4196" s="16"/>
      <c r="D4196" s="16"/>
      <c r="E4196" s="16"/>
      <c r="F4196" s="16"/>
      <c r="G4196" s="16"/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</row>
    <row r="4197" spans="1:20" x14ac:dyDescent="0.2">
      <c r="A4197" s="16"/>
      <c r="B4197" s="16"/>
      <c r="C4197" s="16"/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</row>
    <row r="4198" spans="1:20" x14ac:dyDescent="0.2">
      <c r="A4198" s="16"/>
      <c r="B4198" s="16"/>
      <c r="C4198" s="16"/>
      <c r="D4198" s="16"/>
      <c r="E4198" s="16"/>
      <c r="F4198" s="16"/>
      <c r="G4198" s="16"/>
      <c r="H4198" s="16"/>
      <c r="I4198" s="16"/>
      <c r="J4198" s="16"/>
      <c r="K4198" s="16"/>
      <c r="L4198" s="16"/>
      <c r="M4198" s="16"/>
      <c r="N4198" s="16"/>
      <c r="O4198" s="16"/>
      <c r="P4198" s="16"/>
      <c r="Q4198" s="16"/>
      <c r="R4198" s="16"/>
      <c r="S4198" s="16"/>
      <c r="T4198" s="16"/>
    </row>
    <row r="4199" spans="1:20" x14ac:dyDescent="0.2">
      <c r="A4199" s="16"/>
      <c r="B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</row>
    <row r="4200" spans="1:20" x14ac:dyDescent="0.2">
      <c r="A4200" s="16"/>
      <c r="B4200" s="16"/>
      <c r="C4200" s="16"/>
      <c r="D4200" s="16"/>
      <c r="E4200" s="16"/>
      <c r="F4200" s="16"/>
      <c r="G4200" s="16"/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</row>
    <row r="4201" spans="1:20" x14ac:dyDescent="0.2">
      <c r="A4201" s="16"/>
      <c r="B4201" s="16"/>
      <c r="C4201" s="16"/>
      <c r="D4201" s="16"/>
      <c r="E4201" s="16"/>
      <c r="F4201" s="16"/>
      <c r="G4201" s="16"/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</row>
    <row r="4202" spans="1:20" x14ac:dyDescent="0.2">
      <c r="A4202" s="16"/>
      <c r="B4202" s="16"/>
      <c r="C4202" s="16"/>
      <c r="D4202" s="16"/>
      <c r="E4202" s="16"/>
      <c r="F4202" s="16"/>
      <c r="G4202" s="16"/>
      <c r="H4202" s="16"/>
      <c r="I4202" s="16"/>
      <c r="J4202" s="16"/>
      <c r="K4202" s="16"/>
      <c r="L4202" s="16"/>
      <c r="M4202" s="16"/>
      <c r="N4202" s="16"/>
      <c r="O4202" s="16"/>
      <c r="P4202" s="16"/>
      <c r="Q4202" s="16"/>
      <c r="R4202" s="16"/>
      <c r="S4202" s="16"/>
      <c r="T4202" s="16"/>
    </row>
    <row r="4203" spans="1:20" x14ac:dyDescent="0.2">
      <c r="A4203" s="16"/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</row>
    <row r="4204" spans="1:20" x14ac:dyDescent="0.2">
      <c r="A4204" s="16"/>
      <c r="B4204" s="16"/>
      <c r="C4204" s="16"/>
      <c r="D4204" s="16"/>
      <c r="E4204" s="16"/>
      <c r="F4204" s="16"/>
      <c r="G4204" s="16"/>
      <c r="H4204" s="16"/>
      <c r="I4204" s="16"/>
      <c r="J4204" s="16"/>
      <c r="K4204" s="16"/>
      <c r="L4204" s="16"/>
      <c r="M4204" s="16"/>
      <c r="N4204" s="16"/>
      <c r="O4204" s="16"/>
      <c r="P4204" s="16"/>
      <c r="Q4204" s="16"/>
      <c r="R4204" s="16"/>
      <c r="S4204" s="16"/>
      <c r="T4204" s="16"/>
    </row>
    <row r="4205" spans="1:20" x14ac:dyDescent="0.2">
      <c r="A4205" s="16"/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</row>
    <row r="4206" spans="1:20" x14ac:dyDescent="0.2">
      <c r="A4206" s="16"/>
      <c r="B4206" s="16"/>
      <c r="C4206" s="16"/>
      <c r="D4206" s="16"/>
      <c r="E4206" s="16"/>
      <c r="F4206" s="16"/>
      <c r="G4206" s="16"/>
      <c r="H4206" s="16"/>
      <c r="I4206" s="16"/>
      <c r="J4206" s="16"/>
      <c r="K4206" s="16"/>
      <c r="L4206" s="16"/>
      <c r="M4206" s="16"/>
      <c r="N4206" s="16"/>
      <c r="O4206" s="16"/>
      <c r="P4206" s="16"/>
      <c r="Q4206" s="16"/>
      <c r="R4206" s="16"/>
      <c r="S4206" s="16"/>
      <c r="T4206" s="16"/>
    </row>
    <row r="4207" spans="1:20" x14ac:dyDescent="0.2">
      <c r="A4207" s="16"/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</row>
    <row r="4208" spans="1:20" x14ac:dyDescent="0.2">
      <c r="A4208" s="16"/>
      <c r="B4208" s="16"/>
      <c r="C4208" s="16"/>
      <c r="D4208" s="16"/>
      <c r="E4208" s="16"/>
      <c r="F4208" s="16"/>
      <c r="G4208" s="16"/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6"/>
    </row>
    <row r="4209" spans="1:20" x14ac:dyDescent="0.2">
      <c r="A4209" s="16"/>
      <c r="B4209" s="16"/>
      <c r="C4209" s="16"/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</row>
    <row r="4210" spans="1:20" x14ac:dyDescent="0.2">
      <c r="A4210" s="16"/>
      <c r="B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</row>
    <row r="4211" spans="1:20" x14ac:dyDescent="0.2">
      <c r="A4211" s="16"/>
      <c r="B4211" s="16"/>
      <c r="C4211" s="16"/>
      <c r="D4211" s="16"/>
      <c r="E4211" s="16"/>
      <c r="F4211" s="16"/>
      <c r="G4211" s="16"/>
      <c r="H4211" s="16"/>
      <c r="I4211" s="16"/>
      <c r="J4211" s="16"/>
      <c r="K4211" s="16"/>
      <c r="L4211" s="16"/>
      <c r="M4211" s="16"/>
      <c r="N4211" s="16"/>
      <c r="O4211" s="16"/>
      <c r="P4211" s="16"/>
      <c r="Q4211" s="16"/>
      <c r="R4211" s="16"/>
      <c r="S4211" s="16"/>
      <c r="T4211" s="16"/>
    </row>
    <row r="4212" spans="1:20" x14ac:dyDescent="0.2">
      <c r="A4212" s="16"/>
      <c r="B4212" s="16"/>
      <c r="C4212" s="16"/>
      <c r="D4212" s="16"/>
      <c r="E4212" s="16"/>
      <c r="F4212" s="16"/>
      <c r="G4212" s="16"/>
      <c r="H4212" s="16"/>
      <c r="I4212" s="16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</row>
    <row r="4213" spans="1:20" x14ac:dyDescent="0.2">
      <c r="A4213" s="16"/>
      <c r="B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</row>
    <row r="4214" spans="1:20" x14ac:dyDescent="0.2">
      <c r="A4214" s="16"/>
      <c r="B4214" s="16"/>
      <c r="C4214" s="16"/>
      <c r="D4214" s="16"/>
      <c r="E4214" s="16"/>
      <c r="F4214" s="16"/>
      <c r="G4214" s="16"/>
      <c r="H4214" s="16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</row>
    <row r="4215" spans="1:20" x14ac:dyDescent="0.2">
      <c r="A4215" s="16"/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</row>
    <row r="4216" spans="1:20" x14ac:dyDescent="0.2">
      <c r="A4216" s="16"/>
      <c r="B4216" s="16"/>
      <c r="C4216" s="16"/>
      <c r="D4216" s="16"/>
      <c r="E4216" s="16"/>
      <c r="F4216" s="16"/>
      <c r="G4216" s="16"/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</row>
    <row r="4217" spans="1:20" x14ac:dyDescent="0.2">
      <c r="A4217" s="16"/>
      <c r="B4217" s="16"/>
      <c r="C4217" s="16"/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</row>
    <row r="4218" spans="1:20" x14ac:dyDescent="0.2">
      <c r="A4218" s="16"/>
      <c r="B4218" s="16"/>
      <c r="C4218" s="16"/>
      <c r="D4218" s="16"/>
      <c r="E4218" s="16"/>
      <c r="F4218" s="16"/>
      <c r="G4218" s="16"/>
      <c r="H4218" s="16"/>
      <c r="I4218" s="16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</row>
    <row r="4219" spans="1:20" x14ac:dyDescent="0.2">
      <c r="A4219" s="16"/>
      <c r="B4219" s="16"/>
      <c r="C4219" s="16"/>
      <c r="D4219" s="16"/>
      <c r="E4219" s="16"/>
      <c r="F4219" s="16"/>
      <c r="G4219" s="16"/>
      <c r="H4219" s="16"/>
      <c r="I4219" s="16"/>
      <c r="J4219" s="16"/>
      <c r="K4219" s="16"/>
      <c r="L4219" s="16"/>
      <c r="M4219" s="16"/>
      <c r="N4219" s="16"/>
      <c r="O4219" s="16"/>
      <c r="P4219" s="16"/>
      <c r="Q4219" s="16"/>
      <c r="R4219" s="16"/>
      <c r="S4219" s="16"/>
      <c r="T4219" s="16"/>
    </row>
    <row r="4220" spans="1:20" x14ac:dyDescent="0.2">
      <c r="A4220" s="16"/>
      <c r="B4220" s="16"/>
      <c r="C4220" s="16"/>
      <c r="D4220" s="16"/>
      <c r="E4220" s="16"/>
      <c r="F4220" s="16"/>
      <c r="G4220" s="16"/>
      <c r="H4220" s="16"/>
      <c r="I4220" s="16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</row>
    <row r="4221" spans="1:20" x14ac:dyDescent="0.2">
      <c r="A4221" s="16"/>
      <c r="B4221" s="16"/>
      <c r="C4221" s="16"/>
      <c r="D4221" s="16"/>
      <c r="E4221" s="16"/>
      <c r="F4221" s="16"/>
      <c r="G4221" s="16"/>
      <c r="H4221" s="16"/>
      <c r="I4221" s="16"/>
      <c r="J4221" s="16"/>
      <c r="K4221" s="16"/>
      <c r="L4221" s="16"/>
      <c r="M4221" s="16"/>
      <c r="N4221" s="16"/>
      <c r="O4221" s="16"/>
      <c r="P4221" s="16"/>
      <c r="Q4221" s="16"/>
      <c r="R4221" s="16"/>
      <c r="S4221" s="16"/>
      <c r="T4221" s="16"/>
    </row>
    <row r="4222" spans="1:20" x14ac:dyDescent="0.2">
      <c r="A4222" s="16"/>
      <c r="B4222" s="16"/>
      <c r="C4222" s="16"/>
      <c r="D4222" s="16"/>
      <c r="E4222" s="16"/>
      <c r="F4222" s="16"/>
      <c r="G4222" s="16"/>
      <c r="H4222" s="16"/>
      <c r="I4222" s="16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</row>
    <row r="4223" spans="1:20" x14ac:dyDescent="0.2">
      <c r="A4223" s="16"/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</row>
    <row r="4224" spans="1:20" x14ac:dyDescent="0.2">
      <c r="A4224" s="16"/>
      <c r="B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</row>
    <row r="4225" spans="1:20" x14ac:dyDescent="0.2">
      <c r="A4225" s="16"/>
      <c r="B4225" s="16"/>
      <c r="C4225" s="16"/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</row>
    <row r="4226" spans="1:20" x14ac:dyDescent="0.2">
      <c r="A4226" s="16"/>
      <c r="B4226" s="16"/>
      <c r="C4226" s="16"/>
      <c r="D4226" s="16"/>
      <c r="E4226" s="16"/>
      <c r="F4226" s="16"/>
      <c r="G4226" s="16"/>
      <c r="H4226" s="16"/>
      <c r="I4226" s="16"/>
      <c r="J4226" s="16"/>
      <c r="K4226" s="16"/>
      <c r="L4226" s="16"/>
      <c r="M4226" s="16"/>
      <c r="N4226" s="16"/>
      <c r="O4226" s="16"/>
      <c r="P4226" s="16"/>
      <c r="Q4226" s="16"/>
      <c r="R4226" s="16"/>
      <c r="S4226" s="16"/>
      <c r="T4226" s="16"/>
    </row>
    <row r="4227" spans="1:20" x14ac:dyDescent="0.2">
      <c r="A4227" s="16"/>
      <c r="B4227" s="16"/>
      <c r="C4227" s="16"/>
      <c r="D4227" s="16"/>
      <c r="E4227" s="16"/>
      <c r="F4227" s="16"/>
      <c r="G4227" s="16"/>
      <c r="H4227" s="16"/>
      <c r="I4227" s="16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</row>
    <row r="4228" spans="1:20" x14ac:dyDescent="0.2">
      <c r="A4228" s="16"/>
      <c r="B4228" s="16"/>
      <c r="C4228" s="16"/>
      <c r="D4228" s="16"/>
      <c r="E4228" s="16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 s="16"/>
      <c r="Q4228" s="16"/>
      <c r="R4228" s="16"/>
      <c r="S4228" s="16"/>
      <c r="T4228" s="16"/>
    </row>
    <row r="4229" spans="1:20" x14ac:dyDescent="0.2">
      <c r="A4229" s="16"/>
      <c r="B4229" s="16"/>
      <c r="C4229" s="16"/>
      <c r="D4229" s="16"/>
      <c r="E4229" s="16"/>
      <c r="F4229" s="16"/>
      <c r="G4229" s="16"/>
      <c r="H4229" s="16"/>
      <c r="I4229" s="16"/>
      <c r="J4229" s="16"/>
      <c r="K4229" s="16"/>
      <c r="L4229" s="16"/>
      <c r="M4229" s="16"/>
      <c r="N4229" s="16"/>
      <c r="O4229" s="16"/>
      <c r="P4229" s="16"/>
      <c r="Q4229" s="16"/>
      <c r="R4229" s="16"/>
      <c r="S4229" s="16"/>
      <c r="T4229" s="16"/>
    </row>
    <row r="4230" spans="1:20" x14ac:dyDescent="0.2">
      <c r="A4230" s="16"/>
      <c r="B4230" s="16"/>
      <c r="C4230" s="16"/>
      <c r="D4230" s="16"/>
      <c r="E4230" s="16"/>
      <c r="F4230" s="16"/>
      <c r="G4230" s="16"/>
      <c r="H4230" s="16"/>
      <c r="I4230" s="16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</row>
    <row r="4231" spans="1:20" x14ac:dyDescent="0.2">
      <c r="A4231" s="16"/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</row>
    <row r="4232" spans="1:20" x14ac:dyDescent="0.2">
      <c r="A4232" s="16"/>
      <c r="B4232" s="16"/>
      <c r="C4232" s="16"/>
      <c r="D4232" s="16"/>
      <c r="E4232" s="16"/>
      <c r="F4232" s="16"/>
      <c r="G4232" s="16"/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</row>
    <row r="4233" spans="1:20" x14ac:dyDescent="0.2">
      <c r="A4233" s="16"/>
      <c r="B4233" s="16"/>
      <c r="C4233" s="16"/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  <c r="O4233" s="16"/>
      <c r="P4233" s="16"/>
      <c r="Q4233" s="16"/>
      <c r="R4233" s="16"/>
      <c r="S4233" s="16"/>
      <c r="T4233" s="16"/>
    </row>
    <row r="4234" spans="1:20" x14ac:dyDescent="0.2">
      <c r="A4234" s="16"/>
      <c r="B4234" s="16"/>
      <c r="C4234" s="16"/>
      <c r="D4234" s="16"/>
      <c r="E4234" s="16"/>
      <c r="F4234" s="16"/>
      <c r="G4234" s="16"/>
      <c r="H4234" s="16"/>
      <c r="I4234" s="16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</row>
    <row r="4235" spans="1:20" x14ac:dyDescent="0.2">
      <c r="A4235" s="16"/>
      <c r="B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</row>
    <row r="4236" spans="1:20" x14ac:dyDescent="0.2">
      <c r="A4236" s="16"/>
      <c r="B4236" s="16"/>
      <c r="C4236" s="16"/>
      <c r="D4236" s="16"/>
      <c r="E4236" s="16"/>
      <c r="F4236" s="16"/>
      <c r="G4236" s="16"/>
      <c r="H4236" s="16"/>
      <c r="I4236" s="16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</row>
    <row r="4237" spans="1:20" x14ac:dyDescent="0.2">
      <c r="A4237" s="16"/>
      <c r="B4237" s="16"/>
      <c r="C4237" s="16"/>
      <c r="D4237" s="16"/>
      <c r="E4237" s="16"/>
      <c r="F4237" s="16"/>
      <c r="G4237" s="16"/>
      <c r="H4237" s="16"/>
      <c r="I4237" s="16"/>
      <c r="J4237" s="16"/>
      <c r="K4237" s="16"/>
      <c r="L4237" s="16"/>
      <c r="M4237" s="16"/>
      <c r="N4237" s="16"/>
      <c r="O4237" s="16"/>
      <c r="P4237" s="16"/>
      <c r="Q4237" s="16"/>
      <c r="R4237" s="16"/>
      <c r="S4237" s="16"/>
      <c r="T4237" s="16"/>
    </row>
    <row r="4238" spans="1:20" x14ac:dyDescent="0.2">
      <c r="A4238" s="16"/>
      <c r="B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</row>
    <row r="4239" spans="1:20" x14ac:dyDescent="0.2">
      <c r="A4239" s="16"/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</row>
    <row r="4240" spans="1:20" x14ac:dyDescent="0.2">
      <c r="A4240" s="16"/>
      <c r="B4240" s="16"/>
      <c r="C4240" s="16"/>
      <c r="D4240" s="16"/>
      <c r="E4240" s="16"/>
      <c r="F4240" s="16"/>
      <c r="G4240" s="16"/>
      <c r="H4240" s="16"/>
      <c r="I4240" s="16"/>
      <c r="J4240" s="16"/>
      <c r="K4240" s="16"/>
      <c r="L4240" s="16"/>
      <c r="M4240" s="16"/>
      <c r="N4240" s="16"/>
      <c r="O4240" s="16"/>
      <c r="P4240" s="16"/>
      <c r="Q4240" s="16"/>
      <c r="R4240" s="16"/>
      <c r="S4240" s="16"/>
      <c r="T4240" s="16"/>
    </row>
    <row r="4241" spans="1:20" x14ac:dyDescent="0.2">
      <c r="A4241" s="16"/>
      <c r="B4241" s="16"/>
      <c r="C4241" s="16"/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</row>
    <row r="4242" spans="1:20" x14ac:dyDescent="0.2">
      <c r="A4242" s="16"/>
      <c r="B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</row>
    <row r="4243" spans="1:20" x14ac:dyDescent="0.2">
      <c r="A4243" s="16"/>
      <c r="B4243" s="16"/>
      <c r="C4243" s="16"/>
      <c r="D4243" s="16"/>
      <c r="E4243" s="16"/>
      <c r="F4243" s="16"/>
      <c r="G4243" s="16"/>
      <c r="H4243" s="16"/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</row>
    <row r="4244" spans="1:20" x14ac:dyDescent="0.2">
      <c r="A4244" s="16"/>
      <c r="B4244" s="16"/>
      <c r="C4244" s="16"/>
      <c r="D4244" s="16"/>
      <c r="E4244" s="16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 s="16"/>
      <c r="Q4244" s="16"/>
      <c r="R4244" s="16"/>
      <c r="S4244" s="16"/>
      <c r="T4244" s="16"/>
    </row>
    <row r="4245" spans="1:20" x14ac:dyDescent="0.2">
      <c r="A4245" s="16"/>
      <c r="B4245" s="16"/>
      <c r="C4245" s="16"/>
      <c r="D4245" s="16"/>
      <c r="E4245" s="16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</row>
    <row r="4246" spans="1:20" x14ac:dyDescent="0.2">
      <c r="A4246" s="16"/>
      <c r="B4246" s="16"/>
      <c r="C4246" s="16"/>
      <c r="D4246" s="16"/>
      <c r="E4246" s="16"/>
      <c r="F4246" s="16"/>
      <c r="G4246" s="16"/>
      <c r="H4246" s="16"/>
      <c r="I4246" s="16"/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/>
    </row>
    <row r="4247" spans="1:20" x14ac:dyDescent="0.2">
      <c r="A4247" s="16"/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</row>
    <row r="4248" spans="1:20" x14ac:dyDescent="0.2">
      <c r="A4248" s="16"/>
      <c r="B4248" s="16"/>
      <c r="C4248" s="16"/>
      <c r="D4248" s="16"/>
      <c r="E4248" s="16"/>
      <c r="F4248" s="16"/>
      <c r="G4248" s="16"/>
      <c r="H4248" s="16"/>
      <c r="I4248" s="16"/>
      <c r="J4248" s="16"/>
      <c r="K4248" s="16"/>
      <c r="L4248" s="16"/>
      <c r="M4248" s="16"/>
      <c r="N4248" s="16"/>
      <c r="O4248" s="16"/>
      <c r="P4248" s="16"/>
      <c r="Q4248" s="16"/>
      <c r="R4248" s="16"/>
      <c r="S4248" s="16"/>
      <c r="T4248" s="16"/>
    </row>
    <row r="4249" spans="1:20" x14ac:dyDescent="0.2">
      <c r="A4249" s="16"/>
      <c r="B4249" s="16"/>
      <c r="C4249" s="16"/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</row>
  </sheetData>
  <phoneticPr fontId="6" type="noConversion"/>
  <pageMargins left="0" right="0" top="0.7" bottom="0" header="0.25" footer="0"/>
  <pageSetup scale="50" orientation="landscape" horizontalDpi="300" r:id="rId1"/>
  <headerFooter alignWithMargins="0"/>
  <rowBreaks count="1" manualBreakCount="1">
    <brk id="183" max="16383" man="1"/>
  </rowBreaks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50"/>
  <sheetViews>
    <sheetView view="pageBreakPreview" zoomScale="60" zoomScaleNormal="145" workbookViewId="0">
      <pane ySplit="8" topLeftCell="A9" activePane="bottomLeft" state="frozen"/>
      <selection activeCell="C5" sqref="C5"/>
      <selection pane="bottomLeft" activeCell="C5" sqref="C5"/>
    </sheetView>
  </sheetViews>
  <sheetFormatPr defaultColWidth="9.140625" defaultRowHeight="12.75" x14ac:dyDescent="0.2"/>
  <cols>
    <col min="1" max="1" width="9.140625" style="204"/>
    <col min="2" max="2" width="26" style="204" bestFit="1" customWidth="1"/>
    <col min="3" max="6" width="10.7109375" style="204" customWidth="1"/>
    <col min="7" max="16384" width="9.140625" style="204"/>
  </cols>
  <sheetData>
    <row r="1" spans="1:6" x14ac:dyDescent="0.2">
      <c r="A1" s="647" t="s">
        <v>93</v>
      </c>
      <c r="B1" s="648"/>
      <c r="C1" s="647"/>
      <c r="D1" s="647"/>
      <c r="E1" s="647"/>
      <c r="F1" s="652"/>
    </row>
    <row r="2" spans="1:6" x14ac:dyDescent="0.2">
      <c r="A2" s="647" t="s">
        <v>703</v>
      </c>
      <c r="B2" s="648"/>
      <c r="C2" s="647"/>
      <c r="D2" s="647"/>
      <c r="E2" s="647"/>
      <c r="F2" s="652"/>
    </row>
    <row r="3" spans="1:6" x14ac:dyDescent="0.2">
      <c r="A3" s="647" t="str">
        <f>'Test Year Revenue Present'!G6</f>
        <v>TEST YEAR ENDING MAY, 31 2017</v>
      </c>
      <c r="B3" s="648"/>
      <c r="C3" s="647"/>
      <c r="D3" s="647"/>
      <c r="E3" s="647"/>
      <c r="F3" s="652"/>
    </row>
    <row r="4" spans="1:6" x14ac:dyDescent="0.2">
      <c r="A4" s="255"/>
      <c r="B4" s="256"/>
      <c r="C4" s="256"/>
      <c r="D4" s="256"/>
      <c r="E4" s="256"/>
    </row>
    <row r="5" spans="1:6" x14ac:dyDescent="0.2">
      <c r="A5" s="255"/>
      <c r="B5" s="256"/>
      <c r="C5" s="256"/>
      <c r="D5" s="256"/>
      <c r="E5" s="256"/>
    </row>
    <row r="6" spans="1:6" x14ac:dyDescent="0.2">
      <c r="A6" s="266" t="s">
        <v>12</v>
      </c>
      <c r="B6" s="256"/>
      <c r="C6" s="266" t="s">
        <v>704</v>
      </c>
      <c r="D6" s="266" t="s">
        <v>181</v>
      </c>
      <c r="E6" s="266" t="s">
        <v>182</v>
      </c>
    </row>
    <row r="7" spans="1:6" x14ac:dyDescent="0.2">
      <c r="A7" s="278" t="s">
        <v>17</v>
      </c>
      <c r="B7" s="279" t="s">
        <v>184</v>
      </c>
      <c r="C7" s="278" t="s">
        <v>705</v>
      </c>
      <c r="D7" s="278" t="s">
        <v>6</v>
      </c>
      <c r="E7" s="278" t="s">
        <v>6</v>
      </c>
      <c r="F7" s="254"/>
    </row>
    <row r="8" spans="1:6" ht="15.75" x14ac:dyDescent="0.25">
      <c r="A8" s="258"/>
      <c r="B8" s="266" t="s">
        <v>13</v>
      </c>
      <c r="C8" s="266" t="s">
        <v>14</v>
      </c>
      <c r="D8" s="266" t="s">
        <v>15</v>
      </c>
      <c r="E8" s="266" t="s">
        <v>16</v>
      </c>
      <c r="F8" s="266" t="s">
        <v>108</v>
      </c>
    </row>
    <row r="9" spans="1:6" x14ac:dyDescent="0.2">
      <c r="A9" s="256"/>
      <c r="B9" s="259"/>
      <c r="C9" s="256"/>
      <c r="D9" s="256"/>
      <c r="E9" s="256"/>
    </row>
    <row r="10" spans="1:6" ht="15.75" x14ac:dyDescent="0.25">
      <c r="A10" s="266">
        <v>1</v>
      </c>
      <c r="B10" s="259" t="s">
        <v>188</v>
      </c>
      <c r="C10" s="273"/>
      <c r="D10" s="483"/>
      <c r="E10" s="273"/>
    </row>
    <row r="11" spans="1:6" x14ac:dyDescent="0.2">
      <c r="A11" s="266">
        <v>2</v>
      </c>
      <c r="B11" s="256" t="s">
        <v>190</v>
      </c>
      <c r="C11" s="268" t="s">
        <v>7</v>
      </c>
      <c r="D11" s="649">
        <f>'Rate Design'!F12</f>
        <v>18.649999999999999</v>
      </c>
      <c r="E11" s="649">
        <f>'Rate Design'!G12</f>
        <v>18.25</v>
      </c>
    </row>
    <row r="12" spans="1:6" x14ac:dyDescent="0.2">
      <c r="A12" s="266">
        <v>3</v>
      </c>
      <c r="B12" s="256" t="s">
        <v>192</v>
      </c>
      <c r="C12" s="268" t="s">
        <v>7</v>
      </c>
      <c r="D12" s="138">
        <f>'Rate Design'!F13</f>
        <v>48.44</v>
      </c>
      <c r="E12" s="138">
        <f>'Rate Design'!G13</f>
        <v>45</v>
      </c>
    </row>
    <row r="13" spans="1:6" x14ac:dyDescent="0.2">
      <c r="A13" s="266">
        <v>4</v>
      </c>
      <c r="B13" s="256" t="s">
        <v>524</v>
      </c>
      <c r="C13" s="268" t="s">
        <v>519</v>
      </c>
      <c r="D13" s="138">
        <f>'Rate Design'!F14</f>
        <v>395.56</v>
      </c>
      <c r="E13" s="138">
        <f>'Rate Design'!G14</f>
        <v>375</v>
      </c>
    </row>
    <row r="14" spans="1:6" x14ac:dyDescent="0.2">
      <c r="A14" s="266">
        <v>5</v>
      </c>
      <c r="B14" s="256" t="s">
        <v>521</v>
      </c>
      <c r="C14" s="268" t="s">
        <v>520</v>
      </c>
      <c r="D14" s="138">
        <f>'Rate Design'!F15</f>
        <v>390.12</v>
      </c>
      <c r="E14" s="138">
        <f>'Rate Design'!G15</f>
        <v>375</v>
      </c>
    </row>
    <row r="15" spans="1:6" x14ac:dyDescent="0.2">
      <c r="A15" s="266">
        <v>6</v>
      </c>
      <c r="B15" s="256" t="s">
        <v>523</v>
      </c>
      <c r="C15" s="268" t="s">
        <v>522</v>
      </c>
      <c r="D15" s="138">
        <f>'Rate Design'!F16</f>
        <v>388.79</v>
      </c>
      <c r="E15" s="138">
        <f>'Rate Design'!G16</f>
        <v>375</v>
      </c>
    </row>
    <row r="16" spans="1:6" x14ac:dyDescent="0.2">
      <c r="A16" s="266">
        <v>7</v>
      </c>
      <c r="B16" s="256"/>
      <c r="C16" s="268"/>
      <c r="D16" s="574"/>
      <c r="E16" s="295"/>
    </row>
    <row r="17" spans="1:5" ht="15.75" x14ac:dyDescent="0.25">
      <c r="A17" s="266">
        <v>8</v>
      </c>
      <c r="B17" s="259" t="s">
        <v>198</v>
      </c>
      <c r="C17" s="284"/>
      <c r="D17" s="574"/>
      <c r="E17" s="308">
        <f>+D17</f>
        <v>0</v>
      </c>
    </row>
    <row r="18" spans="1:5" x14ac:dyDescent="0.2">
      <c r="A18" s="266">
        <v>9</v>
      </c>
      <c r="B18" s="256" t="s">
        <v>414</v>
      </c>
      <c r="C18" s="268" t="s">
        <v>7</v>
      </c>
      <c r="D18" s="263"/>
      <c r="E18" s="263"/>
    </row>
    <row r="19" spans="1:5" ht="15.75" x14ac:dyDescent="0.25">
      <c r="A19" s="266">
        <v>10</v>
      </c>
      <c r="B19" s="266" t="s">
        <v>201</v>
      </c>
      <c r="C19" s="284"/>
      <c r="D19" s="651">
        <f>'Rate Design'!F19</f>
        <v>1.3180000000000001</v>
      </c>
      <c r="E19" s="651">
        <f>'Rate Design'!G19</f>
        <v>1.58</v>
      </c>
    </row>
    <row r="20" spans="1:5" x14ac:dyDescent="0.2">
      <c r="A20" s="266">
        <v>11</v>
      </c>
      <c r="B20" s="266" t="s">
        <v>202</v>
      </c>
      <c r="C20" s="268"/>
      <c r="D20" s="13">
        <f>'Rate Design'!F20</f>
        <v>0.87999999999999989</v>
      </c>
      <c r="E20" s="13">
        <f>'Rate Design'!G20</f>
        <v>1.01</v>
      </c>
    </row>
    <row r="21" spans="1:5" x14ac:dyDescent="0.2">
      <c r="A21" s="266">
        <v>12</v>
      </c>
      <c r="B21" s="266" t="s">
        <v>203</v>
      </c>
      <c r="C21" s="273"/>
      <c r="D21" s="13">
        <f>'Rate Design'!F21</f>
        <v>0.62</v>
      </c>
      <c r="E21" s="13">
        <f>'Rate Design'!G21</f>
        <v>0.7228</v>
      </c>
    </row>
    <row r="22" spans="1:5" x14ac:dyDescent="0.2">
      <c r="A22" s="266">
        <v>13</v>
      </c>
      <c r="B22" s="256" t="s">
        <v>521</v>
      </c>
      <c r="C22" s="268" t="s">
        <v>520</v>
      </c>
      <c r="D22" s="649"/>
      <c r="E22" s="649"/>
    </row>
    <row r="23" spans="1:5" ht="15.75" x14ac:dyDescent="0.25">
      <c r="A23" s="266">
        <v>14</v>
      </c>
      <c r="B23" s="266" t="s">
        <v>201</v>
      </c>
      <c r="C23" s="284"/>
      <c r="D23" s="651">
        <f>'Rate Design'!F23</f>
        <v>1.4401000000000002</v>
      </c>
      <c r="E23" s="651">
        <f>'Rate Design'!G23</f>
        <v>1.58</v>
      </c>
    </row>
    <row r="24" spans="1:5" x14ac:dyDescent="0.2">
      <c r="A24" s="266">
        <v>15</v>
      </c>
      <c r="B24" s="266" t="s">
        <v>202</v>
      </c>
      <c r="C24" s="268"/>
      <c r="D24" s="13">
        <f>'Rate Design'!F24</f>
        <v>0.96149999999999991</v>
      </c>
      <c r="E24" s="13">
        <f>'Rate Design'!G24</f>
        <v>1.01</v>
      </c>
    </row>
    <row r="25" spans="1:5" x14ac:dyDescent="0.2">
      <c r="A25" s="266">
        <v>16</v>
      </c>
      <c r="B25" s="266" t="s">
        <v>203</v>
      </c>
      <c r="C25" s="273"/>
      <c r="D25" s="13">
        <f>'Rate Design'!F25</f>
        <v>0.6774</v>
      </c>
      <c r="E25" s="13">
        <f>'Rate Design'!G25</f>
        <v>0.7228</v>
      </c>
    </row>
    <row r="26" spans="1:5" x14ac:dyDescent="0.2">
      <c r="A26" s="266">
        <v>17</v>
      </c>
      <c r="B26" s="256" t="s">
        <v>524</v>
      </c>
      <c r="C26" s="268" t="s">
        <v>519</v>
      </c>
      <c r="D26" s="273"/>
      <c r="E26" s="273"/>
    </row>
    <row r="27" spans="1:5" x14ac:dyDescent="0.2">
      <c r="A27" s="266">
        <v>18</v>
      </c>
      <c r="B27" s="266" t="s">
        <v>207</v>
      </c>
      <c r="C27" s="273"/>
      <c r="D27" s="651">
        <f>'Rate Design'!F27</f>
        <v>0.80770000000000008</v>
      </c>
      <c r="E27" s="651">
        <f>'Rate Design'!G27</f>
        <v>0.89</v>
      </c>
    </row>
    <row r="28" spans="1:5" x14ac:dyDescent="0.2">
      <c r="A28" s="266">
        <v>19</v>
      </c>
      <c r="B28" s="266" t="s">
        <v>203</v>
      </c>
      <c r="C28" s="273"/>
      <c r="D28" s="13">
        <f>'Rate Design'!F28</f>
        <v>0.54190000000000005</v>
      </c>
      <c r="E28" s="13">
        <f>'Rate Design'!G28</f>
        <v>0.6</v>
      </c>
    </row>
    <row r="29" spans="1:5" x14ac:dyDescent="0.2">
      <c r="A29" s="266">
        <v>20</v>
      </c>
      <c r="B29" s="256" t="s">
        <v>523</v>
      </c>
      <c r="C29" s="268" t="s">
        <v>522</v>
      </c>
      <c r="D29" s="273"/>
      <c r="E29" s="273"/>
    </row>
    <row r="30" spans="1:5" x14ac:dyDescent="0.2">
      <c r="A30" s="266">
        <v>21</v>
      </c>
      <c r="B30" s="266" t="s">
        <v>207</v>
      </c>
      <c r="C30" s="273"/>
      <c r="D30" s="651">
        <f>'Rate Design'!F30</f>
        <v>0.877</v>
      </c>
      <c r="E30" s="651">
        <f>'Rate Design'!G30</f>
        <v>0.89</v>
      </c>
    </row>
    <row r="31" spans="1:5" x14ac:dyDescent="0.2">
      <c r="A31" s="266">
        <v>22</v>
      </c>
      <c r="B31" s="266" t="s">
        <v>203</v>
      </c>
      <c r="C31" s="273"/>
      <c r="D31" s="13">
        <f>'Rate Design'!F31</f>
        <v>0.58840000000000003</v>
      </c>
      <c r="E31" s="13">
        <f>'Rate Design'!G31</f>
        <v>0.6</v>
      </c>
    </row>
    <row r="32" spans="1:5" x14ac:dyDescent="0.2">
      <c r="A32" s="266">
        <v>23</v>
      </c>
      <c r="B32" s="266"/>
      <c r="C32" s="273"/>
      <c r="D32" s="13"/>
      <c r="E32" s="13"/>
    </row>
    <row r="33" spans="1:6" x14ac:dyDescent="0.2">
      <c r="A33" s="266">
        <v>24</v>
      </c>
      <c r="B33" s="259" t="s">
        <v>215</v>
      </c>
      <c r="C33" s="273"/>
      <c r="D33" s="277"/>
      <c r="E33" s="277"/>
    </row>
    <row r="34" spans="1:6" x14ac:dyDescent="0.2">
      <c r="A34" s="266">
        <v>25</v>
      </c>
      <c r="B34" s="256" t="s">
        <v>216</v>
      </c>
      <c r="C34" s="268" t="s">
        <v>217</v>
      </c>
      <c r="D34" s="650">
        <f>'Rate Design'!F33</f>
        <v>50</v>
      </c>
      <c r="E34" s="650">
        <f>'Rate Design'!G33</f>
        <v>50</v>
      </c>
    </row>
    <row r="35" spans="1:6" x14ac:dyDescent="0.2">
      <c r="A35" s="266">
        <v>26</v>
      </c>
      <c r="B35" s="256" t="s">
        <v>218</v>
      </c>
      <c r="C35" s="268" t="s">
        <v>197</v>
      </c>
      <c r="D35" s="138">
        <f>'Rate Design'!F34</f>
        <v>0.1</v>
      </c>
      <c r="E35" s="138">
        <f>'Rate Design'!G34</f>
        <v>0.1</v>
      </c>
    </row>
    <row r="36" spans="1:6" x14ac:dyDescent="0.2">
      <c r="A36" s="266">
        <v>27</v>
      </c>
      <c r="B36" s="256"/>
      <c r="C36" s="268"/>
      <c r="D36" s="575"/>
      <c r="E36" s="295"/>
    </row>
    <row r="37" spans="1:6" x14ac:dyDescent="0.2">
      <c r="A37" s="266">
        <v>28</v>
      </c>
      <c r="B37" s="256"/>
      <c r="C37" s="647" t="s">
        <v>230</v>
      </c>
      <c r="D37" s="647"/>
      <c r="E37" s="647" t="s">
        <v>183</v>
      </c>
      <c r="F37" s="647"/>
    </row>
    <row r="38" spans="1:6" x14ac:dyDescent="0.2">
      <c r="A38" s="266">
        <v>29</v>
      </c>
      <c r="B38" s="256"/>
      <c r="C38" s="278" t="s">
        <v>186</v>
      </c>
      <c r="D38" s="278" t="s">
        <v>187</v>
      </c>
      <c r="E38" s="278" t="s">
        <v>186</v>
      </c>
      <c r="F38" s="281" t="s">
        <v>187</v>
      </c>
    </row>
    <row r="39" spans="1:6" x14ac:dyDescent="0.2">
      <c r="A39" s="266">
        <v>30</v>
      </c>
      <c r="B39" s="259" t="s">
        <v>189</v>
      </c>
    </row>
    <row r="40" spans="1:6" x14ac:dyDescent="0.2">
      <c r="A40" s="266">
        <v>31</v>
      </c>
      <c r="B40" s="256" t="s">
        <v>191</v>
      </c>
      <c r="C40" s="653">
        <f>'Rate Design'!L12</f>
        <v>34</v>
      </c>
      <c r="D40" s="653">
        <f>'Rate Design'!M12</f>
        <v>44</v>
      </c>
      <c r="E40" s="653">
        <f>'Rate Design'!N12</f>
        <v>34</v>
      </c>
      <c r="F40" s="653">
        <f>'Rate Design'!O12</f>
        <v>44</v>
      </c>
    </row>
    <row r="41" spans="1:6" x14ac:dyDescent="0.2">
      <c r="A41" s="266">
        <v>32</v>
      </c>
      <c r="B41" s="256" t="s">
        <v>231</v>
      </c>
      <c r="C41" s="654">
        <f>'Rate Design'!L13</f>
        <v>23</v>
      </c>
      <c r="D41" s="654">
        <f>'Rate Design'!M13</f>
        <v>28</v>
      </c>
      <c r="E41" s="654">
        <f>'Rate Design'!N13</f>
        <v>23</v>
      </c>
      <c r="F41" s="654">
        <f>'Rate Design'!O13</f>
        <v>28</v>
      </c>
    </row>
    <row r="42" spans="1:6" x14ac:dyDescent="0.2">
      <c r="A42" s="266">
        <v>33</v>
      </c>
      <c r="B42" s="256" t="s">
        <v>232</v>
      </c>
      <c r="C42" s="654">
        <f>'Rate Design'!L14</f>
        <v>12</v>
      </c>
      <c r="D42" s="654">
        <f>'Rate Design'!M14</f>
        <v>14</v>
      </c>
      <c r="E42" s="654">
        <f>'Rate Design'!N14</f>
        <v>12</v>
      </c>
      <c r="F42" s="654">
        <f>'Rate Design'!O14</f>
        <v>14</v>
      </c>
    </row>
    <row r="43" spans="1:6" x14ac:dyDescent="0.2">
      <c r="A43" s="266">
        <v>34</v>
      </c>
      <c r="B43" s="256" t="s">
        <v>233</v>
      </c>
      <c r="C43" s="654">
        <f>'Rate Design'!L15</f>
        <v>39</v>
      </c>
      <c r="D43" s="654">
        <f>'Rate Design'!M15</f>
        <v>47</v>
      </c>
      <c r="E43" s="654">
        <f>'Rate Design'!N15</f>
        <v>39</v>
      </c>
      <c r="F43" s="654">
        <f>'Rate Design'!O15</f>
        <v>47</v>
      </c>
    </row>
    <row r="44" spans="1:6" x14ac:dyDescent="0.2">
      <c r="A44" s="266">
        <v>35</v>
      </c>
      <c r="B44" s="256" t="s">
        <v>234</v>
      </c>
      <c r="C44" s="654">
        <f>'Rate Design'!L16</f>
        <v>65</v>
      </c>
      <c r="D44" s="654">
        <f>'Rate Design'!M16</f>
        <v>73</v>
      </c>
      <c r="E44" s="654">
        <f>'Rate Design'!N16</f>
        <v>65</v>
      </c>
      <c r="F44" s="654">
        <f>'Rate Design'!O16</f>
        <v>73</v>
      </c>
    </row>
    <row r="45" spans="1:6" x14ac:dyDescent="0.2">
      <c r="A45" s="266">
        <v>36</v>
      </c>
      <c r="B45" s="256" t="s">
        <v>206</v>
      </c>
      <c r="C45" s="654">
        <f>'Rate Design'!L17</f>
        <v>0</v>
      </c>
      <c r="D45" s="654" t="str">
        <f>'Rate Design'!M17</f>
        <v>N/A</v>
      </c>
      <c r="E45" s="654">
        <f>'Rate Design'!N17</f>
        <v>0</v>
      </c>
      <c r="F45" s="654" t="str">
        <f>'Rate Design'!O17</f>
        <v>N/A</v>
      </c>
    </row>
    <row r="46" spans="1:6" x14ac:dyDescent="0.2">
      <c r="A46" s="266">
        <v>37</v>
      </c>
      <c r="B46" s="256" t="s">
        <v>235</v>
      </c>
      <c r="C46" s="654">
        <f>'Rate Design'!L18</f>
        <v>20</v>
      </c>
      <c r="D46" s="654" t="str">
        <f>'Rate Design'!M18</f>
        <v>N/A</v>
      </c>
      <c r="E46" s="654">
        <f>'Rate Design'!N18</f>
        <v>20</v>
      </c>
      <c r="F46" s="654" t="str">
        <f>'Rate Design'!O18</f>
        <v>N/A</v>
      </c>
    </row>
    <row r="47" spans="1:6" x14ac:dyDescent="0.2">
      <c r="A47" s="266">
        <v>38</v>
      </c>
      <c r="B47" s="256" t="s">
        <v>208</v>
      </c>
      <c r="C47" s="654">
        <f>'Rate Design'!L19</f>
        <v>25</v>
      </c>
      <c r="D47" s="654" t="str">
        <f>'Rate Design'!M19</f>
        <v>N/A</v>
      </c>
      <c r="E47" s="654">
        <f>'Rate Design'!N19</f>
        <v>25</v>
      </c>
      <c r="F47" s="654" t="str">
        <f>'Rate Design'!O19</f>
        <v>N/A</v>
      </c>
    </row>
    <row r="48" spans="1:6" x14ac:dyDescent="0.2">
      <c r="A48" s="266">
        <v>39</v>
      </c>
      <c r="B48" s="256" t="s">
        <v>209</v>
      </c>
      <c r="C48" s="654">
        <f>'Rate Design'!L21</f>
        <v>75</v>
      </c>
      <c r="D48" s="654" t="str">
        <f>'Rate Design'!M21</f>
        <v>N/A</v>
      </c>
      <c r="E48" s="654">
        <f>'Rate Design'!N21</f>
        <v>75</v>
      </c>
      <c r="F48" s="654" t="str">
        <f>'Rate Design'!O21</f>
        <v>N/A</v>
      </c>
    </row>
    <row r="49" spans="1:6" x14ac:dyDescent="0.2">
      <c r="A49" s="266">
        <v>40</v>
      </c>
      <c r="B49" s="256" t="s">
        <v>210</v>
      </c>
      <c r="C49" s="654">
        <f>'Rate Design'!L22</f>
        <v>175</v>
      </c>
      <c r="D49" s="654" t="str">
        <f>'Rate Design'!M22</f>
        <v>N/A</v>
      </c>
      <c r="E49" s="654">
        <f>'Rate Design'!N22</f>
        <v>175</v>
      </c>
      <c r="F49" s="654" t="str">
        <f>'Rate Design'!O22</f>
        <v>N/A</v>
      </c>
    </row>
    <row r="50" spans="1:6" x14ac:dyDescent="0.2">
      <c r="A50" s="266">
        <v>41</v>
      </c>
      <c r="B50" s="256" t="s">
        <v>213</v>
      </c>
      <c r="C50" s="655">
        <f>'Rate Design'!L20</f>
        <v>0.05</v>
      </c>
      <c r="D50" s="655">
        <f>'Rate Design'!M20</f>
        <v>0.05</v>
      </c>
      <c r="E50" s="655">
        <f>'Rate Design'!N20</f>
        <v>0.05</v>
      </c>
      <c r="F50" s="655">
        <f>'Rate Design'!O20</f>
        <v>0.05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  <pageSetUpPr fitToPage="1"/>
  </sheetPr>
  <dimension ref="A1:Q463"/>
  <sheetViews>
    <sheetView view="pageBreakPreview" zoomScale="130" zoomScaleNormal="100" zoomScaleSheetLayoutView="130" workbookViewId="0">
      <selection activeCell="C5" sqref="C5"/>
    </sheetView>
  </sheetViews>
  <sheetFormatPr defaultColWidth="9.140625" defaultRowHeight="12.75" x14ac:dyDescent="0.2"/>
  <cols>
    <col min="1" max="1" width="7.5703125" style="210" customWidth="1"/>
    <col min="2" max="2" width="19.140625" style="210" customWidth="1"/>
    <col min="3" max="6" width="15.5703125" style="210" customWidth="1"/>
    <col min="7" max="7" width="16.140625" style="210" customWidth="1"/>
    <col min="8" max="8" width="13.42578125" style="210" customWidth="1"/>
    <col min="9" max="9" width="15.85546875" style="210" customWidth="1"/>
    <col min="10" max="10" width="16" style="210" customWidth="1"/>
    <col min="11" max="14" width="15.5703125" style="210" customWidth="1"/>
    <col min="15" max="15" width="14.140625" style="210" customWidth="1"/>
    <col min="16" max="16" width="13" style="210" customWidth="1"/>
    <col min="17" max="17" width="15.85546875" style="210" customWidth="1"/>
    <col min="18" max="18" width="14.5703125" style="210" bestFit="1" customWidth="1"/>
    <col min="19" max="16384" width="9.140625" style="210"/>
  </cols>
  <sheetData>
    <row r="1" spans="1:8" ht="15.75" x14ac:dyDescent="0.25">
      <c r="A1" s="249"/>
      <c r="B1" s="249"/>
      <c r="C1" s="249"/>
      <c r="D1" s="249"/>
      <c r="E1" s="249"/>
      <c r="F1" s="687"/>
      <c r="G1" s="249"/>
    </row>
    <row r="2" spans="1:8" ht="15.75" x14ac:dyDescent="0.25">
      <c r="A2" s="249"/>
      <c r="B2" s="249"/>
      <c r="C2" s="249"/>
      <c r="D2" s="688" t="s">
        <v>100</v>
      </c>
      <c r="E2" s="249"/>
      <c r="F2" s="249"/>
      <c r="G2" s="249"/>
    </row>
    <row r="3" spans="1:8" ht="15.75" x14ac:dyDescent="0.25">
      <c r="A3" s="249"/>
      <c r="B3" s="249"/>
      <c r="C3" s="249"/>
      <c r="D3" s="688" t="s">
        <v>117</v>
      </c>
      <c r="E3" s="249"/>
      <c r="F3" s="249"/>
      <c r="G3" s="249"/>
    </row>
    <row r="4" spans="1:8" ht="15.75" x14ac:dyDescent="0.25">
      <c r="A4" s="249"/>
      <c r="B4" s="249"/>
      <c r="C4" s="249"/>
      <c r="D4" s="689" t="str">
        <f>'Other Revenue'!J5</f>
        <v>Reference Period - Twelve Months Ending 08/31/2015</v>
      </c>
      <c r="E4" s="249"/>
      <c r="F4" s="249"/>
      <c r="G4" s="249"/>
    </row>
    <row r="5" spans="1:8" ht="15.75" x14ac:dyDescent="0.25">
      <c r="A5" s="249"/>
      <c r="B5" s="249"/>
      <c r="C5" s="249"/>
      <c r="D5" s="249"/>
      <c r="E5" s="249"/>
      <c r="F5" s="249"/>
      <c r="G5" s="249"/>
    </row>
    <row r="6" spans="1:8" ht="15.75" x14ac:dyDescent="0.25">
      <c r="A6" s="249" t="s">
        <v>12</v>
      </c>
      <c r="B6" s="249"/>
      <c r="C6" s="690" t="s">
        <v>8</v>
      </c>
      <c r="D6" s="690" t="s">
        <v>103</v>
      </c>
      <c r="E6" s="690" t="s">
        <v>118</v>
      </c>
      <c r="F6" s="690" t="s">
        <v>119</v>
      </c>
      <c r="G6" s="249"/>
    </row>
    <row r="7" spans="1:8" ht="15.75" x14ac:dyDescent="0.25">
      <c r="A7" s="691" t="s">
        <v>17</v>
      </c>
      <c r="B7" s="692" t="s">
        <v>5</v>
      </c>
      <c r="C7" s="692" t="s">
        <v>107</v>
      </c>
      <c r="D7" s="692" t="s">
        <v>107</v>
      </c>
      <c r="E7" s="692" t="s">
        <v>120</v>
      </c>
      <c r="F7" s="692" t="s">
        <v>120</v>
      </c>
      <c r="G7" s="249"/>
    </row>
    <row r="8" spans="1:8" ht="15.75" x14ac:dyDescent="0.25">
      <c r="A8" s="249"/>
      <c r="B8" s="690" t="s">
        <v>13</v>
      </c>
      <c r="C8" s="690" t="s">
        <v>14</v>
      </c>
      <c r="D8" s="690" t="s">
        <v>15</v>
      </c>
      <c r="E8" s="690" t="s">
        <v>16</v>
      </c>
      <c r="F8" s="690" t="s">
        <v>108</v>
      </c>
      <c r="G8" s="249"/>
    </row>
    <row r="9" spans="1:8" ht="15.75" x14ac:dyDescent="0.25">
      <c r="A9" s="249"/>
      <c r="B9" s="690"/>
      <c r="C9" s="690"/>
      <c r="D9" s="690"/>
      <c r="E9" s="690"/>
      <c r="F9" s="690"/>
      <c r="G9" s="249"/>
    </row>
    <row r="10" spans="1:8" ht="15.75" x14ac:dyDescent="0.25">
      <c r="A10" s="248" t="s">
        <v>706</v>
      </c>
      <c r="B10" s="249"/>
      <c r="C10" s="249"/>
      <c r="D10" s="249"/>
      <c r="E10" s="249"/>
      <c r="F10" s="249"/>
      <c r="G10" s="249"/>
    </row>
    <row r="11" spans="1:8" ht="15.75" x14ac:dyDescent="0.25">
      <c r="A11" s="249"/>
      <c r="G11" s="249"/>
    </row>
    <row r="12" spans="1:8" ht="15.75" x14ac:dyDescent="0.25">
      <c r="A12" s="249">
        <v>1</v>
      </c>
      <c r="B12" s="693">
        <f>C48</f>
        <v>41883</v>
      </c>
      <c r="C12" s="250">
        <f>G48</f>
        <v>20</v>
      </c>
      <c r="D12" s="250">
        <f>O48</f>
        <v>23</v>
      </c>
      <c r="E12" s="250">
        <f>H48</f>
        <v>8</v>
      </c>
      <c r="F12" s="250">
        <f>P48</f>
        <v>3</v>
      </c>
      <c r="G12" s="249"/>
    </row>
    <row r="13" spans="1:8" ht="15.75" x14ac:dyDescent="0.25">
      <c r="A13" s="249">
        <f t="shared" ref="A13:A25" si="0">A12+1</f>
        <v>2</v>
      </c>
      <c r="B13" s="693">
        <f t="shared" ref="B13:B23" si="1">C49</f>
        <v>41913</v>
      </c>
      <c r="C13" s="250">
        <f t="shared" ref="C13:C23" si="2">G49</f>
        <v>195</v>
      </c>
      <c r="D13" s="251">
        <f t="shared" ref="D13:D23" si="3">O49</f>
        <v>235</v>
      </c>
      <c r="E13" s="251">
        <f t="shared" ref="E13:E23" si="4">H49</f>
        <v>75</v>
      </c>
      <c r="F13" s="251">
        <f t="shared" ref="F13:F23" si="5">P49</f>
        <v>87</v>
      </c>
      <c r="G13" s="249"/>
    </row>
    <row r="14" spans="1:8" ht="15.75" x14ac:dyDescent="0.25">
      <c r="A14" s="249">
        <f t="shared" si="0"/>
        <v>3</v>
      </c>
      <c r="B14" s="693">
        <f t="shared" si="1"/>
        <v>41944</v>
      </c>
      <c r="C14" s="251">
        <f t="shared" si="2"/>
        <v>706</v>
      </c>
      <c r="D14" s="251">
        <f t="shared" si="3"/>
        <v>534</v>
      </c>
      <c r="E14" s="251">
        <f t="shared" si="4"/>
        <v>456</v>
      </c>
      <c r="F14" s="251">
        <f t="shared" si="5"/>
        <v>389</v>
      </c>
      <c r="G14" s="249"/>
      <c r="H14" s="693"/>
    </row>
    <row r="15" spans="1:8" ht="15.75" x14ac:dyDescent="0.25">
      <c r="A15" s="249">
        <f t="shared" si="0"/>
        <v>4</v>
      </c>
      <c r="B15" s="693">
        <f t="shared" si="1"/>
        <v>41974</v>
      </c>
      <c r="C15" s="250">
        <f t="shared" si="2"/>
        <v>747</v>
      </c>
      <c r="D15" s="250">
        <f t="shared" si="3"/>
        <v>801</v>
      </c>
      <c r="E15" s="250">
        <f t="shared" si="4"/>
        <v>723</v>
      </c>
      <c r="F15" s="250">
        <f t="shared" si="5"/>
        <v>708</v>
      </c>
      <c r="G15" s="249"/>
      <c r="H15" s="693"/>
    </row>
    <row r="16" spans="1:8" ht="15.75" x14ac:dyDescent="0.25">
      <c r="A16" s="249">
        <f t="shared" si="0"/>
        <v>5</v>
      </c>
      <c r="B16" s="693">
        <f t="shared" si="1"/>
        <v>42005</v>
      </c>
      <c r="C16" s="250">
        <f t="shared" si="2"/>
        <v>948</v>
      </c>
      <c r="D16" s="250">
        <f t="shared" si="3"/>
        <v>923</v>
      </c>
      <c r="E16" s="250">
        <f t="shared" si="4"/>
        <v>936</v>
      </c>
      <c r="F16" s="250">
        <f t="shared" si="5"/>
        <v>847</v>
      </c>
      <c r="G16" s="249"/>
      <c r="H16" s="693"/>
    </row>
    <row r="17" spans="1:8" ht="15.75" x14ac:dyDescent="0.25">
      <c r="A17" s="249">
        <f t="shared" si="0"/>
        <v>6</v>
      </c>
      <c r="B17" s="693">
        <f t="shared" si="1"/>
        <v>42036</v>
      </c>
      <c r="C17" s="250">
        <f t="shared" si="2"/>
        <v>1027</v>
      </c>
      <c r="D17" s="250">
        <f t="shared" si="3"/>
        <v>801</v>
      </c>
      <c r="E17" s="250">
        <f t="shared" si="4"/>
        <v>877</v>
      </c>
      <c r="F17" s="250">
        <f t="shared" si="5"/>
        <v>933</v>
      </c>
      <c r="G17" s="249"/>
      <c r="H17" s="693"/>
    </row>
    <row r="18" spans="1:8" ht="15.75" x14ac:dyDescent="0.25">
      <c r="A18" s="249">
        <f t="shared" si="0"/>
        <v>7</v>
      </c>
      <c r="B18" s="693">
        <f t="shared" si="1"/>
        <v>42064</v>
      </c>
      <c r="C18" s="250">
        <f t="shared" si="2"/>
        <v>570</v>
      </c>
      <c r="D18" s="250">
        <f t="shared" si="3"/>
        <v>505</v>
      </c>
      <c r="E18" s="250">
        <f t="shared" si="4"/>
        <v>902</v>
      </c>
      <c r="F18" s="250">
        <f t="shared" si="5"/>
        <v>633</v>
      </c>
      <c r="G18" s="249"/>
      <c r="H18" s="693"/>
    </row>
    <row r="19" spans="1:8" ht="15.75" x14ac:dyDescent="0.25">
      <c r="A19" s="249">
        <f t="shared" si="0"/>
        <v>8</v>
      </c>
      <c r="B19" s="693">
        <f t="shared" si="1"/>
        <v>42095</v>
      </c>
      <c r="C19" s="250">
        <f t="shared" si="2"/>
        <v>174</v>
      </c>
      <c r="D19" s="250">
        <f t="shared" si="3"/>
        <v>216</v>
      </c>
      <c r="E19" s="250">
        <f t="shared" si="4"/>
        <v>307</v>
      </c>
      <c r="F19" s="250">
        <f t="shared" si="5"/>
        <v>358</v>
      </c>
      <c r="G19" s="249"/>
      <c r="H19" s="693"/>
    </row>
    <row r="20" spans="1:8" ht="15.75" x14ac:dyDescent="0.25">
      <c r="A20" s="249">
        <f t="shared" si="0"/>
        <v>9</v>
      </c>
      <c r="B20" s="693">
        <f t="shared" si="1"/>
        <v>42125</v>
      </c>
      <c r="C20" s="250">
        <f t="shared" si="2"/>
        <v>46</v>
      </c>
      <c r="D20" s="250">
        <f t="shared" si="3"/>
        <v>63</v>
      </c>
      <c r="E20" s="250">
        <f t="shared" si="4"/>
        <v>123</v>
      </c>
      <c r="F20" s="250">
        <f t="shared" si="5"/>
        <v>121</v>
      </c>
      <c r="G20" s="249"/>
      <c r="H20" s="693"/>
    </row>
    <row r="21" spans="1:8" ht="15.75" x14ac:dyDescent="0.25">
      <c r="A21" s="249">
        <f t="shared" si="0"/>
        <v>10</v>
      </c>
      <c r="B21" s="693">
        <f t="shared" si="1"/>
        <v>42156</v>
      </c>
      <c r="C21" s="250">
        <f t="shared" si="2"/>
        <v>5</v>
      </c>
      <c r="D21" s="250">
        <f t="shared" si="3"/>
        <v>1</v>
      </c>
      <c r="E21" s="250">
        <f t="shared" si="4"/>
        <v>31</v>
      </c>
      <c r="F21" s="250">
        <f t="shared" si="5"/>
        <v>23</v>
      </c>
      <c r="G21" s="249"/>
      <c r="H21" s="693"/>
    </row>
    <row r="22" spans="1:8" ht="15.75" x14ac:dyDescent="0.25">
      <c r="A22" s="249">
        <f t="shared" si="0"/>
        <v>11</v>
      </c>
      <c r="B22" s="693">
        <f t="shared" si="1"/>
        <v>42186</v>
      </c>
      <c r="C22" s="250">
        <f t="shared" si="2"/>
        <v>0</v>
      </c>
      <c r="D22" s="250">
        <f t="shared" si="3"/>
        <v>0</v>
      </c>
      <c r="E22" s="250">
        <f t="shared" si="4"/>
        <v>0</v>
      </c>
      <c r="F22" s="250">
        <f t="shared" si="5"/>
        <v>0</v>
      </c>
      <c r="G22" s="249"/>
      <c r="H22" s="693"/>
    </row>
    <row r="23" spans="1:8" ht="15.75" x14ac:dyDescent="0.25">
      <c r="A23" s="249">
        <f t="shared" si="0"/>
        <v>12</v>
      </c>
      <c r="B23" s="693">
        <f t="shared" si="1"/>
        <v>42217</v>
      </c>
      <c r="C23" s="252">
        <f t="shared" si="2"/>
        <v>0</v>
      </c>
      <c r="D23" s="252">
        <f t="shared" si="3"/>
        <v>0</v>
      </c>
      <c r="E23" s="252">
        <f t="shared" si="4"/>
        <v>0</v>
      </c>
      <c r="F23" s="252">
        <f t="shared" si="5"/>
        <v>0</v>
      </c>
      <c r="G23" s="249"/>
      <c r="H23" s="693"/>
    </row>
    <row r="24" spans="1:8" ht="15.75" x14ac:dyDescent="0.25">
      <c r="A24" s="249">
        <f t="shared" si="0"/>
        <v>13</v>
      </c>
      <c r="B24" s="249"/>
      <c r="C24" s="249"/>
      <c r="D24" s="249"/>
      <c r="E24" s="249"/>
      <c r="F24" s="249"/>
      <c r="G24" s="249"/>
    </row>
    <row r="25" spans="1:8" ht="16.5" thickBot="1" x14ac:dyDescent="0.3">
      <c r="A25" s="249">
        <f t="shared" si="0"/>
        <v>14</v>
      </c>
      <c r="B25" s="249"/>
      <c r="C25" s="253">
        <f>SUM(C12:C23)</f>
        <v>4438</v>
      </c>
      <c r="D25" s="253">
        <f>SUM(D12:D23)</f>
        <v>4102</v>
      </c>
      <c r="E25" s="253">
        <f>SUM(E12:E23)</f>
        <v>4438</v>
      </c>
      <c r="F25" s="253">
        <f>SUM(F12:F23)</f>
        <v>4102</v>
      </c>
      <c r="G25" s="249"/>
    </row>
    <row r="26" spans="1:8" ht="16.5" thickTop="1" x14ac:dyDescent="0.25">
      <c r="A26" s="249"/>
      <c r="G26" s="249"/>
    </row>
    <row r="27" spans="1:8" ht="15.75" x14ac:dyDescent="0.25">
      <c r="A27" s="249" t="s">
        <v>121</v>
      </c>
      <c r="B27" s="249" t="s">
        <v>122</v>
      </c>
      <c r="C27" s="249"/>
      <c r="D27" s="249"/>
      <c r="E27" s="249"/>
      <c r="F27" s="249"/>
      <c r="G27" s="249"/>
    </row>
    <row r="28" spans="1:8" ht="15.75" x14ac:dyDescent="0.25">
      <c r="A28" s="249" t="s">
        <v>123</v>
      </c>
      <c r="B28" s="717" t="s">
        <v>607</v>
      </c>
      <c r="C28" s="717"/>
      <c r="D28" s="717"/>
      <c r="E28" s="717"/>
      <c r="F28" s="717"/>
      <c r="G28" s="249"/>
    </row>
    <row r="29" spans="1:8" ht="15.75" x14ac:dyDescent="0.25">
      <c r="A29" s="249"/>
      <c r="B29" s="717"/>
      <c r="C29" s="717"/>
      <c r="D29" s="717"/>
      <c r="E29" s="717"/>
      <c r="F29" s="717"/>
      <c r="G29" s="249"/>
    </row>
    <row r="31" spans="1:8" hidden="1" x14ac:dyDescent="0.2"/>
    <row r="32" spans="1:8" hidden="1" x14ac:dyDescent="0.2"/>
    <row r="33" spans="2:17" hidden="1" x14ac:dyDescent="0.2"/>
    <row r="34" spans="2:17" hidden="1" x14ac:dyDescent="0.2"/>
    <row r="35" spans="2:17" hidden="1" x14ac:dyDescent="0.2"/>
    <row r="36" spans="2:17" hidden="1" x14ac:dyDescent="0.2"/>
    <row r="37" spans="2:17" hidden="1" x14ac:dyDescent="0.2"/>
    <row r="38" spans="2:17" hidden="1" x14ac:dyDescent="0.2"/>
    <row r="39" spans="2:17" hidden="1" x14ac:dyDescent="0.2"/>
    <row r="40" spans="2:17" hidden="1" x14ac:dyDescent="0.2"/>
    <row r="41" spans="2:17" hidden="1" x14ac:dyDescent="0.2"/>
    <row r="42" spans="2:17" x14ac:dyDescent="0.2">
      <c r="E42" s="694"/>
      <c r="F42" s="694"/>
      <c r="G42" s="694"/>
      <c r="H42" s="694"/>
      <c r="M42" s="694"/>
      <c r="N42" s="694"/>
      <c r="O42" s="694"/>
      <c r="P42" s="694"/>
      <c r="Q42" s="694"/>
    </row>
    <row r="43" spans="2:17" x14ac:dyDescent="0.2">
      <c r="E43" s="694"/>
      <c r="F43" s="694"/>
      <c r="G43" s="694"/>
      <c r="H43" s="694"/>
      <c r="I43" s="695"/>
      <c r="M43" s="694"/>
      <c r="N43" s="694"/>
      <c r="O43" s="694"/>
      <c r="P43" s="694"/>
      <c r="Q43" s="694"/>
    </row>
    <row r="44" spans="2:17" ht="18" x14ac:dyDescent="0.25">
      <c r="B44" s="719" t="s">
        <v>565</v>
      </c>
      <c r="C44" s="720"/>
      <c r="D44" s="720"/>
      <c r="E44" s="720"/>
      <c r="F44" s="720"/>
      <c r="G44" s="720"/>
      <c r="H44" s="721"/>
      <c r="J44" s="719" t="s">
        <v>605</v>
      </c>
      <c r="K44" s="720"/>
      <c r="L44" s="720"/>
      <c r="M44" s="720"/>
      <c r="N44" s="720"/>
      <c r="O44" s="720"/>
      <c r="P44" s="721"/>
    </row>
    <row r="47" spans="2:17" ht="26.25" thickBot="1" x14ac:dyDescent="0.25">
      <c r="C47" s="718" t="s">
        <v>5</v>
      </c>
      <c r="D47" s="718"/>
      <c r="E47" s="718" t="s">
        <v>102</v>
      </c>
      <c r="F47" s="718"/>
      <c r="G47" s="696" t="s">
        <v>566</v>
      </c>
      <c r="H47" s="696" t="s">
        <v>567</v>
      </c>
      <c r="K47" s="718" t="s">
        <v>5</v>
      </c>
      <c r="L47" s="718"/>
      <c r="M47" s="718" t="s">
        <v>102</v>
      </c>
      <c r="N47" s="718"/>
      <c r="O47" s="696" t="s">
        <v>568</v>
      </c>
      <c r="P47" s="696" t="s">
        <v>569</v>
      </c>
    </row>
    <row r="48" spans="2:17" ht="13.5" thickBot="1" x14ac:dyDescent="0.25">
      <c r="B48" s="697" t="s">
        <v>606</v>
      </c>
      <c r="C48" s="698">
        <v>41883</v>
      </c>
      <c r="D48" s="699">
        <f>DATE(YEAR(C48),MONTH(C48)+1,0)</f>
        <v>41912</v>
      </c>
      <c r="E48" s="699">
        <f>DATE(YEAR(C48-1),MONTH(C48-1),16)</f>
        <v>41867</v>
      </c>
      <c r="F48" s="699">
        <f>DATE(YEAR(D48-1),MONTH(D48-1),15)</f>
        <v>41897</v>
      </c>
      <c r="G48" s="210">
        <f t="shared" ref="G48:G59" si="6">SUMPRODUCT(-($B$76:$B$457&gt;=C48),-($B$76:$B$457&lt;=D48),($H$76:$H$457))</f>
        <v>20</v>
      </c>
      <c r="H48" s="210">
        <f t="shared" ref="H48:H59" si="7">SUMPRODUCT(-($B$76:$B$457&gt;=E48),-($B$76:$B$457&lt;=F48),($H$76:$H$457))</f>
        <v>8</v>
      </c>
      <c r="K48" s="700">
        <f>C48</f>
        <v>41883</v>
      </c>
      <c r="L48" s="699">
        <f t="shared" ref="L48:L59" si="8">D48</f>
        <v>41912</v>
      </c>
      <c r="M48" s="699">
        <f t="shared" ref="M48:M59" si="9">E48</f>
        <v>41867</v>
      </c>
      <c r="N48" s="699">
        <f t="shared" ref="N48:N59" si="10">F48</f>
        <v>41897</v>
      </c>
      <c r="O48" s="210">
        <f t="shared" ref="O48:O59" si="11">SUMPRODUCT(-($J$76:$J$456&gt;=K48),-($J$76:$J$456&lt;=L48),($P$76:$P$456))</f>
        <v>23</v>
      </c>
      <c r="P48" s="210">
        <f t="shared" ref="P48:P59" si="12">SUMPRODUCT(-($J$76:$J$456&gt;=M48),-($J$76:$J$456&lt;=N48),($P$76:$P$456))</f>
        <v>3</v>
      </c>
    </row>
    <row r="49" spans="2:16" x14ac:dyDescent="0.2">
      <c r="C49" s="699">
        <f>D48+1</f>
        <v>41913</v>
      </c>
      <c r="D49" s="699">
        <f>DATE(YEAR(C49),MONTH(C49)+1,0)</f>
        <v>41943</v>
      </c>
      <c r="E49" s="699">
        <f>F48+1</f>
        <v>41898</v>
      </c>
      <c r="F49" s="699">
        <f t="shared" ref="F49:F59" si="13">DATE(YEAR(D49-1),MONTH(D49-1),15)</f>
        <v>41927</v>
      </c>
      <c r="G49" s="210">
        <f t="shared" si="6"/>
        <v>195</v>
      </c>
      <c r="H49" s="210">
        <f t="shared" si="7"/>
        <v>75</v>
      </c>
      <c r="K49" s="699">
        <f t="shared" ref="K49:K59" si="14">C49</f>
        <v>41913</v>
      </c>
      <c r="L49" s="699">
        <f t="shared" si="8"/>
        <v>41943</v>
      </c>
      <c r="M49" s="699">
        <f t="shared" si="9"/>
        <v>41898</v>
      </c>
      <c r="N49" s="699">
        <f t="shared" si="10"/>
        <v>41927</v>
      </c>
      <c r="O49" s="210">
        <f t="shared" si="11"/>
        <v>235</v>
      </c>
      <c r="P49" s="210">
        <f t="shared" si="12"/>
        <v>87</v>
      </c>
    </row>
    <row r="50" spans="2:16" x14ac:dyDescent="0.2">
      <c r="C50" s="699">
        <f t="shared" ref="C50:C59" si="15">D49+1</f>
        <v>41944</v>
      </c>
      <c r="D50" s="699">
        <f t="shared" ref="D50:D59" si="16">DATE(YEAR(C50),MONTH(C50)+1,0)</f>
        <v>41973</v>
      </c>
      <c r="E50" s="699">
        <f t="shared" ref="E50:E59" si="17">F49+1</f>
        <v>41928</v>
      </c>
      <c r="F50" s="699">
        <f t="shared" si="13"/>
        <v>41958</v>
      </c>
      <c r="G50" s="210">
        <f t="shared" si="6"/>
        <v>706</v>
      </c>
      <c r="H50" s="210">
        <f t="shared" si="7"/>
        <v>456</v>
      </c>
      <c r="K50" s="699">
        <f t="shared" si="14"/>
        <v>41944</v>
      </c>
      <c r="L50" s="699">
        <f t="shared" si="8"/>
        <v>41973</v>
      </c>
      <c r="M50" s="699">
        <f t="shared" si="9"/>
        <v>41928</v>
      </c>
      <c r="N50" s="699">
        <f t="shared" si="10"/>
        <v>41958</v>
      </c>
      <c r="O50" s="210">
        <f t="shared" si="11"/>
        <v>534</v>
      </c>
      <c r="P50" s="210">
        <f t="shared" si="12"/>
        <v>389</v>
      </c>
    </row>
    <row r="51" spans="2:16" x14ac:dyDescent="0.2">
      <c r="C51" s="699">
        <f t="shared" si="15"/>
        <v>41974</v>
      </c>
      <c r="D51" s="699">
        <f t="shared" si="16"/>
        <v>42004</v>
      </c>
      <c r="E51" s="699">
        <f t="shared" si="17"/>
        <v>41959</v>
      </c>
      <c r="F51" s="699">
        <f t="shared" si="13"/>
        <v>41988</v>
      </c>
      <c r="G51" s="210">
        <f t="shared" si="6"/>
        <v>747</v>
      </c>
      <c r="H51" s="210">
        <f t="shared" si="7"/>
        <v>723</v>
      </c>
      <c r="K51" s="699">
        <f t="shared" si="14"/>
        <v>41974</v>
      </c>
      <c r="L51" s="699">
        <f t="shared" si="8"/>
        <v>42004</v>
      </c>
      <c r="M51" s="699">
        <f t="shared" si="9"/>
        <v>41959</v>
      </c>
      <c r="N51" s="699">
        <f t="shared" si="10"/>
        <v>41988</v>
      </c>
      <c r="O51" s="210">
        <f t="shared" si="11"/>
        <v>801</v>
      </c>
      <c r="P51" s="210">
        <f t="shared" si="12"/>
        <v>708</v>
      </c>
    </row>
    <row r="52" spans="2:16" x14ac:dyDescent="0.2">
      <c r="C52" s="699">
        <f t="shared" si="15"/>
        <v>42005</v>
      </c>
      <c r="D52" s="699">
        <f t="shared" si="16"/>
        <v>42035</v>
      </c>
      <c r="E52" s="699">
        <f t="shared" si="17"/>
        <v>41989</v>
      </c>
      <c r="F52" s="699">
        <f t="shared" si="13"/>
        <v>42019</v>
      </c>
      <c r="G52" s="210">
        <f t="shared" si="6"/>
        <v>948</v>
      </c>
      <c r="H52" s="210">
        <f t="shared" si="7"/>
        <v>936</v>
      </c>
      <c r="K52" s="699">
        <f t="shared" si="14"/>
        <v>42005</v>
      </c>
      <c r="L52" s="699">
        <f t="shared" si="8"/>
        <v>42035</v>
      </c>
      <c r="M52" s="699">
        <f t="shared" si="9"/>
        <v>41989</v>
      </c>
      <c r="N52" s="699">
        <f t="shared" si="10"/>
        <v>42019</v>
      </c>
      <c r="O52" s="210">
        <f t="shared" si="11"/>
        <v>923</v>
      </c>
      <c r="P52" s="210">
        <f t="shared" si="12"/>
        <v>847</v>
      </c>
    </row>
    <row r="53" spans="2:16" x14ac:dyDescent="0.2">
      <c r="C53" s="699">
        <f t="shared" si="15"/>
        <v>42036</v>
      </c>
      <c r="D53" s="699">
        <f t="shared" si="16"/>
        <v>42063</v>
      </c>
      <c r="E53" s="699">
        <f t="shared" si="17"/>
        <v>42020</v>
      </c>
      <c r="F53" s="699">
        <f t="shared" si="13"/>
        <v>42050</v>
      </c>
      <c r="G53" s="210">
        <f t="shared" si="6"/>
        <v>1027</v>
      </c>
      <c r="H53" s="210">
        <f t="shared" si="7"/>
        <v>877</v>
      </c>
      <c r="K53" s="699">
        <f t="shared" si="14"/>
        <v>42036</v>
      </c>
      <c r="L53" s="699">
        <f t="shared" si="8"/>
        <v>42063</v>
      </c>
      <c r="M53" s="699">
        <f t="shared" si="9"/>
        <v>42020</v>
      </c>
      <c r="N53" s="699">
        <f t="shared" si="10"/>
        <v>42050</v>
      </c>
      <c r="O53" s="210">
        <f t="shared" si="11"/>
        <v>801</v>
      </c>
      <c r="P53" s="210">
        <f t="shared" si="12"/>
        <v>933</v>
      </c>
    </row>
    <row r="54" spans="2:16" x14ac:dyDescent="0.2">
      <c r="C54" s="699">
        <f t="shared" si="15"/>
        <v>42064</v>
      </c>
      <c r="D54" s="699">
        <f t="shared" si="16"/>
        <v>42094</v>
      </c>
      <c r="E54" s="699">
        <f t="shared" si="17"/>
        <v>42051</v>
      </c>
      <c r="F54" s="699">
        <f t="shared" si="13"/>
        <v>42078</v>
      </c>
      <c r="G54" s="210">
        <f t="shared" si="6"/>
        <v>570</v>
      </c>
      <c r="H54" s="210">
        <f t="shared" si="7"/>
        <v>902</v>
      </c>
      <c r="K54" s="699">
        <f t="shared" si="14"/>
        <v>42064</v>
      </c>
      <c r="L54" s="699">
        <f t="shared" si="8"/>
        <v>42094</v>
      </c>
      <c r="M54" s="699">
        <f t="shared" si="9"/>
        <v>42051</v>
      </c>
      <c r="N54" s="699">
        <f t="shared" si="10"/>
        <v>42078</v>
      </c>
      <c r="O54" s="210">
        <f t="shared" si="11"/>
        <v>505</v>
      </c>
      <c r="P54" s="210">
        <f t="shared" si="12"/>
        <v>633</v>
      </c>
    </row>
    <row r="55" spans="2:16" x14ac:dyDescent="0.2">
      <c r="C55" s="699">
        <f t="shared" si="15"/>
        <v>42095</v>
      </c>
      <c r="D55" s="699">
        <f t="shared" si="16"/>
        <v>42124</v>
      </c>
      <c r="E55" s="699">
        <f t="shared" si="17"/>
        <v>42079</v>
      </c>
      <c r="F55" s="699">
        <f t="shared" si="13"/>
        <v>42109</v>
      </c>
      <c r="G55" s="210">
        <f t="shared" si="6"/>
        <v>174</v>
      </c>
      <c r="H55" s="210">
        <f t="shared" si="7"/>
        <v>307</v>
      </c>
      <c r="K55" s="699">
        <f t="shared" si="14"/>
        <v>42095</v>
      </c>
      <c r="L55" s="699">
        <f t="shared" si="8"/>
        <v>42124</v>
      </c>
      <c r="M55" s="699">
        <f t="shared" si="9"/>
        <v>42079</v>
      </c>
      <c r="N55" s="699">
        <f t="shared" si="10"/>
        <v>42109</v>
      </c>
      <c r="O55" s="210">
        <f t="shared" si="11"/>
        <v>216</v>
      </c>
      <c r="P55" s="210">
        <f t="shared" si="12"/>
        <v>358</v>
      </c>
    </row>
    <row r="56" spans="2:16" x14ac:dyDescent="0.2">
      <c r="C56" s="699">
        <f t="shared" si="15"/>
        <v>42125</v>
      </c>
      <c r="D56" s="699">
        <f t="shared" si="16"/>
        <v>42155</v>
      </c>
      <c r="E56" s="699">
        <f t="shared" si="17"/>
        <v>42110</v>
      </c>
      <c r="F56" s="699">
        <f t="shared" si="13"/>
        <v>42139</v>
      </c>
      <c r="G56" s="210">
        <f t="shared" si="6"/>
        <v>46</v>
      </c>
      <c r="H56" s="210">
        <f t="shared" si="7"/>
        <v>123</v>
      </c>
      <c r="K56" s="699">
        <f t="shared" si="14"/>
        <v>42125</v>
      </c>
      <c r="L56" s="699">
        <f t="shared" si="8"/>
        <v>42155</v>
      </c>
      <c r="M56" s="699">
        <f t="shared" si="9"/>
        <v>42110</v>
      </c>
      <c r="N56" s="699">
        <f t="shared" si="10"/>
        <v>42139</v>
      </c>
      <c r="O56" s="210">
        <f t="shared" si="11"/>
        <v>63</v>
      </c>
      <c r="P56" s="210">
        <f t="shared" si="12"/>
        <v>121</v>
      </c>
    </row>
    <row r="57" spans="2:16" x14ac:dyDescent="0.2">
      <c r="C57" s="699">
        <f t="shared" si="15"/>
        <v>42156</v>
      </c>
      <c r="D57" s="699">
        <f t="shared" si="16"/>
        <v>42185</v>
      </c>
      <c r="E57" s="699">
        <f t="shared" si="17"/>
        <v>42140</v>
      </c>
      <c r="F57" s="699">
        <f t="shared" si="13"/>
        <v>42170</v>
      </c>
      <c r="G57" s="210">
        <f t="shared" si="6"/>
        <v>5</v>
      </c>
      <c r="H57" s="210">
        <f t="shared" si="7"/>
        <v>31</v>
      </c>
      <c r="K57" s="699">
        <f t="shared" si="14"/>
        <v>42156</v>
      </c>
      <c r="L57" s="699">
        <f t="shared" si="8"/>
        <v>42185</v>
      </c>
      <c r="M57" s="699">
        <f t="shared" si="9"/>
        <v>42140</v>
      </c>
      <c r="N57" s="699">
        <f t="shared" si="10"/>
        <v>42170</v>
      </c>
      <c r="O57" s="210">
        <f t="shared" si="11"/>
        <v>1</v>
      </c>
      <c r="P57" s="210">
        <f t="shared" si="12"/>
        <v>23</v>
      </c>
    </row>
    <row r="58" spans="2:16" x14ac:dyDescent="0.2">
      <c r="C58" s="699">
        <f t="shared" si="15"/>
        <v>42186</v>
      </c>
      <c r="D58" s="699">
        <f t="shared" si="16"/>
        <v>42216</v>
      </c>
      <c r="E58" s="699">
        <f t="shared" si="17"/>
        <v>42171</v>
      </c>
      <c r="F58" s="699">
        <f t="shared" si="13"/>
        <v>42200</v>
      </c>
      <c r="G58" s="210">
        <f t="shared" si="6"/>
        <v>0</v>
      </c>
      <c r="H58" s="210">
        <f t="shared" si="7"/>
        <v>0</v>
      </c>
      <c r="K58" s="699">
        <f t="shared" si="14"/>
        <v>42186</v>
      </c>
      <c r="L58" s="699">
        <f t="shared" si="8"/>
        <v>42216</v>
      </c>
      <c r="M58" s="699">
        <f t="shared" si="9"/>
        <v>42171</v>
      </c>
      <c r="N58" s="699">
        <f t="shared" si="10"/>
        <v>42200</v>
      </c>
      <c r="O58" s="210">
        <f t="shared" si="11"/>
        <v>0</v>
      </c>
      <c r="P58" s="210">
        <f t="shared" si="12"/>
        <v>0</v>
      </c>
    </row>
    <row r="59" spans="2:16" x14ac:dyDescent="0.2">
      <c r="C59" s="699">
        <f t="shared" si="15"/>
        <v>42217</v>
      </c>
      <c r="D59" s="699">
        <f t="shared" si="16"/>
        <v>42247</v>
      </c>
      <c r="E59" s="699">
        <f t="shared" si="17"/>
        <v>42201</v>
      </c>
      <c r="F59" s="699">
        <f t="shared" si="13"/>
        <v>42231</v>
      </c>
      <c r="G59" s="701">
        <f t="shared" si="6"/>
        <v>0</v>
      </c>
      <c r="H59" s="701">
        <f t="shared" si="7"/>
        <v>0</v>
      </c>
      <c r="K59" s="699">
        <f t="shared" si="14"/>
        <v>42217</v>
      </c>
      <c r="L59" s="699">
        <f t="shared" si="8"/>
        <v>42247</v>
      </c>
      <c r="M59" s="699">
        <f t="shared" si="9"/>
        <v>42201</v>
      </c>
      <c r="N59" s="699">
        <f t="shared" si="10"/>
        <v>42231</v>
      </c>
      <c r="O59" s="701">
        <f t="shared" si="11"/>
        <v>0</v>
      </c>
      <c r="P59" s="701">
        <f t="shared" si="12"/>
        <v>0</v>
      </c>
    </row>
    <row r="60" spans="2:16" x14ac:dyDescent="0.2">
      <c r="F60" s="210" t="s">
        <v>19</v>
      </c>
      <c r="G60" s="45">
        <f>SUM(G48:G59)</f>
        <v>4438</v>
      </c>
      <c r="H60" s="45">
        <f>SUM(H48:H59)</f>
        <v>4438</v>
      </c>
      <c r="O60" s="45">
        <f>SUM(O48:O59)</f>
        <v>4102</v>
      </c>
      <c r="P60" s="45">
        <f>SUM(P48:P59)</f>
        <v>4102</v>
      </c>
    </row>
    <row r="61" spans="2:16" x14ac:dyDescent="0.2">
      <c r="C61" s="694"/>
      <c r="D61" s="694"/>
      <c r="E61" s="694"/>
      <c r="F61" s="694"/>
      <c r="G61" s="694"/>
      <c r="K61" s="694"/>
      <c r="L61" s="694"/>
      <c r="M61" s="694"/>
      <c r="N61" s="694"/>
      <c r="O61" s="694"/>
    </row>
    <row r="62" spans="2:16" x14ac:dyDescent="0.2">
      <c r="C62" s="694"/>
      <c r="D62" s="694"/>
      <c r="E62" s="694"/>
      <c r="F62" s="694"/>
      <c r="G62" s="694"/>
      <c r="K62" s="694"/>
      <c r="L62" s="694"/>
      <c r="M62" s="694"/>
      <c r="N62" s="694"/>
      <c r="O62" s="694"/>
    </row>
    <row r="63" spans="2:16" x14ac:dyDescent="0.2">
      <c r="C63" s="694"/>
      <c r="D63" s="694"/>
      <c r="E63" s="694"/>
      <c r="F63" s="694"/>
      <c r="G63" s="694"/>
      <c r="K63" s="694"/>
      <c r="L63" s="694"/>
      <c r="M63" s="694"/>
      <c r="N63" s="694"/>
      <c r="O63" s="694"/>
    </row>
    <row r="64" spans="2:16" x14ac:dyDescent="0.2">
      <c r="B64" s="702" t="s">
        <v>105</v>
      </c>
      <c r="C64" s="702" t="s">
        <v>577</v>
      </c>
      <c r="D64" s="702" t="s">
        <v>578</v>
      </c>
      <c r="E64" s="702" t="s">
        <v>579</v>
      </c>
      <c r="F64" s="702" t="s">
        <v>580</v>
      </c>
      <c r="G64" s="702" t="s">
        <v>581</v>
      </c>
      <c r="H64" s="702" t="s">
        <v>618</v>
      </c>
      <c r="K64" s="694"/>
      <c r="L64" s="694"/>
      <c r="M64" s="694"/>
      <c r="N64" s="694"/>
      <c r="O64" s="694"/>
    </row>
    <row r="65" spans="2:16" x14ac:dyDescent="0.2">
      <c r="B65" s="210" t="s">
        <v>94</v>
      </c>
      <c r="C65" s="45">
        <f>[1]Customers!AD8+[1]Customers!AD9</f>
        <v>38019.416666666664</v>
      </c>
      <c r="D65" s="45">
        <f>[1]Customers!AE8+[1]Customers!AE9</f>
        <v>35357.92424242424</v>
      </c>
      <c r="E65" s="45">
        <f>[1]Customers!AF8+[1]Customers!AF9</f>
        <v>21245.401515151509</v>
      </c>
      <c r="F65" s="45">
        <f>[1]Customers!AG8+[1]Customers!AG9</f>
        <v>6737.4166666666679</v>
      </c>
      <c r="G65" s="45">
        <f>[1]Customers!AH8+[1]Customers!AH9</f>
        <v>54157.012626262629</v>
      </c>
      <c r="H65" s="45">
        <f>SUM(C65:G65)</f>
        <v>155517.17171717173</v>
      </c>
      <c r="K65" s="694"/>
      <c r="L65" s="694"/>
      <c r="M65" s="694"/>
      <c r="N65" s="694"/>
      <c r="O65" s="694"/>
    </row>
    <row r="66" spans="2:16" x14ac:dyDescent="0.2">
      <c r="B66" s="210" t="s">
        <v>124</v>
      </c>
      <c r="C66" s="45">
        <f>[1]Customers!AD10+[1]Customers!AD11</f>
        <v>3333.545454545454</v>
      </c>
      <c r="D66" s="45">
        <f>[1]Customers!AE10+[1]Customers!AE11</f>
        <v>4395.204545454545</v>
      </c>
      <c r="E66" s="45">
        <f>[1]Customers!AF10+[1]Customers!AF11</f>
        <v>2667.7727272727279</v>
      </c>
      <c r="F66" s="45">
        <f>[1]Customers!AG10+[1]Customers!AG11</f>
        <v>654.97727272727275</v>
      </c>
      <c r="G66" s="45">
        <f>[1]Customers!AH10+[1]Customers!AH11</f>
        <v>6283.386363636364</v>
      </c>
      <c r="H66" s="45">
        <f>SUM(C66:G66)</f>
        <v>17334.886363636364</v>
      </c>
      <c r="K66" s="694"/>
      <c r="L66" s="694"/>
      <c r="M66" s="694"/>
      <c r="N66" s="694"/>
      <c r="O66" s="694"/>
    </row>
    <row r="67" spans="2:16" x14ac:dyDescent="0.2">
      <c r="B67" s="701" t="s">
        <v>559</v>
      </c>
      <c r="C67" s="364">
        <f>[1]Customers!AD12</f>
        <v>248.96969696969697</v>
      </c>
      <c r="D67" s="364">
        <f>[1]Customers!AE12</f>
        <v>363.28484848484845</v>
      </c>
      <c r="E67" s="364">
        <f>[1]Customers!AF12</f>
        <v>360.74999999999994</v>
      </c>
      <c r="F67" s="364">
        <f>[1]Customers!AG12</f>
        <v>43.083333333333329</v>
      </c>
      <c r="G67" s="364">
        <f>[1]Customers!AH12</f>
        <v>541.91969696969693</v>
      </c>
      <c r="H67" s="364">
        <f>SUM(C67:G67)</f>
        <v>1558.0075757575758</v>
      </c>
      <c r="K67" s="694"/>
      <c r="L67" s="694"/>
      <c r="M67" s="694"/>
      <c r="N67" s="694"/>
      <c r="O67" s="694"/>
    </row>
    <row r="68" spans="2:16" x14ac:dyDescent="0.2">
      <c r="B68" s="210" t="s">
        <v>618</v>
      </c>
      <c r="C68" s="45">
        <f>SUM(C65:C67)</f>
        <v>41601.931818181816</v>
      </c>
      <c r="D68" s="45">
        <f>SUM(D65:D67)</f>
        <v>40116.413636363635</v>
      </c>
      <c r="E68" s="45">
        <f>SUM(E65:E67)</f>
        <v>24273.924242424237</v>
      </c>
      <c r="F68" s="45">
        <f>SUM(F65:F67)</f>
        <v>7435.4772727272739</v>
      </c>
      <c r="G68" s="45">
        <f>SUM(G65:G67)</f>
        <v>60982.318686868697</v>
      </c>
      <c r="H68" s="45">
        <f>SUM(C68:G68)</f>
        <v>174410.06565656568</v>
      </c>
      <c r="K68" s="694"/>
      <c r="L68" s="694"/>
      <c r="M68" s="694"/>
      <c r="N68" s="694"/>
      <c r="O68" s="694"/>
    </row>
    <row r="69" spans="2:16" x14ac:dyDescent="0.2">
      <c r="K69" s="694"/>
      <c r="L69" s="694"/>
      <c r="M69" s="694"/>
      <c r="N69" s="694"/>
      <c r="O69" s="694"/>
    </row>
    <row r="70" spans="2:16" x14ac:dyDescent="0.2">
      <c r="B70" s="455" t="s">
        <v>518</v>
      </c>
      <c r="C70" s="703">
        <f>C68/$H$68</f>
        <v>0.23852942008577077</v>
      </c>
      <c r="D70" s="703">
        <f>D68/$H$68</f>
        <v>0.2300120321917524</v>
      </c>
      <c r="E70" s="703">
        <f>E68/$H$68</f>
        <v>0.1391773126800061</v>
      </c>
      <c r="F70" s="703">
        <f>F68/$H$68</f>
        <v>4.2632156835309146E-2</v>
      </c>
      <c r="G70" s="703">
        <f>G68/$H$68</f>
        <v>0.34964907820716146</v>
      </c>
      <c r="K70" s="694"/>
      <c r="L70" s="694"/>
      <c r="M70" s="694"/>
      <c r="N70" s="694"/>
      <c r="O70" s="694"/>
    </row>
    <row r="71" spans="2:16" x14ac:dyDescent="0.2">
      <c r="C71" s="694"/>
      <c r="D71" s="694"/>
      <c r="E71" s="694"/>
      <c r="F71" s="694"/>
      <c r="G71" s="694"/>
      <c r="K71" s="694"/>
      <c r="L71" s="694"/>
      <c r="M71" s="694"/>
      <c r="N71" s="694"/>
      <c r="O71" s="694"/>
    </row>
    <row r="72" spans="2:16" x14ac:dyDescent="0.2">
      <c r="C72" s="694"/>
      <c r="D72" s="694"/>
      <c r="E72" s="694"/>
      <c r="F72" s="694"/>
      <c r="G72" s="694"/>
      <c r="K72" s="694"/>
      <c r="L72" s="694"/>
      <c r="M72" s="694"/>
      <c r="N72" s="694"/>
      <c r="O72" s="694"/>
    </row>
    <row r="74" spans="2:16" ht="51" x14ac:dyDescent="0.2">
      <c r="B74" s="610" t="s">
        <v>564</v>
      </c>
      <c r="C74" s="704" t="s">
        <v>572</v>
      </c>
      <c r="D74" s="704" t="s">
        <v>573</v>
      </c>
      <c r="E74" s="704" t="s">
        <v>574</v>
      </c>
      <c r="F74" s="704" t="s">
        <v>575</v>
      </c>
      <c r="G74" s="704" t="s">
        <v>576</v>
      </c>
      <c r="H74" s="701" t="s">
        <v>4</v>
      </c>
      <c r="J74" s="610" t="s">
        <v>564</v>
      </c>
      <c r="K74" s="704" t="s">
        <v>572</v>
      </c>
      <c r="L74" s="704" t="s">
        <v>573</v>
      </c>
      <c r="M74" s="704" t="s">
        <v>574</v>
      </c>
      <c r="N74" s="704" t="s">
        <v>575</v>
      </c>
      <c r="O74" s="704" t="s">
        <v>576</v>
      </c>
      <c r="P74" s="701" t="s">
        <v>4</v>
      </c>
    </row>
    <row r="75" spans="2:16" x14ac:dyDescent="0.2">
      <c r="B75" s="613"/>
      <c r="C75" s="696"/>
      <c r="D75" s="696"/>
      <c r="E75" s="696"/>
      <c r="F75" s="696"/>
      <c r="G75" s="696"/>
      <c r="K75" s="696"/>
      <c r="L75" s="696"/>
      <c r="M75" s="696"/>
      <c r="N75" s="696"/>
      <c r="O75" s="696"/>
    </row>
    <row r="76" spans="2:16" x14ac:dyDescent="0.2">
      <c r="B76" s="705">
        <f>E48</f>
        <v>41867</v>
      </c>
      <c r="C76" s="634">
        <f>'[10]Lagged.Calendar HDDs'!E11</f>
        <v>0</v>
      </c>
      <c r="D76" s="634">
        <f>'[10]Lagged.Calendar HDDs'!F11</f>
        <v>0</v>
      </c>
      <c r="E76" s="634">
        <f>'[10]Lagged.Calendar HDDs'!G11</f>
        <v>0</v>
      </c>
      <c r="F76" s="634">
        <f>'[10]Lagged.Calendar HDDs'!H11</f>
        <v>0</v>
      </c>
      <c r="G76" s="634">
        <f>'[10]Lagged.Calendar HDDs'!I11</f>
        <v>0</v>
      </c>
      <c r="H76" s="706">
        <f t="shared" ref="H76:H139" si="18">IFERROR(ROUND((C76*C$70)+(D76*D$70)+(E76*E$70)+(F76*F$70)+(G76*G$70),0),0)</f>
        <v>0</v>
      </c>
      <c r="J76" s="699">
        <f>B76</f>
        <v>41867</v>
      </c>
      <c r="K76" s="630">
        <f>'[10]10yr Lagged Norms'!E26</f>
        <v>0</v>
      </c>
      <c r="L76" s="630">
        <f>'[10]10yr Lagged Norms'!F26</f>
        <v>0</v>
      </c>
      <c r="M76" s="630">
        <f>'[10]10yr Lagged Norms'!G26</f>
        <v>0</v>
      </c>
      <c r="N76" s="630">
        <f>'[10]10yr Lagged Norms'!H26</f>
        <v>0</v>
      </c>
      <c r="O76" s="630">
        <f>'[10]10yr Lagged Norms'!I26</f>
        <v>0</v>
      </c>
      <c r="P76" s="707">
        <f t="shared" ref="P76:P139" si="19">IFERROR(ROUND((K76*C$70)+(L76*D$70)+(M76*E$70)+(N76*F$70)+(O76*G$70),0),0)</f>
        <v>0</v>
      </c>
    </row>
    <row r="77" spans="2:16" x14ac:dyDescent="0.2">
      <c r="B77" s="708">
        <f>B76+1</f>
        <v>41868</v>
      </c>
      <c r="C77" s="634">
        <f>'[10]Lagged.Calendar HDDs'!E12</f>
        <v>0</v>
      </c>
      <c r="D77" s="634">
        <f>'[10]Lagged.Calendar HDDs'!F12</f>
        <v>0</v>
      </c>
      <c r="E77" s="634">
        <f>'[10]Lagged.Calendar HDDs'!G12</f>
        <v>0</v>
      </c>
      <c r="F77" s="634">
        <f>'[10]Lagged.Calendar HDDs'!H12</f>
        <v>0</v>
      </c>
      <c r="G77" s="634">
        <f>'[10]Lagged.Calendar HDDs'!I12</f>
        <v>0</v>
      </c>
      <c r="H77" s="706">
        <f t="shared" si="18"/>
        <v>0</v>
      </c>
      <c r="J77" s="699">
        <f t="shared" ref="J77:J140" si="20">B77</f>
        <v>41868</v>
      </c>
      <c r="K77" s="630">
        <f>'[10]10yr Lagged Norms'!E27</f>
        <v>0</v>
      </c>
      <c r="L77" s="630">
        <f>'[10]10yr Lagged Norms'!F27</f>
        <v>0</v>
      </c>
      <c r="M77" s="630">
        <f>'[10]10yr Lagged Norms'!G27</f>
        <v>0</v>
      </c>
      <c r="N77" s="630">
        <f>'[10]10yr Lagged Norms'!H27</f>
        <v>0</v>
      </c>
      <c r="O77" s="630">
        <f>'[10]10yr Lagged Norms'!I27</f>
        <v>0</v>
      </c>
      <c r="P77" s="707">
        <f t="shared" si="19"/>
        <v>0</v>
      </c>
    </row>
    <row r="78" spans="2:16" x14ac:dyDescent="0.2">
      <c r="B78" s="708">
        <f t="shared" ref="B78:B141" si="21">B77+1</f>
        <v>41869</v>
      </c>
      <c r="C78" s="634">
        <f>'[10]Lagged.Calendar HDDs'!E13</f>
        <v>0</v>
      </c>
      <c r="D78" s="634">
        <f>'[10]Lagged.Calendar HDDs'!F13</f>
        <v>0</v>
      </c>
      <c r="E78" s="634">
        <f>'[10]Lagged.Calendar HDDs'!G13</f>
        <v>0</v>
      </c>
      <c r="F78" s="634">
        <f>'[10]Lagged.Calendar HDDs'!H13</f>
        <v>0</v>
      </c>
      <c r="G78" s="634">
        <f>'[10]Lagged.Calendar HDDs'!I13</f>
        <v>0</v>
      </c>
      <c r="H78" s="706">
        <f t="shared" si="18"/>
        <v>0</v>
      </c>
      <c r="J78" s="699">
        <f t="shared" si="20"/>
        <v>41869</v>
      </c>
      <c r="K78" s="630">
        <f>'[10]10yr Lagged Norms'!E28</f>
        <v>0</v>
      </c>
      <c r="L78" s="630">
        <f>'[10]10yr Lagged Norms'!F28</f>
        <v>0</v>
      </c>
      <c r="M78" s="630">
        <f>'[10]10yr Lagged Norms'!G28</f>
        <v>0</v>
      </c>
      <c r="N78" s="630">
        <f>'[10]10yr Lagged Norms'!H28</f>
        <v>0</v>
      </c>
      <c r="O78" s="630">
        <f>'[10]10yr Lagged Norms'!I28</f>
        <v>0</v>
      </c>
      <c r="P78" s="707">
        <f t="shared" si="19"/>
        <v>0</v>
      </c>
    </row>
    <row r="79" spans="2:16" x14ac:dyDescent="0.2">
      <c r="B79" s="708">
        <f t="shared" si="21"/>
        <v>41870</v>
      </c>
      <c r="C79" s="634">
        <f>'[10]Lagged.Calendar HDDs'!E14</f>
        <v>0</v>
      </c>
      <c r="D79" s="634">
        <f>'[10]Lagged.Calendar HDDs'!F14</f>
        <v>0</v>
      </c>
      <c r="E79" s="634">
        <f>'[10]Lagged.Calendar HDDs'!G14</f>
        <v>0</v>
      </c>
      <c r="F79" s="634">
        <f>'[10]Lagged.Calendar HDDs'!H14</f>
        <v>0</v>
      </c>
      <c r="G79" s="634">
        <f>'[10]Lagged.Calendar HDDs'!I14</f>
        <v>0</v>
      </c>
      <c r="H79" s="706">
        <f t="shared" si="18"/>
        <v>0</v>
      </c>
      <c r="J79" s="699">
        <f t="shared" si="20"/>
        <v>41870</v>
      </c>
      <c r="K79" s="630">
        <f>'[10]10yr Lagged Norms'!E29</f>
        <v>0</v>
      </c>
      <c r="L79" s="630">
        <f>'[10]10yr Lagged Norms'!F29</f>
        <v>0</v>
      </c>
      <c r="M79" s="630">
        <f>'[10]10yr Lagged Norms'!G29</f>
        <v>0</v>
      </c>
      <c r="N79" s="630">
        <f>'[10]10yr Lagged Norms'!H29</f>
        <v>0</v>
      </c>
      <c r="O79" s="630">
        <f>'[10]10yr Lagged Norms'!I29</f>
        <v>0</v>
      </c>
      <c r="P79" s="707">
        <f t="shared" si="19"/>
        <v>0</v>
      </c>
    </row>
    <row r="80" spans="2:16" x14ac:dyDescent="0.2">
      <c r="B80" s="708">
        <f t="shared" si="21"/>
        <v>41871</v>
      </c>
      <c r="C80" s="634">
        <f>'[10]Lagged.Calendar HDDs'!E15</f>
        <v>0</v>
      </c>
      <c r="D80" s="634">
        <f>'[10]Lagged.Calendar HDDs'!F15</f>
        <v>0</v>
      </c>
      <c r="E80" s="634">
        <f>'[10]Lagged.Calendar HDDs'!G15</f>
        <v>0</v>
      </c>
      <c r="F80" s="634">
        <f>'[10]Lagged.Calendar HDDs'!H15</f>
        <v>0</v>
      </c>
      <c r="G80" s="634">
        <f>'[10]Lagged.Calendar HDDs'!I15</f>
        <v>0</v>
      </c>
      <c r="H80" s="706">
        <f t="shared" si="18"/>
        <v>0</v>
      </c>
      <c r="J80" s="699">
        <f t="shared" si="20"/>
        <v>41871</v>
      </c>
      <c r="K80" s="630">
        <f>'[10]10yr Lagged Norms'!E30</f>
        <v>0</v>
      </c>
      <c r="L80" s="630">
        <f>'[10]10yr Lagged Norms'!F30</f>
        <v>0</v>
      </c>
      <c r="M80" s="630">
        <f>'[10]10yr Lagged Norms'!G30</f>
        <v>0</v>
      </c>
      <c r="N80" s="630">
        <f>'[10]10yr Lagged Norms'!H30</f>
        <v>0</v>
      </c>
      <c r="O80" s="630">
        <f>'[10]10yr Lagged Norms'!I30</f>
        <v>0</v>
      </c>
      <c r="P80" s="707">
        <f t="shared" si="19"/>
        <v>0</v>
      </c>
    </row>
    <row r="81" spans="2:16" x14ac:dyDescent="0.2">
      <c r="B81" s="708">
        <f t="shared" si="21"/>
        <v>41872</v>
      </c>
      <c r="C81" s="634">
        <f>'[10]Lagged.Calendar HDDs'!E16</f>
        <v>0</v>
      </c>
      <c r="D81" s="634">
        <f>'[10]Lagged.Calendar HDDs'!F16</f>
        <v>0</v>
      </c>
      <c r="E81" s="634">
        <f>'[10]Lagged.Calendar HDDs'!G16</f>
        <v>0</v>
      </c>
      <c r="F81" s="634">
        <f>'[10]Lagged.Calendar HDDs'!H16</f>
        <v>0</v>
      </c>
      <c r="G81" s="634">
        <f>'[10]Lagged.Calendar HDDs'!I16</f>
        <v>0</v>
      </c>
      <c r="H81" s="706">
        <f t="shared" si="18"/>
        <v>0</v>
      </c>
      <c r="J81" s="699">
        <f t="shared" si="20"/>
        <v>41872</v>
      </c>
      <c r="K81" s="630">
        <f>'[10]10yr Lagged Norms'!E31</f>
        <v>0</v>
      </c>
      <c r="L81" s="630">
        <f>'[10]10yr Lagged Norms'!F31</f>
        <v>0</v>
      </c>
      <c r="M81" s="630">
        <f>'[10]10yr Lagged Norms'!G31</f>
        <v>0</v>
      </c>
      <c r="N81" s="630">
        <f>'[10]10yr Lagged Norms'!H31</f>
        <v>0</v>
      </c>
      <c r="O81" s="630">
        <f>'[10]10yr Lagged Norms'!I31</f>
        <v>0</v>
      </c>
      <c r="P81" s="707">
        <f t="shared" si="19"/>
        <v>0</v>
      </c>
    </row>
    <row r="82" spans="2:16" x14ac:dyDescent="0.2">
      <c r="B82" s="708">
        <f t="shared" si="21"/>
        <v>41873</v>
      </c>
      <c r="C82" s="634">
        <f>'[10]Lagged.Calendar HDDs'!E17</f>
        <v>0</v>
      </c>
      <c r="D82" s="634">
        <f>'[10]Lagged.Calendar HDDs'!F17</f>
        <v>0</v>
      </c>
      <c r="E82" s="634">
        <f>'[10]Lagged.Calendar HDDs'!G17</f>
        <v>0</v>
      </c>
      <c r="F82" s="634">
        <f>'[10]Lagged.Calendar HDDs'!H17</f>
        <v>0</v>
      </c>
      <c r="G82" s="634">
        <f>'[10]Lagged.Calendar HDDs'!I17</f>
        <v>0</v>
      </c>
      <c r="H82" s="706">
        <f t="shared" si="18"/>
        <v>0</v>
      </c>
      <c r="J82" s="699">
        <f t="shared" si="20"/>
        <v>41873</v>
      </c>
      <c r="K82" s="630">
        <f>'[10]10yr Lagged Norms'!E32</f>
        <v>0</v>
      </c>
      <c r="L82" s="630">
        <f>'[10]10yr Lagged Norms'!F32</f>
        <v>0</v>
      </c>
      <c r="M82" s="630">
        <f>'[10]10yr Lagged Norms'!G32</f>
        <v>0</v>
      </c>
      <c r="N82" s="630">
        <f>'[10]10yr Lagged Norms'!H32</f>
        <v>0</v>
      </c>
      <c r="O82" s="630">
        <f>'[10]10yr Lagged Norms'!I32</f>
        <v>0</v>
      </c>
      <c r="P82" s="707">
        <f t="shared" si="19"/>
        <v>0</v>
      </c>
    </row>
    <row r="83" spans="2:16" x14ac:dyDescent="0.2">
      <c r="B83" s="708">
        <f t="shared" si="21"/>
        <v>41874</v>
      </c>
      <c r="C83" s="634">
        <f>'[10]Lagged.Calendar HDDs'!E18</f>
        <v>0</v>
      </c>
      <c r="D83" s="634">
        <f>'[10]Lagged.Calendar HDDs'!F18</f>
        <v>0</v>
      </c>
      <c r="E83" s="634">
        <f>'[10]Lagged.Calendar HDDs'!G18</f>
        <v>0</v>
      </c>
      <c r="F83" s="634">
        <f>'[10]Lagged.Calendar HDDs'!H18</f>
        <v>0</v>
      </c>
      <c r="G83" s="634">
        <f>'[10]Lagged.Calendar HDDs'!I18</f>
        <v>0</v>
      </c>
      <c r="H83" s="706">
        <f t="shared" si="18"/>
        <v>0</v>
      </c>
      <c r="J83" s="699">
        <f t="shared" si="20"/>
        <v>41874</v>
      </c>
      <c r="K83" s="630">
        <f>'[10]10yr Lagged Norms'!E33</f>
        <v>0</v>
      </c>
      <c r="L83" s="630">
        <f>'[10]10yr Lagged Norms'!F33</f>
        <v>0</v>
      </c>
      <c r="M83" s="630">
        <f>'[10]10yr Lagged Norms'!G33</f>
        <v>0</v>
      </c>
      <c r="N83" s="630">
        <f>'[10]10yr Lagged Norms'!H33</f>
        <v>0</v>
      </c>
      <c r="O83" s="630">
        <f>'[10]10yr Lagged Norms'!I33</f>
        <v>0</v>
      </c>
      <c r="P83" s="707">
        <f t="shared" si="19"/>
        <v>0</v>
      </c>
    </row>
    <row r="84" spans="2:16" x14ac:dyDescent="0.2">
      <c r="B84" s="708">
        <f t="shared" si="21"/>
        <v>41875</v>
      </c>
      <c r="C84" s="634">
        <f>'[10]Lagged.Calendar HDDs'!E19</f>
        <v>0</v>
      </c>
      <c r="D84" s="634">
        <f>'[10]Lagged.Calendar HDDs'!F19</f>
        <v>0</v>
      </c>
      <c r="E84" s="634">
        <f>'[10]Lagged.Calendar HDDs'!G19</f>
        <v>0</v>
      </c>
      <c r="F84" s="634">
        <f>'[10]Lagged.Calendar HDDs'!H19</f>
        <v>0</v>
      </c>
      <c r="G84" s="634">
        <f>'[10]Lagged.Calendar HDDs'!I19</f>
        <v>0</v>
      </c>
      <c r="H84" s="706">
        <f t="shared" si="18"/>
        <v>0</v>
      </c>
      <c r="J84" s="699">
        <f t="shared" si="20"/>
        <v>41875</v>
      </c>
      <c r="K84" s="630">
        <f>'[10]10yr Lagged Norms'!E34</f>
        <v>0</v>
      </c>
      <c r="L84" s="630">
        <f>'[10]10yr Lagged Norms'!F34</f>
        <v>0</v>
      </c>
      <c r="M84" s="630">
        <f>'[10]10yr Lagged Norms'!G34</f>
        <v>0</v>
      </c>
      <c r="N84" s="630">
        <f>'[10]10yr Lagged Norms'!H34</f>
        <v>0</v>
      </c>
      <c r="O84" s="630">
        <f>'[10]10yr Lagged Norms'!I34</f>
        <v>0</v>
      </c>
      <c r="P84" s="707">
        <f t="shared" si="19"/>
        <v>0</v>
      </c>
    </row>
    <row r="85" spans="2:16" x14ac:dyDescent="0.2">
      <c r="B85" s="708">
        <f t="shared" si="21"/>
        <v>41876</v>
      </c>
      <c r="C85" s="634">
        <f>'[10]Lagged.Calendar HDDs'!E20</f>
        <v>0</v>
      </c>
      <c r="D85" s="634">
        <f>'[10]Lagged.Calendar HDDs'!F20</f>
        <v>0</v>
      </c>
      <c r="E85" s="634">
        <f>'[10]Lagged.Calendar HDDs'!G20</f>
        <v>0</v>
      </c>
      <c r="F85" s="634">
        <f>'[10]Lagged.Calendar HDDs'!H20</f>
        <v>0</v>
      </c>
      <c r="G85" s="634">
        <f>'[10]Lagged.Calendar HDDs'!I20</f>
        <v>0</v>
      </c>
      <c r="H85" s="706">
        <f t="shared" si="18"/>
        <v>0</v>
      </c>
      <c r="J85" s="699">
        <f t="shared" si="20"/>
        <v>41876</v>
      </c>
      <c r="K85" s="630">
        <f>'[10]10yr Lagged Norms'!E35</f>
        <v>0</v>
      </c>
      <c r="L85" s="630">
        <f>'[10]10yr Lagged Norms'!F35</f>
        <v>0</v>
      </c>
      <c r="M85" s="630">
        <f>'[10]10yr Lagged Norms'!G35</f>
        <v>0</v>
      </c>
      <c r="N85" s="630">
        <f>'[10]10yr Lagged Norms'!H35</f>
        <v>0</v>
      </c>
      <c r="O85" s="630">
        <f>'[10]10yr Lagged Norms'!I35</f>
        <v>0</v>
      </c>
      <c r="P85" s="707">
        <f t="shared" si="19"/>
        <v>0</v>
      </c>
    </row>
    <row r="86" spans="2:16" x14ac:dyDescent="0.2">
      <c r="B86" s="708">
        <f t="shared" si="21"/>
        <v>41877</v>
      </c>
      <c r="C86" s="634">
        <f>'[10]Lagged.Calendar HDDs'!E21</f>
        <v>0</v>
      </c>
      <c r="D86" s="634">
        <f>'[10]Lagged.Calendar HDDs'!F21</f>
        <v>0</v>
      </c>
      <c r="E86" s="634">
        <f>'[10]Lagged.Calendar HDDs'!G21</f>
        <v>0</v>
      </c>
      <c r="F86" s="634">
        <f>'[10]Lagged.Calendar HDDs'!H21</f>
        <v>0</v>
      </c>
      <c r="G86" s="634">
        <f>'[10]Lagged.Calendar HDDs'!I21</f>
        <v>0</v>
      </c>
      <c r="H86" s="706">
        <f t="shared" si="18"/>
        <v>0</v>
      </c>
      <c r="J86" s="699">
        <f t="shared" si="20"/>
        <v>41877</v>
      </c>
      <c r="K86" s="630">
        <f>'[10]10yr Lagged Norms'!E36</f>
        <v>0</v>
      </c>
      <c r="L86" s="630">
        <f>'[10]10yr Lagged Norms'!F36</f>
        <v>0</v>
      </c>
      <c r="M86" s="630">
        <f>'[10]10yr Lagged Norms'!G36</f>
        <v>0</v>
      </c>
      <c r="N86" s="630">
        <f>'[10]10yr Lagged Norms'!H36</f>
        <v>0</v>
      </c>
      <c r="O86" s="630">
        <f>'[10]10yr Lagged Norms'!I36</f>
        <v>0</v>
      </c>
      <c r="P86" s="707">
        <f t="shared" si="19"/>
        <v>0</v>
      </c>
    </row>
    <row r="87" spans="2:16" x14ac:dyDescent="0.2">
      <c r="B87" s="708">
        <f t="shared" si="21"/>
        <v>41878</v>
      </c>
      <c r="C87" s="634">
        <f>'[10]Lagged.Calendar HDDs'!E22</f>
        <v>0</v>
      </c>
      <c r="D87" s="634">
        <f>'[10]Lagged.Calendar HDDs'!F22</f>
        <v>0</v>
      </c>
      <c r="E87" s="634">
        <f>'[10]Lagged.Calendar HDDs'!G22</f>
        <v>0</v>
      </c>
      <c r="F87" s="634">
        <f>'[10]Lagged.Calendar HDDs'!H22</f>
        <v>0</v>
      </c>
      <c r="G87" s="634">
        <f>'[10]Lagged.Calendar HDDs'!I22</f>
        <v>0</v>
      </c>
      <c r="H87" s="706">
        <f t="shared" si="18"/>
        <v>0</v>
      </c>
      <c r="J87" s="699">
        <f t="shared" si="20"/>
        <v>41878</v>
      </c>
      <c r="K87" s="630">
        <f>'[10]10yr Lagged Norms'!E37</f>
        <v>0</v>
      </c>
      <c r="L87" s="630">
        <f>'[10]10yr Lagged Norms'!F37</f>
        <v>0</v>
      </c>
      <c r="M87" s="630">
        <f>'[10]10yr Lagged Norms'!G37</f>
        <v>0</v>
      </c>
      <c r="N87" s="630">
        <f>'[10]10yr Lagged Norms'!H37</f>
        <v>0</v>
      </c>
      <c r="O87" s="630">
        <f>'[10]10yr Lagged Norms'!I37</f>
        <v>0</v>
      </c>
      <c r="P87" s="707">
        <f t="shared" si="19"/>
        <v>0</v>
      </c>
    </row>
    <row r="88" spans="2:16" x14ac:dyDescent="0.2">
      <c r="B88" s="708">
        <f t="shared" si="21"/>
        <v>41879</v>
      </c>
      <c r="C88" s="634">
        <f>'[10]Lagged.Calendar HDDs'!E23</f>
        <v>0</v>
      </c>
      <c r="D88" s="634">
        <f>'[10]Lagged.Calendar HDDs'!F23</f>
        <v>0</v>
      </c>
      <c r="E88" s="634">
        <f>'[10]Lagged.Calendar HDDs'!G23</f>
        <v>0</v>
      </c>
      <c r="F88" s="634">
        <f>'[10]Lagged.Calendar HDDs'!H23</f>
        <v>0</v>
      </c>
      <c r="G88" s="634">
        <f>'[10]Lagged.Calendar HDDs'!I23</f>
        <v>0</v>
      </c>
      <c r="H88" s="706">
        <f t="shared" si="18"/>
        <v>0</v>
      </c>
      <c r="J88" s="699">
        <f t="shared" si="20"/>
        <v>41879</v>
      </c>
      <c r="K88" s="630">
        <f>'[10]10yr Lagged Norms'!E38</f>
        <v>0</v>
      </c>
      <c r="L88" s="630">
        <f>'[10]10yr Lagged Norms'!F38</f>
        <v>0</v>
      </c>
      <c r="M88" s="630">
        <f>'[10]10yr Lagged Norms'!G38</f>
        <v>0</v>
      </c>
      <c r="N88" s="630">
        <f>'[10]10yr Lagged Norms'!H38</f>
        <v>0</v>
      </c>
      <c r="O88" s="630">
        <f>'[10]10yr Lagged Norms'!I38</f>
        <v>0</v>
      </c>
      <c r="P88" s="707">
        <f t="shared" si="19"/>
        <v>0</v>
      </c>
    </row>
    <row r="89" spans="2:16" x14ac:dyDescent="0.2">
      <c r="B89" s="708">
        <f t="shared" si="21"/>
        <v>41880</v>
      </c>
      <c r="C89" s="634">
        <f>'[10]Lagged.Calendar HDDs'!E24</f>
        <v>0</v>
      </c>
      <c r="D89" s="634">
        <f>'[10]Lagged.Calendar HDDs'!F24</f>
        <v>0</v>
      </c>
      <c r="E89" s="634">
        <f>'[10]Lagged.Calendar HDDs'!G24</f>
        <v>0</v>
      </c>
      <c r="F89" s="634">
        <f>'[10]Lagged.Calendar HDDs'!H24</f>
        <v>0</v>
      </c>
      <c r="G89" s="634">
        <f>'[10]Lagged.Calendar HDDs'!I24</f>
        <v>0</v>
      </c>
      <c r="H89" s="706">
        <f t="shared" si="18"/>
        <v>0</v>
      </c>
      <c r="J89" s="699">
        <f t="shared" si="20"/>
        <v>41880</v>
      </c>
      <c r="K89" s="630">
        <f>'[10]10yr Lagged Norms'!E39</f>
        <v>0</v>
      </c>
      <c r="L89" s="630">
        <f>'[10]10yr Lagged Norms'!F39</f>
        <v>0</v>
      </c>
      <c r="M89" s="630">
        <f>'[10]10yr Lagged Norms'!G39</f>
        <v>0</v>
      </c>
      <c r="N89" s="630">
        <f>'[10]10yr Lagged Norms'!H39</f>
        <v>0</v>
      </c>
      <c r="O89" s="630">
        <f>'[10]10yr Lagged Norms'!I39</f>
        <v>0</v>
      </c>
      <c r="P89" s="707">
        <f t="shared" si="19"/>
        <v>0</v>
      </c>
    </row>
    <row r="90" spans="2:16" x14ac:dyDescent="0.2">
      <c r="B90" s="708">
        <f t="shared" si="21"/>
        <v>41881</v>
      </c>
      <c r="C90" s="634">
        <f>'[10]Lagged.Calendar HDDs'!E25</f>
        <v>0</v>
      </c>
      <c r="D90" s="634">
        <f>'[10]Lagged.Calendar HDDs'!F25</f>
        <v>0</v>
      </c>
      <c r="E90" s="634">
        <f>'[10]Lagged.Calendar HDDs'!G25</f>
        <v>0</v>
      </c>
      <c r="F90" s="634">
        <f>'[10]Lagged.Calendar HDDs'!H25</f>
        <v>0</v>
      </c>
      <c r="G90" s="634">
        <f>'[10]Lagged.Calendar HDDs'!I25</f>
        <v>0</v>
      </c>
      <c r="H90" s="706">
        <f t="shared" si="18"/>
        <v>0</v>
      </c>
      <c r="J90" s="699">
        <f t="shared" si="20"/>
        <v>41881</v>
      </c>
      <c r="K90" s="630">
        <f>'[10]10yr Lagged Norms'!E40</f>
        <v>0</v>
      </c>
      <c r="L90" s="630">
        <f>'[10]10yr Lagged Norms'!F40</f>
        <v>0</v>
      </c>
      <c r="M90" s="630">
        <f>'[10]10yr Lagged Norms'!G40</f>
        <v>0</v>
      </c>
      <c r="N90" s="630">
        <f>'[10]10yr Lagged Norms'!H40</f>
        <v>0</v>
      </c>
      <c r="O90" s="630">
        <f>'[10]10yr Lagged Norms'!I40</f>
        <v>0</v>
      </c>
      <c r="P90" s="707">
        <f t="shared" si="19"/>
        <v>0</v>
      </c>
    </row>
    <row r="91" spans="2:16" x14ac:dyDescent="0.2">
      <c r="B91" s="708">
        <f t="shared" si="21"/>
        <v>41882</v>
      </c>
      <c r="C91" s="634">
        <f>'[10]Lagged.Calendar HDDs'!E26</f>
        <v>0</v>
      </c>
      <c r="D91" s="634">
        <f>'[10]Lagged.Calendar HDDs'!F26</f>
        <v>0</v>
      </c>
      <c r="E91" s="634">
        <f>'[10]Lagged.Calendar HDDs'!G26</f>
        <v>0</v>
      </c>
      <c r="F91" s="634">
        <f>'[10]Lagged.Calendar HDDs'!H26</f>
        <v>0</v>
      </c>
      <c r="G91" s="634">
        <f>'[10]Lagged.Calendar HDDs'!I26</f>
        <v>0</v>
      </c>
      <c r="H91" s="706">
        <f t="shared" si="18"/>
        <v>0</v>
      </c>
      <c r="J91" s="699">
        <f t="shared" si="20"/>
        <v>41882</v>
      </c>
      <c r="K91" s="630">
        <f>'[10]10yr Lagged Norms'!E41</f>
        <v>0</v>
      </c>
      <c r="L91" s="630">
        <f>'[10]10yr Lagged Norms'!F41</f>
        <v>0</v>
      </c>
      <c r="M91" s="630">
        <f>'[10]10yr Lagged Norms'!G41</f>
        <v>0.3</v>
      </c>
      <c r="N91" s="630">
        <f>'[10]10yr Lagged Norms'!H41</f>
        <v>0</v>
      </c>
      <c r="O91" s="630">
        <f>'[10]10yr Lagged Norms'!I41</f>
        <v>0</v>
      </c>
      <c r="P91" s="707">
        <f t="shared" si="19"/>
        <v>0</v>
      </c>
    </row>
    <row r="92" spans="2:16" x14ac:dyDescent="0.2">
      <c r="B92" s="708">
        <f t="shared" si="21"/>
        <v>41883</v>
      </c>
      <c r="C92" s="634">
        <f>'[10]Lagged.Calendar HDDs'!E27</f>
        <v>0</v>
      </c>
      <c r="D92" s="634">
        <f>'[10]Lagged.Calendar HDDs'!F27</f>
        <v>0</v>
      </c>
      <c r="E92" s="634">
        <f>'[10]Lagged.Calendar HDDs'!G27</f>
        <v>0</v>
      </c>
      <c r="F92" s="634">
        <f>'[10]Lagged.Calendar HDDs'!H27</f>
        <v>0</v>
      </c>
      <c r="G92" s="634">
        <f>'[10]Lagged.Calendar HDDs'!I27</f>
        <v>0</v>
      </c>
      <c r="H92" s="706">
        <f t="shared" si="18"/>
        <v>0</v>
      </c>
      <c r="J92" s="699">
        <f t="shared" si="20"/>
        <v>41883</v>
      </c>
      <c r="K92" s="630">
        <f>'[10]10yr Lagged Norms'!E42</f>
        <v>0</v>
      </c>
      <c r="L92" s="630">
        <f>'[10]10yr Lagged Norms'!F42</f>
        <v>0</v>
      </c>
      <c r="M92" s="630">
        <f>'[10]10yr Lagged Norms'!G42</f>
        <v>0.2</v>
      </c>
      <c r="N92" s="630">
        <f>'[10]10yr Lagged Norms'!H42</f>
        <v>0</v>
      </c>
      <c r="O92" s="630">
        <f>'[10]10yr Lagged Norms'!I42</f>
        <v>0</v>
      </c>
      <c r="P92" s="707">
        <f t="shared" si="19"/>
        <v>0</v>
      </c>
    </row>
    <row r="93" spans="2:16" x14ac:dyDescent="0.2">
      <c r="B93" s="708">
        <f t="shared" si="21"/>
        <v>41884</v>
      </c>
      <c r="C93" s="634">
        <f>'[10]Lagged.Calendar HDDs'!E28</f>
        <v>0</v>
      </c>
      <c r="D93" s="634">
        <f>'[10]Lagged.Calendar HDDs'!F28</f>
        <v>0</v>
      </c>
      <c r="E93" s="634">
        <f>'[10]Lagged.Calendar HDDs'!G28</f>
        <v>0</v>
      </c>
      <c r="F93" s="634">
        <f>'[10]Lagged.Calendar HDDs'!H28</f>
        <v>0</v>
      </c>
      <c r="G93" s="634">
        <f>'[10]Lagged.Calendar HDDs'!I28</f>
        <v>0</v>
      </c>
      <c r="H93" s="706">
        <f t="shared" si="18"/>
        <v>0</v>
      </c>
      <c r="J93" s="699">
        <f t="shared" si="20"/>
        <v>41884</v>
      </c>
      <c r="K93" s="630">
        <f>'[10]10yr Lagged Norms'!E43</f>
        <v>0.1</v>
      </c>
      <c r="L93" s="630">
        <f>'[10]10yr Lagged Norms'!F43</f>
        <v>0</v>
      </c>
      <c r="M93" s="630">
        <f>'[10]10yr Lagged Norms'!G43</f>
        <v>0.3</v>
      </c>
      <c r="N93" s="630">
        <f>'[10]10yr Lagged Norms'!H43</f>
        <v>0.1</v>
      </c>
      <c r="O93" s="630">
        <f>'[10]10yr Lagged Norms'!I43</f>
        <v>0</v>
      </c>
      <c r="P93" s="707">
        <f t="shared" si="19"/>
        <v>0</v>
      </c>
    </row>
    <row r="94" spans="2:16" x14ac:dyDescent="0.2">
      <c r="B94" s="708">
        <f t="shared" si="21"/>
        <v>41885</v>
      </c>
      <c r="C94" s="634">
        <f>'[10]Lagged.Calendar HDDs'!E29</f>
        <v>0</v>
      </c>
      <c r="D94" s="634">
        <f>'[10]Lagged.Calendar HDDs'!F29</f>
        <v>0</v>
      </c>
      <c r="E94" s="634">
        <f>'[10]Lagged.Calendar HDDs'!G29</f>
        <v>0</v>
      </c>
      <c r="F94" s="634">
        <f>'[10]Lagged.Calendar HDDs'!H29</f>
        <v>0</v>
      </c>
      <c r="G94" s="634">
        <f>'[10]Lagged.Calendar HDDs'!I29</f>
        <v>0</v>
      </c>
      <c r="H94" s="706">
        <f t="shared" si="18"/>
        <v>0</v>
      </c>
      <c r="J94" s="699">
        <f t="shared" si="20"/>
        <v>41885</v>
      </c>
      <c r="K94" s="630">
        <f>'[10]10yr Lagged Norms'!E44</f>
        <v>0</v>
      </c>
      <c r="L94" s="630">
        <f>'[10]10yr Lagged Norms'!F44</f>
        <v>0</v>
      </c>
      <c r="M94" s="630">
        <f>'[10]10yr Lagged Norms'!G44</f>
        <v>0</v>
      </c>
      <c r="N94" s="630">
        <f>'[10]10yr Lagged Norms'!H44</f>
        <v>0</v>
      </c>
      <c r="O94" s="630">
        <f>'[10]10yr Lagged Norms'!I44</f>
        <v>0</v>
      </c>
      <c r="P94" s="707">
        <f t="shared" si="19"/>
        <v>0</v>
      </c>
    </row>
    <row r="95" spans="2:16" x14ac:dyDescent="0.2">
      <c r="B95" s="708">
        <f t="shared" si="21"/>
        <v>41886</v>
      </c>
      <c r="C95" s="634">
        <f>'[10]Lagged.Calendar HDDs'!E30</f>
        <v>0</v>
      </c>
      <c r="D95" s="634">
        <f>'[10]Lagged.Calendar HDDs'!F30</f>
        <v>0</v>
      </c>
      <c r="E95" s="634">
        <f>'[10]Lagged.Calendar HDDs'!G30</f>
        <v>0</v>
      </c>
      <c r="F95" s="634">
        <f>'[10]Lagged.Calendar HDDs'!H30</f>
        <v>0</v>
      </c>
      <c r="G95" s="634">
        <f>'[10]Lagged.Calendar HDDs'!I30</f>
        <v>0</v>
      </c>
      <c r="H95" s="706">
        <f t="shared" si="18"/>
        <v>0</v>
      </c>
      <c r="J95" s="699">
        <f t="shared" si="20"/>
        <v>41886</v>
      </c>
      <c r="K95" s="630">
        <f>'[10]10yr Lagged Norms'!E45</f>
        <v>0</v>
      </c>
      <c r="L95" s="630">
        <f>'[10]10yr Lagged Norms'!F45</f>
        <v>0</v>
      </c>
      <c r="M95" s="630">
        <f>'[10]10yr Lagged Norms'!G45</f>
        <v>0.4</v>
      </c>
      <c r="N95" s="630">
        <f>'[10]10yr Lagged Norms'!H45</f>
        <v>0</v>
      </c>
      <c r="O95" s="630">
        <f>'[10]10yr Lagged Norms'!I45</f>
        <v>0</v>
      </c>
      <c r="P95" s="707">
        <f t="shared" si="19"/>
        <v>0</v>
      </c>
    </row>
    <row r="96" spans="2:16" x14ac:dyDescent="0.2">
      <c r="B96" s="708">
        <f t="shared" si="21"/>
        <v>41887</v>
      </c>
      <c r="C96" s="634">
        <f>'[10]Lagged.Calendar HDDs'!E31</f>
        <v>0</v>
      </c>
      <c r="D96" s="634">
        <f>'[10]Lagged.Calendar HDDs'!F31</f>
        <v>0</v>
      </c>
      <c r="E96" s="634">
        <f>'[10]Lagged.Calendar HDDs'!G31</f>
        <v>0</v>
      </c>
      <c r="F96" s="634">
        <f>'[10]Lagged.Calendar HDDs'!H31</f>
        <v>0</v>
      </c>
      <c r="G96" s="634">
        <f>'[10]Lagged.Calendar HDDs'!I31</f>
        <v>0</v>
      </c>
      <c r="H96" s="706">
        <f t="shared" si="18"/>
        <v>0</v>
      </c>
      <c r="J96" s="699">
        <f t="shared" si="20"/>
        <v>41887</v>
      </c>
      <c r="K96" s="630">
        <f>'[10]10yr Lagged Norms'!E46</f>
        <v>0.1</v>
      </c>
      <c r="L96" s="630">
        <f>'[10]10yr Lagged Norms'!F46</f>
        <v>0.2</v>
      </c>
      <c r="M96" s="630">
        <f>'[10]10yr Lagged Norms'!G46</f>
        <v>0.3</v>
      </c>
      <c r="N96" s="630">
        <f>'[10]10yr Lagged Norms'!H46</f>
        <v>0</v>
      </c>
      <c r="O96" s="630">
        <f>'[10]10yr Lagged Norms'!I46</f>
        <v>0</v>
      </c>
      <c r="P96" s="707">
        <f t="shared" si="19"/>
        <v>0</v>
      </c>
    </row>
    <row r="97" spans="2:16" x14ac:dyDescent="0.2">
      <c r="B97" s="708">
        <f t="shared" si="21"/>
        <v>41888</v>
      </c>
      <c r="C97" s="634">
        <f>'[10]Lagged.Calendar HDDs'!E32</f>
        <v>0</v>
      </c>
      <c r="D97" s="634">
        <f>'[10]Lagged.Calendar HDDs'!F32</f>
        <v>0</v>
      </c>
      <c r="E97" s="634">
        <f>'[10]Lagged.Calendar HDDs'!G32</f>
        <v>0</v>
      </c>
      <c r="F97" s="634">
        <f>'[10]Lagged.Calendar HDDs'!H32</f>
        <v>0</v>
      </c>
      <c r="G97" s="634">
        <f>'[10]Lagged.Calendar HDDs'!I32</f>
        <v>0</v>
      </c>
      <c r="H97" s="706">
        <f t="shared" si="18"/>
        <v>0</v>
      </c>
      <c r="J97" s="699">
        <f t="shared" si="20"/>
        <v>41888</v>
      </c>
      <c r="K97" s="630">
        <f>'[10]10yr Lagged Norms'!E47</f>
        <v>0.2</v>
      </c>
      <c r="L97" s="630">
        <f>'[10]10yr Lagged Norms'!F47</f>
        <v>0.7</v>
      </c>
      <c r="M97" s="630">
        <f>'[10]10yr Lagged Norms'!G47</f>
        <v>0.7</v>
      </c>
      <c r="N97" s="630">
        <f>'[10]10yr Lagged Norms'!H47</f>
        <v>0.4</v>
      </c>
      <c r="O97" s="630">
        <f>'[10]10yr Lagged Norms'!I47</f>
        <v>0.1</v>
      </c>
      <c r="P97" s="707">
        <f t="shared" si="19"/>
        <v>0</v>
      </c>
    </row>
    <row r="98" spans="2:16" x14ac:dyDescent="0.2">
      <c r="B98" s="708">
        <f t="shared" si="21"/>
        <v>41889</v>
      </c>
      <c r="C98" s="634">
        <f>'[10]Lagged.Calendar HDDs'!E33</f>
        <v>0</v>
      </c>
      <c r="D98" s="634">
        <f>'[10]Lagged.Calendar HDDs'!F33</f>
        <v>0</v>
      </c>
      <c r="E98" s="634">
        <f>'[10]Lagged.Calendar HDDs'!G33</f>
        <v>0</v>
      </c>
      <c r="F98" s="634">
        <f>'[10]Lagged.Calendar HDDs'!H33</f>
        <v>0</v>
      </c>
      <c r="G98" s="634">
        <f>'[10]Lagged.Calendar HDDs'!I33</f>
        <v>0</v>
      </c>
      <c r="H98" s="706">
        <f t="shared" si="18"/>
        <v>0</v>
      </c>
      <c r="J98" s="699">
        <f t="shared" si="20"/>
        <v>41889</v>
      </c>
      <c r="K98" s="630">
        <f>'[10]10yr Lagged Norms'!E48</f>
        <v>0</v>
      </c>
      <c r="L98" s="630">
        <f>'[10]10yr Lagged Norms'!F48</f>
        <v>0</v>
      </c>
      <c r="M98" s="630">
        <f>'[10]10yr Lagged Norms'!G48</f>
        <v>0.5</v>
      </c>
      <c r="N98" s="630">
        <f>'[10]10yr Lagged Norms'!H48</f>
        <v>0.3</v>
      </c>
      <c r="O98" s="630">
        <f>'[10]10yr Lagged Norms'!I48</f>
        <v>0</v>
      </c>
      <c r="P98" s="707">
        <f t="shared" si="19"/>
        <v>0</v>
      </c>
    </row>
    <row r="99" spans="2:16" x14ac:dyDescent="0.2">
      <c r="B99" s="708">
        <f t="shared" si="21"/>
        <v>41890</v>
      </c>
      <c r="C99" s="634">
        <f>'[10]Lagged.Calendar HDDs'!E34</f>
        <v>0</v>
      </c>
      <c r="D99" s="634">
        <f>'[10]Lagged.Calendar HDDs'!F34</f>
        <v>0</v>
      </c>
      <c r="E99" s="634">
        <f>'[10]Lagged.Calendar HDDs'!G34</f>
        <v>0</v>
      </c>
      <c r="F99" s="634">
        <f>'[10]Lagged.Calendar HDDs'!H34</f>
        <v>0</v>
      </c>
      <c r="G99" s="634">
        <f>'[10]Lagged.Calendar HDDs'!I34</f>
        <v>0</v>
      </c>
      <c r="H99" s="706">
        <f t="shared" si="18"/>
        <v>0</v>
      </c>
      <c r="J99" s="699">
        <f t="shared" si="20"/>
        <v>41890</v>
      </c>
      <c r="K99" s="630">
        <f>'[10]10yr Lagged Norms'!E49</f>
        <v>0.1</v>
      </c>
      <c r="L99" s="630">
        <f>'[10]10yr Lagged Norms'!F49</f>
        <v>0.3</v>
      </c>
      <c r="M99" s="630">
        <f>'[10]10yr Lagged Norms'!G49</f>
        <v>0.6</v>
      </c>
      <c r="N99" s="630">
        <f>'[10]10yr Lagged Norms'!H49</f>
        <v>0.5</v>
      </c>
      <c r="O99" s="630">
        <f>'[10]10yr Lagged Norms'!I49</f>
        <v>0</v>
      </c>
      <c r="P99" s="707">
        <f t="shared" si="19"/>
        <v>0</v>
      </c>
    </row>
    <row r="100" spans="2:16" x14ac:dyDescent="0.2">
      <c r="B100" s="708">
        <f t="shared" si="21"/>
        <v>41891</v>
      </c>
      <c r="C100" s="634">
        <f>'[10]Lagged.Calendar HDDs'!E35</f>
        <v>0</v>
      </c>
      <c r="D100" s="634">
        <f>'[10]Lagged.Calendar HDDs'!F35</f>
        <v>0</v>
      </c>
      <c r="E100" s="634">
        <f>'[10]Lagged.Calendar HDDs'!G35</f>
        <v>0</v>
      </c>
      <c r="F100" s="634">
        <f>'[10]Lagged.Calendar HDDs'!H35</f>
        <v>0</v>
      </c>
      <c r="G100" s="634">
        <f>'[10]Lagged.Calendar HDDs'!I35</f>
        <v>0</v>
      </c>
      <c r="H100" s="706">
        <f t="shared" si="18"/>
        <v>0</v>
      </c>
      <c r="J100" s="699">
        <f t="shared" si="20"/>
        <v>41891</v>
      </c>
      <c r="K100" s="630">
        <f>'[10]10yr Lagged Norms'!E50</f>
        <v>0.3</v>
      </c>
      <c r="L100" s="630">
        <f>'[10]10yr Lagged Norms'!F50</f>
        <v>0</v>
      </c>
      <c r="M100" s="630">
        <f>'[10]10yr Lagged Norms'!G50</f>
        <v>0.1</v>
      </c>
      <c r="N100" s="630">
        <f>'[10]10yr Lagged Norms'!H50</f>
        <v>0</v>
      </c>
      <c r="O100" s="630">
        <f>'[10]10yr Lagged Norms'!I50</f>
        <v>0.2</v>
      </c>
      <c r="P100" s="707">
        <f t="shared" si="19"/>
        <v>0</v>
      </c>
    </row>
    <row r="101" spans="2:16" x14ac:dyDescent="0.2">
      <c r="B101" s="708">
        <f t="shared" si="21"/>
        <v>41892</v>
      </c>
      <c r="C101" s="634">
        <f>'[10]Lagged.Calendar HDDs'!E36</f>
        <v>0</v>
      </c>
      <c r="D101" s="634">
        <f>'[10]Lagged.Calendar HDDs'!F36</f>
        <v>0</v>
      </c>
      <c r="E101" s="634">
        <f>'[10]Lagged.Calendar HDDs'!G36</f>
        <v>0</v>
      </c>
      <c r="F101" s="634">
        <f>'[10]Lagged.Calendar HDDs'!H36</f>
        <v>0</v>
      </c>
      <c r="G101" s="634">
        <f>'[10]Lagged.Calendar HDDs'!I36</f>
        <v>0</v>
      </c>
      <c r="H101" s="706">
        <f t="shared" si="18"/>
        <v>0</v>
      </c>
      <c r="J101" s="699">
        <f t="shared" si="20"/>
        <v>41892</v>
      </c>
      <c r="K101" s="630">
        <f>'[10]10yr Lagged Norms'!E51</f>
        <v>0</v>
      </c>
      <c r="L101" s="630">
        <f>'[10]10yr Lagged Norms'!F51</f>
        <v>0</v>
      </c>
      <c r="M101" s="630">
        <f>'[10]10yr Lagged Norms'!G51</f>
        <v>0.1</v>
      </c>
      <c r="N101" s="630">
        <f>'[10]10yr Lagged Norms'!H51</f>
        <v>0</v>
      </c>
      <c r="O101" s="630">
        <f>'[10]10yr Lagged Norms'!I51</f>
        <v>0</v>
      </c>
      <c r="P101" s="707">
        <f t="shared" si="19"/>
        <v>0</v>
      </c>
    </row>
    <row r="102" spans="2:16" x14ac:dyDescent="0.2">
      <c r="B102" s="708">
        <f t="shared" si="21"/>
        <v>41893</v>
      </c>
      <c r="C102" s="634">
        <f>'[10]Lagged.Calendar HDDs'!E37</f>
        <v>0</v>
      </c>
      <c r="D102" s="634">
        <f>'[10]Lagged.Calendar HDDs'!F37</f>
        <v>0</v>
      </c>
      <c r="E102" s="634">
        <f>'[10]Lagged.Calendar HDDs'!G37</f>
        <v>0</v>
      </c>
      <c r="F102" s="634">
        <f>'[10]Lagged.Calendar HDDs'!H37</f>
        <v>0</v>
      </c>
      <c r="G102" s="634">
        <f>'[10]Lagged.Calendar HDDs'!I37</f>
        <v>0</v>
      </c>
      <c r="H102" s="706">
        <f t="shared" si="18"/>
        <v>0</v>
      </c>
      <c r="J102" s="699">
        <f t="shared" si="20"/>
        <v>41893</v>
      </c>
      <c r="K102" s="630">
        <f>'[10]10yr Lagged Norms'!E52</f>
        <v>0</v>
      </c>
      <c r="L102" s="630">
        <f>'[10]10yr Lagged Norms'!F52</f>
        <v>0</v>
      </c>
      <c r="M102" s="630">
        <f>'[10]10yr Lagged Norms'!G52</f>
        <v>0.1</v>
      </c>
      <c r="N102" s="630">
        <f>'[10]10yr Lagged Norms'!H52</f>
        <v>0</v>
      </c>
      <c r="O102" s="630">
        <f>'[10]10yr Lagged Norms'!I52</f>
        <v>0</v>
      </c>
      <c r="P102" s="707">
        <f t="shared" si="19"/>
        <v>0</v>
      </c>
    </row>
    <row r="103" spans="2:16" x14ac:dyDescent="0.2">
      <c r="B103" s="708">
        <f t="shared" si="21"/>
        <v>41894</v>
      </c>
      <c r="C103" s="634">
        <f>'[10]Lagged.Calendar HDDs'!E38</f>
        <v>4</v>
      </c>
      <c r="D103" s="634">
        <f>'[10]Lagged.Calendar HDDs'!F38</f>
        <v>0</v>
      </c>
      <c r="E103" s="634">
        <f>'[10]Lagged.Calendar HDDs'!G38</f>
        <v>1</v>
      </c>
      <c r="F103" s="634">
        <f>'[10]Lagged.Calendar HDDs'!H38</f>
        <v>0</v>
      </c>
      <c r="G103" s="634">
        <f>'[10]Lagged.Calendar HDDs'!I38</f>
        <v>3</v>
      </c>
      <c r="H103" s="706">
        <f t="shared" si="18"/>
        <v>2</v>
      </c>
      <c r="J103" s="699">
        <f t="shared" si="20"/>
        <v>41894</v>
      </c>
      <c r="K103" s="630">
        <f>'[10]10yr Lagged Norms'!E53</f>
        <v>0.4</v>
      </c>
      <c r="L103" s="630">
        <f>'[10]10yr Lagged Norms'!F53</f>
        <v>0</v>
      </c>
      <c r="M103" s="630">
        <f>'[10]10yr Lagged Norms'!G53</f>
        <v>0.1</v>
      </c>
      <c r="N103" s="630">
        <f>'[10]10yr Lagged Norms'!H53</f>
        <v>0</v>
      </c>
      <c r="O103" s="630">
        <f>'[10]10yr Lagged Norms'!I53</f>
        <v>0.3</v>
      </c>
      <c r="P103" s="707">
        <f t="shared" si="19"/>
        <v>0</v>
      </c>
    </row>
    <row r="104" spans="2:16" x14ac:dyDescent="0.2">
      <c r="B104" s="708">
        <f t="shared" si="21"/>
        <v>41895</v>
      </c>
      <c r="C104" s="634">
        <f>'[10]Lagged.Calendar HDDs'!E39</f>
        <v>6</v>
      </c>
      <c r="D104" s="634">
        <f>'[10]Lagged.Calendar HDDs'!F39</f>
        <v>2</v>
      </c>
      <c r="E104" s="634">
        <f>'[10]Lagged.Calendar HDDs'!G39</f>
        <v>5</v>
      </c>
      <c r="F104" s="634">
        <f>'[10]Lagged.Calendar HDDs'!H39</f>
        <v>3</v>
      </c>
      <c r="G104" s="634">
        <f>'[10]Lagged.Calendar HDDs'!I39</f>
        <v>5</v>
      </c>
      <c r="H104" s="706">
        <f t="shared" si="18"/>
        <v>4</v>
      </c>
      <c r="J104" s="699">
        <f t="shared" si="20"/>
        <v>41895</v>
      </c>
      <c r="K104" s="630">
        <f>'[10]10yr Lagged Norms'!E54</f>
        <v>0.8</v>
      </c>
      <c r="L104" s="630">
        <f>'[10]10yr Lagged Norms'!F54</f>
        <v>0.2</v>
      </c>
      <c r="M104" s="630">
        <f>'[10]10yr Lagged Norms'!G54</f>
        <v>0.9</v>
      </c>
      <c r="N104" s="630">
        <f>'[10]10yr Lagged Norms'!H54</f>
        <v>0.3</v>
      </c>
      <c r="O104" s="630">
        <f>'[10]10yr Lagged Norms'!I54</f>
        <v>0.8</v>
      </c>
      <c r="P104" s="707">
        <f t="shared" si="19"/>
        <v>1</v>
      </c>
    </row>
    <row r="105" spans="2:16" x14ac:dyDescent="0.2">
      <c r="B105" s="708">
        <f t="shared" si="21"/>
        <v>41896</v>
      </c>
      <c r="C105" s="634">
        <f>'[10]Lagged.Calendar HDDs'!E40</f>
        <v>4</v>
      </c>
      <c r="D105" s="634">
        <f>'[10]Lagged.Calendar HDDs'!F40</f>
        <v>0</v>
      </c>
      <c r="E105" s="634">
        <f>'[10]Lagged.Calendar HDDs'!G40</f>
        <v>3</v>
      </c>
      <c r="F105" s="634">
        <f>'[10]Lagged.Calendar HDDs'!H40</f>
        <v>2</v>
      </c>
      <c r="G105" s="634">
        <f>'[10]Lagged.Calendar HDDs'!I40</f>
        <v>2</v>
      </c>
      <c r="H105" s="706">
        <f t="shared" si="18"/>
        <v>2</v>
      </c>
      <c r="J105" s="699">
        <f t="shared" si="20"/>
        <v>41896</v>
      </c>
      <c r="K105" s="630">
        <f>'[10]10yr Lagged Norms'!E55</f>
        <v>0.8</v>
      </c>
      <c r="L105" s="630">
        <f>'[10]10yr Lagged Norms'!F55</f>
        <v>0.1</v>
      </c>
      <c r="M105" s="630">
        <f>'[10]10yr Lagged Norms'!G55</f>
        <v>1</v>
      </c>
      <c r="N105" s="630">
        <f>'[10]10yr Lagged Norms'!H55</f>
        <v>0.4</v>
      </c>
      <c r="O105" s="630">
        <f>'[10]10yr Lagged Norms'!I55</f>
        <v>0.4</v>
      </c>
      <c r="P105" s="707">
        <f t="shared" si="19"/>
        <v>1</v>
      </c>
    </row>
    <row r="106" spans="2:16" x14ac:dyDescent="0.2">
      <c r="B106" s="708">
        <f t="shared" si="21"/>
        <v>41897</v>
      </c>
      <c r="C106" s="634">
        <f>'[10]Lagged.Calendar HDDs'!E41</f>
        <v>1</v>
      </c>
      <c r="D106" s="634">
        <f>'[10]Lagged.Calendar HDDs'!F41</f>
        <v>0</v>
      </c>
      <c r="E106" s="634">
        <f>'[10]Lagged.Calendar HDDs'!G41</f>
        <v>1</v>
      </c>
      <c r="F106" s="634">
        <f>'[10]Lagged.Calendar HDDs'!H41</f>
        <v>0</v>
      </c>
      <c r="G106" s="634">
        <f>'[10]Lagged.Calendar HDDs'!I41</f>
        <v>0</v>
      </c>
      <c r="H106" s="706">
        <f t="shared" si="18"/>
        <v>0</v>
      </c>
      <c r="J106" s="699">
        <f t="shared" si="20"/>
        <v>41897</v>
      </c>
      <c r="K106" s="630">
        <f>'[10]10yr Lagged Norms'!E56</f>
        <v>1.4</v>
      </c>
      <c r="L106" s="630">
        <f>'[10]10yr Lagged Norms'!F56</f>
        <v>0.4</v>
      </c>
      <c r="M106" s="630">
        <f>'[10]10yr Lagged Norms'!G56</f>
        <v>1.7</v>
      </c>
      <c r="N106" s="630">
        <f>'[10]10yr Lagged Norms'!H56</f>
        <v>0.8</v>
      </c>
      <c r="O106" s="630">
        <f>'[10]10yr Lagged Norms'!I56</f>
        <v>1.5</v>
      </c>
      <c r="P106" s="707">
        <f t="shared" si="19"/>
        <v>1</v>
      </c>
    </row>
    <row r="107" spans="2:16" x14ac:dyDescent="0.2">
      <c r="B107" s="708">
        <f t="shared" si="21"/>
        <v>41898</v>
      </c>
      <c r="C107" s="634">
        <f>'[10]Lagged.Calendar HDDs'!E42</f>
        <v>6</v>
      </c>
      <c r="D107" s="634">
        <f>'[10]Lagged.Calendar HDDs'!F42</f>
        <v>0</v>
      </c>
      <c r="E107" s="634">
        <f>'[10]Lagged.Calendar HDDs'!G42</f>
        <v>3</v>
      </c>
      <c r="F107" s="634">
        <f>'[10]Lagged.Calendar HDDs'!H42</f>
        <v>1</v>
      </c>
      <c r="G107" s="634">
        <f>'[10]Lagged.Calendar HDDs'!I42</f>
        <v>3</v>
      </c>
      <c r="H107" s="706">
        <f t="shared" si="18"/>
        <v>3</v>
      </c>
      <c r="J107" s="699">
        <f t="shared" si="20"/>
        <v>41898</v>
      </c>
      <c r="K107" s="630">
        <f>'[10]10yr Lagged Norms'!E57</f>
        <v>1.2</v>
      </c>
      <c r="L107" s="630">
        <f>'[10]10yr Lagged Norms'!F57</f>
        <v>0.3</v>
      </c>
      <c r="M107" s="630">
        <f>'[10]10yr Lagged Norms'!G57</f>
        <v>2</v>
      </c>
      <c r="N107" s="630">
        <f>'[10]10yr Lagged Norms'!H57</f>
        <v>0.5</v>
      </c>
      <c r="O107" s="630">
        <f>'[10]10yr Lagged Norms'!I57</f>
        <v>0.8</v>
      </c>
      <c r="P107" s="707">
        <f t="shared" si="19"/>
        <v>1</v>
      </c>
    </row>
    <row r="108" spans="2:16" x14ac:dyDescent="0.2">
      <c r="B108" s="708">
        <f t="shared" si="21"/>
        <v>41899</v>
      </c>
      <c r="C108" s="634">
        <f>'[10]Lagged.Calendar HDDs'!E43</f>
        <v>6</v>
      </c>
      <c r="D108" s="634">
        <f>'[10]Lagged.Calendar HDDs'!F43</f>
        <v>0</v>
      </c>
      <c r="E108" s="634">
        <f>'[10]Lagged.Calendar HDDs'!G43</f>
        <v>3</v>
      </c>
      <c r="F108" s="634">
        <f>'[10]Lagged.Calendar HDDs'!H43</f>
        <v>2</v>
      </c>
      <c r="G108" s="634">
        <f>'[10]Lagged.Calendar HDDs'!I43</f>
        <v>4</v>
      </c>
      <c r="H108" s="706">
        <f t="shared" si="18"/>
        <v>3</v>
      </c>
      <c r="J108" s="699">
        <f t="shared" si="20"/>
        <v>41899</v>
      </c>
      <c r="K108" s="630">
        <f>'[10]10yr Lagged Norms'!E58</f>
        <v>0.7</v>
      </c>
      <c r="L108" s="630">
        <f>'[10]10yr Lagged Norms'!F58</f>
        <v>0</v>
      </c>
      <c r="M108" s="630">
        <f>'[10]10yr Lagged Norms'!G58</f>
        <v>0.8</v>
      </c>
      <c r="N108" s="630">
        <f>'[10]10yr Lagged Norms'!H58</f>
        <v>0.2</v>
      </c>
      <c r="O108" s="630">
        <f>'[10]10yr Lagged Norms'!I58</f>
        <v>0.8</v>
      </c>
      <c r="P108" s="707">
        <f t="shared" si="19"/>
        <v>1</v>
      </c>
    </row>
    <row r="109" spans="2:16" x14ac:dyDescent="0.2">
      <c r="B109" s="708">
        <f t="shared" si="21"/>
        <v>41900</v>
      </c>
      <c r="C109" s="634">
        <f>'[10]Lagged.Calendar HDDs'!E44</f>
        <v>0</v>
      </c>
      <c r="D109" s="634">
        <f>'[10]Lagged.Calendar HDDs'!F44</f>
        <v>0</v>
      </c>
      <c r="E109" s="634">
        <f>'[10]Lagged.Calendar HDDs'!G44</f>
        <v>0</v>
      </c>
      <c r="F109" s="634">
        <f>'[10]Lagged.Calendar HDDs'!H44</f>
        <v>0</v>
      </c>
      <c r="G109" s="634">
        <f>'[10]Lagged.Calendar HDDs'!I44</f>
        <v>0</v>
      </c>
      <c r="H109" s="706">
        <f t="shared" si="18"/>
        <v>0</v>
      </c>
      <c r="J109" s="699">
        <f t="shared" si="20"/>
        <v>41900</v>
      </c>
      <c r="K109" s="630">
        <f>'[10]10yr Lagged Norms'!E59</f>
        <v>0.6</v>
      </c>
      <c r="L109" s="630">
        <f>'[10]10yr Lagged Norms'!F59</f>
        <v>0.3</v>
      </c>
      <c r="M109" s="630">
        <f>'[10]10yr Lagged Norms'!G59</f>
        <v>0.7</v>
      </c>
      <c r="N109" s="630">
        <f>'[10]10yr Lagged Norms'!H59</f>
        <v>0.2</v>
      </c>
      <c r="O109" s="630">
        <f>'[10]10yr Lagged Norms'!I59</f>
        <v>1</v>
      </c>
      <c r="P109" s="707">
        <f t="shared" si="19"/>
        <v>1</v>
      </c>
    </row>
    <row r="110" spans="2:16" x14ac:dyDescent="0.2">
      <c r="B110" s="708">
        <f t="shared" si="21"/>
        <v>41901</v>
      </c>
      <c r="C110" s="634">
        <f>'[10]Lagged.Calendar HDDs'!E45</f>
        <v>0</v>
      </c>
      <c r="D110" s="634">
        <f>'[10]Lagged.Calendar HDDs'!F45</f>
        <v>0</v>
      </c>
      <c r="E110" s="634">
        <f>'[10]Lagged.Calendar HDDs'!G45</f>
        <v>0</v>
      </c>
      <c r="F110" s="634">
        <f>'[10]Lagged.Calendar HDDs'!H45</f>
        <v>0</v>
      </c>
      <c r="G110" s="634">
        <f>'[10]Lagged.Calendar HDDs'!I45</f>
        <v>0</v>
      </c>
      <c r="H110" s="706">
        <f t="shared" si="18"/>
        <v>0</v>
      </c>
      <c r="J110" s="699">
        <f t="shared" si="20"/>
        <v>41901</v>
      </c>
      <c r="K110" s="630">
        <f>'[10]10yr Lagged Norms'!E60</f>
        <v>1.4</v>
      </c>
      <c r="L110" s="630">
        <f>'[10]10yr Lagged Norms'!F60</f>
        <v>0.5</v>
      </c>
      <c r="M110" s="630">
        <f>'[10]10yr Lagged Norms'!G60</f>
        <v>1.4</v>
      </c>
      <c r="N110" s="630">
        <f>'[10]10yr Lagged Norms'!H60</f>
        <v>1</v>
      </c>
      <c r="O110" s="630">
        <f>'[10]10yr Lagged Norms'!I60</f>
        <v>1.2</v>
      </c>
      <c r="P110" s="707">
        <f t="shared" si="19"/>
        <v>1</v>
      </c>
    </row>
    <row r="111" spans="2:16" x14ac:dyDescent="0.2">
      <c r="B111" s="708">
        <f t="shared" si="21"/>
        <v>41902</v>
      </c>
      <c r="C111" s="634">
        <f>'[10]Lagged.Calendar HDDs'!E46</f>
        <v>0</v>
      </c>
      <c r="D111" s="634">
        <f>'[10]Lagged.Calendar HDDs'!F46</f>
        <v>0</v>
      </c>
      <c r="E111" s="634">
        <f>'[10]Lagged.Calendar HDDs'!G46</f>
        <v>0</v>
      </c>
      <c r="F111" s="634">
        <f>'[10]Lagged.Calendar HDDs'!H46</f>
        <v>0</v>
      </c>
      <c r="G111" s="634">
        <f>'[10]Lagged.Calendar HDDs'!I46</f>
        <v>0</v>
      </c>
      <c r="H111" s="706">
        <f t="shared" si="18"/>
        <v>0</v>
      </c>
      <c r="J111" s="699">
        <f t="shared" si="20"/>
        <v>41902</v>
      </c>
      <c r="K111" s="630">
        <f>'[10]10yr Lagged Norms'!E61</f>
        <v>1</v>
      </c>
      <c r="L111" s="630">
        <f>'[10]10yr Lagged Norms'!F61</f>
        <v>0.4</v>
      </c>
      <c r="M111" s="630">
        <f>'[10]10yr Lagged Norms'!G61</f>
        <v>1.9</v>
      </c>
      <c r="N111" s="630">
        <f>'[10]10yr Lagged Norms'!H61</f>
        <v>1.2</v>
      </c>
      <c r="O111" s="630">
        <f>'[10]10yr Lagged Norms'!I61</f>
        <v>0.9</v>
      </c>
      <c r="P111" s="707">
        <f t="shared" si="19"/>
        <v>1</v>
      </c>
    </row>
    <row r="112" spans="2:16" x14ac:dyDescent="0.2">
      <c r="B112" s="708">
        <f t="shared" si="21"/>
        <v>41903</v>
      </c>
      <c r="C112" s="634">
        <f>'[10]Lagged.Calendar HDDs'!E47</f>
        <v>0</v>
      </c>
      <c r="D112" s="634">
        <f>'[10]Lagged.Calendar HDDs'!F47</f>
        <v>0</v>
      </c>
      <c r="E112" s="634">
        <f>'[10]Lagged.Calendar HDDs'!G47</f>
        <v>0</v>
      </c>
      <c r="F112" s="634">
        <f>'[10]Lagged.Calendar HDDs'!H47</f>
        <v>0</v>
      </c>
      <c r="G112" s="634">
        <f>'[10]Lagged.Calendar HDDs'!I47</f>
        <v>0</v>
      </c>
      <c r="H112" s="706">
        <f t="shared" si="18"/>
        <v>0</v>
      </c>
      <c r="J112" s="699">
        <f t="shared" si="20"/>
        <v>41903</v>
      </c>
      <c r="K112" s="630">
        <f>'[10]10yr Lagged Norms'!E62</f>
        <v>0.8</v>
      </c>
      <c r="L112" s="630">
        <f>'[10]10yr Lagged Norms'!F62</f>
        <v>0.1</v>
      </c>
      <c r="M112" s="630">
        <f>'[10]10yr Lagged Norms'!G62</f>
        <v>1.1000000000000001</v>
      </c>
      <c r="N112" s="630">
        <f>'[10]10yr Lagged Norms'!H62</f>
        <v>0.7</v>
      </c>
      <c r="O112" s="630">
        <f>'[10]10yr Lagged Norms'!I62</f>
        <v>0.5</v>
      </c>
      <c r="P112" s="707">
        <f t="shared" si="19"/>
        <v>1</v>
      </c>
    </row>
    <row r="113" spans="2:16" x14ac:dyDescent="0.2">
      <c r="B113" s="708">
        <f t="shared" si="21"/>
        <v>41904</v>
      </c>
      <c r="C113" s="634">
        <f>'[10]Lagged.Calendar HDDs'!E48</f>
        <v>4</v>
      </c>
      <c r="D113" s="634">
        <f>'[10]Lagged.Calendar HDDs'!F48</f>
        <v>0</v>
      </c>
      <c r="E113" s="634">
        <f>'[10]Lagged.Calendar HDDs'!G48</f>
        <v>5</v>
      </c>
      <c r="F113" s="634">
        <f>'[10]Lagged.Calendar HDDs'!H48</f>
        <v>3</v>
      </c>
      <c r="G113" s="634">
        <f>'[10]Lagged.Calendar HDDs'!I48</f>
        <v>1</v>
      </c>
      <c r="H113" s="706">
        <f t="shared" si="18"/>
        <v>2</v>
      </c>
      <c r="J113" s="699">
        <f t="shared" si="20"/>
        <v>41904</v>
      </c>
      <c r="K113" s="630">
        <f>'[10]10yr Lagged Norms'!E63</f>
        <v>1.1000000000000001</v>
      </c>
      <c r="L113" s="630">
        <f>'[10]10yr Lagged Norms'!F63</f>
        <v>0.1</v>
      </c>
      <c r="M113" s="630">
        <f>'[10]10yr Lagged Norms'!G63</f>
        <v>1.8</v>
      </c>
      <c r="N113" s="630">
        <f>'[10]10yr Lagged Norms'!H63</f>
        <v>0.7</v>
      </c>
      <c r="O113" s="630">
        <f>'[10]10yr Lagged Norms'!I63</f>
        <v>0.7</v>
      </c>
      <c r="P113" s="707">
        <f t="shared" si="19"/>
        <v>1</v>
      </c>
    </row>
    <row r="114" spans="2:16" x14ac:dyDescent="0.2">
      <c r="B114" s="708">
        <f t="shared" si="21"/>
        <v>41905</v>
      </c>
      <c r="C114" s="634">
        <f>'[10]Lagged.Calendar HDDs'!E49</f>
        <v>4</v>
      </c>
      <c r="D114" s="634">
        <f>'[10]Lagged.Calendar HDDs'!F49</f>
        <v>1</v>
      </c>
      <c r="E114" s="634">
        <f>'[10]Lagged.Calendar HDDs'!G49</f>
        <v>6</v>
      </c>
      <c r="F114" s="634">
        <f>'[10]Lagged.Calendar HDDs'!H49</f>
        <v>2</v>
      </c>
      <c r="G114" s="634">
        <f>'[10]Lagged.Calendar HDDs'!I49</f>
        <v>2</v>
      </c>
      <c r="H114" s="706">
        <f t="shared" si="18"/>
        <v>3</v>
      </c>
      <c r="J114" s="699">
        <f t="shared" si="20"/>
        <v>41905</v>
      </c>
      <c r="K114" s="630">
        <f>'[10]10yr Lagged Norms'!E64</f>
        <v>2.1</v>
      </c>
      <c r="L114" s="630">
        <f>'[10]10yr Lagged Norms'!F64</f>
        <v>1</v>
      </c>
      <c r="M114" s="630">
        <f>'[10]10yr Lagged Norms'!G64</f>
        <v>3.2</v>
      </c>
      <c r="N114" s="630">
        <f>'[10]10yr Lagged Norms'!H64</f>
        <v>1.5</v>
      </c>
      <c r="O114" s="630">
        <f>'[10]10yr Lagged Norms'!I64</f>
        <v>2</v>
      </c>
      <c r="P114" s="707">
        <f t="shared" si="19"/>
        <v>2</v>
      </c>
    </row>
    <row r="115" spans="2:16" x14ac:dyDescent="0.2">
      <c r="B115" s="708">
        <f t="shared" si="21"/>
        <v>41906</v>
      </c>
      <c r="C115" s="634">
        <f>'[10]Lagged.Calendar HDDs'!E50</f>
        <v>1</v>
      </c>
      <c r="D115" s="634">
        <f>'[10]Lagged.Calendar HDDs'!F50</f>
        <v>0</v>
      </c>
      <c r="E115" s="634">
        <f>'[10]Lagged.Calendar HDDs'!G50</f>
        <v>1</v>
      </c>
      <c r="F115" s="634">
        <f>'[10]Lagged.Calendar HDDs'!H50</f>
        <v>0</v>
      </c>
      <c r="G115" s="634">
        <f>'[10]Lagged.Calendar HDDs'!I50</f>
        <v>1</v>
      </c>
      <c r="H115" s="706">
        <f t="shared" si="18"/>
        <v>1</v>
      </c>
      <c r="J115" s="699">
        <f t="shared" si="20"/>
        <v>41906</v>
      </c>
      <c r="K115" s="630">
        <f>'[10]10yr Lagged Norms'!E65</f>
        <v>1.7</v>
      </c>
      <c r="L115" s="630">
        <f>'[10]10yr Lagged Norms'!F65</f>
        <v>0.9</v>
      </c>
      <c r="M115" s="630">
        <f>'[10]10yr Lagged Norms'!G65</f>
        <v>2.2000000000000002</v>
      </c>
      <c r="N115" s="630">
        <f>'[10]10yr Lagged Norms'!H65</f>
        <v>1.3</v>
      </c>
      <c r="O115" s="630">
        <f>'[10]10yr Lagged Norms'!I65</f>
        <v>1.2</v>
      </c>
      <c r="P115" s="707">
        <f t="shared" si="19"/>
        <v>1</v>
      </c>
    </row>
    <row r="116" spans="2:16" x14ac:dyDescent="0.2">
      <c r="B116" s="708">
        <f t="shared" si="21"/>
        <v>41907</v>
      </c>
      <c r="C116" s="634">
        <f>'[10]Lagged.Calendar HDDs'!E51</f>
        <v>0</v>
      </c>
      <c r="D116" s="634">
        <f>'[10]Lagged.Calendar HDDs'!F51</f>
        <v>0</v>
      </c>
      <c r="E116" s="634">
        <f>'[10]Lagged.Calendar HDDs'!G51</f>
        <v>0</v>
      </c>
      <c r="F116" s="634">
        <f>'[10]Lagged.Calendar HDDs'!H51</f>
        <v>0</v>
      </c>
      <c r="G116" s="634">
        <f>'[10]Lagged.Calendar HDDs'!I51</f>
        <v>0</v>
      </c>
      <c r="H116" s="706">
        <f t="shared" si="18"/>
        <v>0</v>
      </c>
      <c r="J116" s="699">
        <f t="shared" si="20"/>
        <v>41907</v>
      </c>
      <c r="K116" s="630">
        <f>'[10]10yr Lagged Norms'!E66</f>
        <v>1.1000000000000001</v>
      </c>
      <c r="L116" s="630">
        <f>'[10]10yr Lagged Norms'!F66</f>
        <v>0</v>
      </c>
      <c r="M116" s="630">
        <f>'[10]10yr Lagged Norms'!G66</f>
        <v>0.9</v>
      </c>
      <c r="N116" s="630">
        <f>'[10]10yr Lagged Norms'!H66</f>
        <v>0.1</v>
      </c>
      <c r="O116" s="630">
        <f>'[10]10yr Lagged Norms'!I66</f>
        <v>1.1000000000000001</v>
      </c>
      <c r="P116" s="707">
        <f t="shared" si="19"/>
        <v>1</v>
      </c>
    </row>
    <row r="117" spans="2:16" x14ac:dyDescent="0.2">
      <c r="B117" s="708">
        <f t="shared" si="21"/>
        <v>41908</v>
      </c>
      <c r="C117" s="634">
        <f>'[10]Lagged.Calendar HDDs'!E52</f>
        <v>0</v>
      </c>
      <c r="D117" s="634">
        <f>'[10]Lagged.Calendar HDDs'!F52</f>
        <v>0</v>
      </c>
      <c r="E117" s="634">
        <f>'[10]Lagged.Calendar HDDs'!G52</f>
        <v>0</v>
      </c>
      <c r="F117" s="634">
        <f>'[10]Lagged.Calendar HDDs'!H52</f>
        <v>0</v>
      </c>
      <c r="G117" s="634">
        <f>'[10]Lagged.Calendar HDDs'!I52</f>
        <v>0</v>
      </c>
      <c r="H117" s="706">
        <f t="shared" si="18"/>
        <v>0</v>
      </c>
      <c r="J117" s="699">
        <f t="shared" si="20"/>
        <v>41908</v>
      </c>
      <c r="K117" s="630">
        <f>'[10]10yr Lagged Norms'!E67</f>
        <v>0.8</v>
      </c>
      <c r="L117" s="630">
        <f>'[10]10yr Lagged Norms'!F67</f>
        <v>0.1</v>
      </c>
      <c r="M117" s="630">
        <f>'[10]10yr Lagged Norms'!G67</f>
        <v>1</v>
      </c>
      <c r="N117" s="630">
        <f>'[10]10yr Lagged Norms'!H67</f>
        <v>0.2</v>
      </c>
      <c r="O117" s="630">
        <f>'[10]10yr Lagged Norms'!I67</f>
        <v>0.8</v>
      </c>
      <c r="P117" s="707">
        <f t="shared" si="19"/>
        <v>1</v>
      </c>
    </row>
    <row r="118" spans="2:16" x14ac:dyDescent="0.2">
      <c r="B118" s="708">
        <f t="shared" si="21"/>
        <v>41909</v>
      </c>
      <c r="C118" s="634">
        <f>'[10]Lagged.Calendar HDDs'!E53</f>
        <v>0</v>
      </c>
      <c r="D118" s="634">
        <f>'[10]Lagged.Calendar HDDs'!F53</f>
        <v>0</v>
      </c>
      <c r="E118" s="634">
        <f>'[10]Lagged.Calendar HDDs'!G53</f>
        <v>0</v>
      </c>
      <c r="F118" s="634">
        <f>'[10]Lagged.Calendar HDDs'!H53</f>
        <v>0</v>
      </c>
      <c r="G118" s="634">
        <f>'[10]Lagged.Calendar HDDs'!I53</f>
        <v>0</v>
      </c>
      <c r="H118" s="706">
        <f t="shared" si="18"/>
        <v>0</v>
      </c>
      <c r="J118" s="699">
        <f t="shared" si="20"/>
        <v>41909</v>
      </c>
      <c r="K118" s="630">
        <f>'[10]10yr Lagged Norms'!E68</f>
        <v>0.3</v>
      </c>
      <c r="L118" s="630">
        <f>'[10]10yr Lagged Norms'!F68</f>
        <v>0.3</v>
      </c>
      <c r="M118" s="630">
        <f>'[10]10yr Lagged Norms'!G68</f>
        <v>1.4</v>
      </c>
      <c r="N118" s="630">
        <f>'[10]10yr Lagged Norms'!H68</f>
        <v>0.2</v>
      </c>
      <c r="O118" s="630">
        <f>'[10]10yr Lagged Norms'!I68</f>
        <v>0.6</v>
      </c>
      <c r="P118" s="707">
        <f t="shared" si="19"/>
        <v>1</v>
      </c>
    </row>
    <row r="119" spans="2:16" x14ac:dyDescent="0.2">
      <c r="B119" s="708">
        <f t="shared" si="21"/>
        <v>41910</v>
      </c>
      <c r="C119" s="634">
        <f>'[10]Lagged.Calendar HDDs'!E54</f>
        <v>0</v>
      </c>
      <c r="D119" s="634">
        <f>'[10]Lagged.Calendar HDDs'!F54</f>
        <v>0</v>
      </c>
      <c r="E119" s="634">
        <f>'[10]Lagged.Calendar HDDs'!G54</f>
        <v>0</v>
      </c>
      <c r="F119" s="634">
        <f>'[10]Lagged.Calendar HDDs'!H54</f>
        <v>0</v>
      </c>
      <c r="G119" s="634">
        <f>'[10]Lagged.Calendar HDDs'!I54</f>
        <v>0</v>
      </c>
      <c r="H119" s="706">
        <f t="shared" si="18"/>
        <v>0</v>
      </c>
      <c r="J119" s="699">
        <f t="shared" si="20"/>
        <v>41910</v>
      </c>
      <c r="K119" s="630">
        <f>'[10]10yr Lagged Norms'!E69</f>
        <v>1.7</v>
      </c>
      <c r="L119" s="630">
        <f>'[10]10yr Lagged Norms'!F69</f>
        <v>0.7</v>
      </c>
      <c r="M119" s="630">
        <f>'[10]10yr Lagged Norms'!G69</f>
        <v>2.6</v>
      </c>
      <c r="N119" s="630">
        <f>'[10]10yr Lagged Norms'!H69</f>
        <v>1.2</v>
      </c>
      <c r="O119" s="630">
        <f>'[10]10yr Lagged Norms'!I69</f>
        <v>1.5</v>
      </c>
      <c r="P119" s="707">
        <f t="shared" si="19"/>
        <v>2</v>
      </c>
    </row>
    <row r="120" spans="2:16" x14ac:dyDescent="0.2">
      <c r="B120" s="708">
        <f t="shared" si="21"/>
        <v>41911</v>
      </c>
      <c r="C120" s="634">
        <f>'[10]Lagged.Calendar HDDs'!E55</f>
        <v>0</v>
      </c>
      <c r="D120" s="634">
        <f>'[10]Lagged.Calendar HDDs'!F55</f>
        <v>0</v>
      </c>
      <c r="E120" s="634">
        <f>'[10]Lagged.Calendar HDDs'!G55</f>
        <v>0</v>
      </c>
      <c r="F120" s="634">
        <f>'[10]Lagged.Calendar HDDs'!H55</f>
        <v>0</v>
      </c>
      <c r="G120" s="634">
        <f>'[10]Lagged.Calendar HDDs'!I55</f>
        <v>0</v>
      </c>
      <c r="H120" s="706">
        <f t="shared" si="18"/>
        <v>0</v>
      </c>
      <c r="J120" s="699">
        <f t="shared" si="20"/>
        <v>41911</v>
      </c>
      <c r="K120" s="630">
        <f>'[10]10yr Lagged Norms'!E70</f>
        <v>3.3</v>
      </c>
      <c r="L120" s="630">
        <f>'[10]10yr Lagged Norms'!F70</f>
        <v>1.4</v>
      </c>
      <c r="M120" s="630">
        <f>'[10]10yr Lagged Norms'!G70</f>
        <v>4.3</v>
      </c>
      <c r="N120" s="630">
        <f>'[10]10yr Lagged Norms'!H70</f>
        <v>2.5</v>
      </c>
      <c r="O120" s="630">
        <f>'[10]10yr Lagged Norms'!I70</f>
        <v>3</v>
      </c>
      <c r="P120" s="707">
        <f t="shared" si="19"/>
        <v>3</v>
      </c>
    </row>
    <row r="121" spans="2:16" x14ac:dyDescent="0.2">
      <c r="B121" s="708">
        <f t="shared" si="21"/>
        <v>41912</v>
      </c>
      <c r="C121" s="634">
        <f>'[10]Lagged.Calendar HDDs'!E56</f>
        <v>0</v>
      </c>
      <c r="D121" s="634">
        <f>'[10]Lagged.Calendar HDDs'!F56</f>
        <v>0</v>
      </c>
      <c r="E121" s="634">
        <f>'[10]Lagged.Calendar HDDs'!G56</f>
        <v>0</v>
      </c>
      <c r="F121" s="634">
        <f>'[10]Lagged.Calendar HDDs'!H56</f>
        <v>0</v>
      </c>
      <c r="G121" s="634">
        <f>'[10]Lagged.Calendar HDDs'!I56</f>
        <v>0</v>
      </c>
      <c r="H121" s="706">
        <f t="shared" si="18"/>
        <v>0</v>
      </c>
      <c r="J121" s="699">
        <f t="shared" si="20"/>
        <v>41912</v>
      </c>
      <c r="K121" s="630">
        <f>'[10]10yr Lagged Norms'!E71</f>
        <v>3.1</v>
      </c>
      <c r="L121" s="630">
        <f>'[10]10yr Lagged Norms'!F71</f>
        <v>1.4</v>
      </c>
      <c r="M121" s="630">
        <f>'[10]10yr Lagged Norms'!G71</f>
        <v>3.6</v>
      </c>
      <c r="N121" s="630">
        <f>'[10]10yr Lagged Norms'!H71</f>
        <v>2.2999999999999998</v>
      </c>
      <c r="O121" s="630">
        <f>'[10]10yr Lagged Norms'!I71</f>
        <v>2.2000000000000002</v>
      </c>
      <c r="P121" s="707">
        <f t="shared" si="19"/>
        <v>2</v>
      </c>
    </row>
    <row r="122" spans="2:16" x14ac:dyDescent="0.2">
      <c r="B122" s="708">
        <f t="shared" si="21"/>
        <v>41913</v>
      </c>
      <c r="C122" s="634">
        <f>'[10]Lagged.Calendar HDDs'!E57</f>
        <v>0</v>
      </c>
      <c r="D122" s="634">
        <f>'[10]Lagged.Calendar HDDs'!F57</f>
        <v>0</v>
      </c>
      <c r="E122" s="634">
        <f>'[10]Lagged.Calendar HDDs'!G57</f>
        <v>0</v>
      </c>
      <c r="F122" s="634">
        <f>'[10]Lagged.Calendar HDDs'!H57</f>
        <v>0</v>
      </c>
      <c r="G122" s="634">
        <f>'[10]Lagged.Calendar HDDs'!I57</f>
        <v>0</v>
      </c>
      <c r="H122" s="706">
        <f t="shared" si="18"/>
        <v>0</v>
      </c>
      <c r="J122" s="699">
        <f t="shared" si="20"/>
        <v>41913</v>
      </c>
      <c r="K122" s="630">
        <f>'[10]10yr Lagged Norms'!E72</f>
        <v>3.5</v>
      </c>
      <c r="L122" s="630">
        <f>'[10]10yr Lagged Norms'!F72</f>
        <v>1.8</v>
      </c>
      <c r="M122" s="630">
        <f>'[10]10yr Lagged Norms'!G72</f>
        <v>5.0999999999999996</v>
      </c>
      <c r="N122" s="630">
        <f>'[10]10yr Lagged Norms'!H72</f>
        <v>3</v>
      </c>
      <c r="O122" s="630">
        <f>'[10]10yr Lagged Norms'!I72</f>
        <v>2.6</v>
      </c>
      <c r="P122" s="707">
        <f t="shared" si="19"/>
        <v>3</v>
      </c>
    </row>
    <row r="123" spans="2:16" x14ac:dyDescent="0.2">
      <c r="B123" s="708">
        <f t="shared" si="21"/>
        <v>41914</v>
      </c>
      <c r="C123" s="634">
        <f>'[10]Lagged.Calendar HDDs'!E58</f>
        <v>0</v>
      </c>
      <c r="D123" s="634">
        <f>'[10]Lagged.Calendar HDDs'!F58</f>
        <v>0</v>
      </c>
      <c r="E123" s="634">
        <f>'[10]Lagged.Calendar HDDs'!G58</f>
        <v>0</v>
      </c>
      <c r="F123" s="634">
        <f>'[10]Lagged.Calendar HDDs'!H58</f>
        <v>0</v>
      </c>
      <c r="G123" s="634">
        <f>'[10]Lagged.Calendar HDDs'!I58</f>
        <v>0</v>
      </c>
      <c r="H123" s="706">
        <f t="shared" si="18"/>
        <v>0</v>
      </c>
      <c r="J123" s="699">
        <f t="shared" si="20"/>
        <v>41914</v>
      </c>
      <c r="K123" s="630">
        <f>'[10]10yr Lagged Norms'!E73</f>
        <v>4</v>
      </c>
      <c r="L123" s="630">
        <f>'[10]10yr Lagged Norms'!F73</f>
        <v>2.6</v>
      </c>
      <c r="M123" s="630">
        <f>'[10]10yr Lagged Norms'!G73</f>
        <v>4</v>
      </c>
      <c r="N123" s="630">
        <f>'[10]10yr Lagged Norms'!H73</f>
        <v>2.2999999999999998</v>
      </c>
      <c r="O123" s="630">
        <f>'[10]10yr Lagged Norms'!I73</f>
        <v>3.6</v>
      </c>
      <c r="P123" s="707">
        <f t="shared" si="19"/>
        <v>3</v>
      </c>
    </row>
    <row r="124" spans="2:16" x14ac:dyDescent="0.2">
      <c r="B124" s="708">
        <f t="shared" si="21"/>
        <v>41915</v>
      </c>
      <c r="C124" s="634">
        <f>'[10]Lagged.Calendar HDDs'!E59</f>
        <v>6</v>
      </c>
      <c r="D124" s="634">
        <f>'[10]Lagged.Calendar HDDs'!F59</f>
        <v>1</v>
      </c>
      <c r="E124" s="634">
        <f>'[10]Lagged.Calendar HDDs'!G59</f>
        <v>3</v>
      </c>
      <c r="F124" s="634">
        <f>'[10]Lagged.Calendar HDDs'!H59</f>
        <v>0</v>
      </c>
      <c r="G124" s="634">
        <f>'[10]Lagged.Calendar HDDs'!I59</f>
        <v>7</v>
      </c>
      <c r="H124" s="706">
        <f t="shared" si="18"/>
        <v>5</v>
      </c>
      <c r="J124" s="699">
        <f t="shared" si="20"/>
        <v>41915</v>
      </c>
      <c r="K124" s="630">
        <f>'[10]10yr Lagged Norms'!E74</f>
        <v>4.5</v>
      </c>
      <c r="L124" s="630">
        <f>'[10]10yr Lagged Norms'!F74</f>
        <v>3.2</v>
      </c>
      <c r="M124" s="630">
        <f>'[10]10yr Lagged Norms'!G74</f>
        <v>4.7</v>
      </c>
      <c r="N124" s="630">
        <f>'[10]10yr Lagged Norms'!H74</f>
        <v>2.5</v>
      </c>
      <c r="O124" s="630">
        <f>'[10]10yr Lagged Norms'!I74</f>
        <v>4.3</v>
      </c>
      <c r="P124" s="707">
        <f t="shared" si="19"/>
        <v>4</v>
      </c>
    </row>
    <row r="125" spans="2:16" x14ac:dyDescent="0.2">
      <c r="B125" s="708">
        <f t="shared" si="21"/>
        <v>41916</v>
      </c>
      <c r="C125" s="634">
        <f>'[10]Lagged.Calendar HDDs'!E60</f>
        <v>17</v>
      </c>
      <c r="D125" s="634">
        <f>'[10]Lagged.Calendar HDDs'!F60</f>
        <v>15</v>
      </c>
      <c r="E125" s="634">
        <f>'[10]Lagged.Calendar HDDs'!G60</f>
        <v>16</v>
      </c>
      <c r="F125" s="634">
        <f>'[10]Lagged.Calendar HDDs'!H60</f>
        <v>13</v>
      </c>
      <c r="G125" s="634">
        <f>'[10]Lagged.Calendar HDDs'!I60</f>
        <v>18</v>
      </c>
      <c r="H125" s="706">
        <f t="shared" si="18"/>
        <v>17</v>
      </c>
      <c r="J125" s="699">
        <f t="shared" si="20"/>
        <v>41916</v>
      </c>
      <c r="K125" s="630">
        <f>'[10]10yr Lagged Norms'!E75</f>
        <v>4.8</v>
      </c>
      <c r="L125" s="630">
        <f>'[10]10yr Lagged Norms'!F75</f>
        <v>4.4000000000000004</v>
      </c>
      <c r="M125" s="630">
        <f>'[10]10yr Lagged Norms'!G75</f>
        <v>5.0999999999999996</v>
      </c>
      <c r="N125" s="630">
        <f>'[10]10yr Lagged Norms'!H75</f>
        <v>3.3</v>
      </c>
      <c r="O125" s="630">
        <f>'[10]10yr Lagged Norms'!I75</f>
        <v>5.5</v>
      </c>
      <c r="P125" s="707">
        <f t="shared" si="19"/>
        <v>5</v>
      </c>
    </row>
    <row r="126" spans="2:16" x14ac:dyDescent="0.2">
      <c r="B126" s="708">
        <f t="shared" si="21"/>
        <v>41917</v>
      </c>
      <c r="C126" s="634">
        <f>'[10]Lagged.Calendar HDDs'!E61</f>
        <v>10</v>
      </c>
      <c r="D126" s="634">
        <f>'[10]Lagged.Calendar HDDs'!F61</f>
        <v>9</v>
      </c>
      <c r="E126" s="634">
        <f>'[10]Lagged.Calendar HDDs'!G61</f>
        <v>12</v>
      </c>
      <c r="F126" s="634">
        <f>'[10]Lagged.Calendar HDDs'!H61</f>
        <v>12</v>
      </c>
      <c r="G126" s="634">
        <f>'[10]Lagged.Calendar HDDs'!I61</f>
        <v>9</v>
      </c>
      <c r="H126" s="706">
        <f t="shared" si="18"/>
        <v>10</v>
      </c>
      <c r="J126" s="699">
        <f t="shared" si="20"/>
        <v>41917</v>
      </c>
      <c r="K126" s="630">
        <f>'[10]10yr Lagged Norms'!E76</f>
        <v>4.7</v>
      </c>
      <c r="L126" s="630">
        <f>'[10]10yr Lagged Norms'!F76</f>
        <v>2.5</v>
      </c>
      <c r="M126" s="630">
        <f>'[10]10yr Lagged Norms'!G76</f>
        <v>3.9</v>
      </c>
      <c r="N126" s="630">
        <f>'[10]10yr Lagged Norms'!H76</f>
        <v>3</v>
      </c>
      <c r="O126" s="630">
        <f>'[10]10yr Lagged Norms'!I76</f>
        <v>4.0999999999999996</v>
      </c>
      <c r="P126" s="707">
        <f t="shared" si="19"/>
        <v>4</v>
      </c>
    </row>
    <row r="127" spans="2:16" x14ac:dyDescent="0.2">
      <c r="B127" s="708">
        <f t="shared" si="21"/>
        <v>41918</v>
      </c>
      <c r="C127" s="634">
        <f>'[10]Lagged.Calendar HDDs'!E62</f>
        <v>4</v>
      </c>
      <c r="D127" s="634">
        <f>'[10]Lagged.Calendar HDDs'!F62</f>
        <v>0</v>
      </c>
      <c r="E127" s="634">
        <f>'[10]Lagged.Calendar HDDs'!G62</f>
        <v>7</v>
      </c>
      <c r="F127" s="634">
        <f>'[10]Lagged.Calendar HDDs'!H62</f>
        <v>3</v>
      </c>
      <c r="G127" s="634">
        <f>'[10]Lagged.Calendar HDDs'!I62</f>
        <v>0</v>
      </c>
      <c r="H127" s="706">
        <f t="shared" si="18"/>
        <v>2</v>
      </c>
      <c r="J127" s="699">
        <f t="shared" si="20"/>
        <v>41918</v>
      </c>
      <c r="K127" s="630">
        <f>'[10]10yr Lagged Norms'!E77</f>
        <v>5.2</v>
      </c>
      <c r="L127" s="630">
        <f>'[10]10yr Lagged Norms'!F77</f>
        <v>2.2999999999999998</v>
      </c>
      <c r="M127" s="630">
        <f>'[10]10yr Lagged Norms'!G77</f>
        <v>5.2</v>
      </c>
      <c r="N127" s="630">
        <f>'[10]10yr Lagged Norms'!H77</f>
        <v>3.7</v>
      </c>
      <c r="O127" s="630">
        <f>'[10]10yr Lagged Norms'!I77</f>
        <v>4.5999999999999996</v>
      </c>
      <c r="P127" s="707">
        <f t="shared" si="19"/>
        <v>4</v>
      </c>
    </row>
    <row r="128" spans="2:16" x14ac:dyDescent="0.2">
      <c r="B128" s="708">
        <f t="shared" si="21"/>
        <v>41919</v>
      </c>
      <c r="C128" s="634">
        <f>'[10]Lagged.Calendar HDDs'!E63</f>
        <v>0</v>
      </c>
      <c r="D128" s="634">
        <f>'[10]Lagged.Calendar HDDs'!F63</f>
        <v>0</v>
      </c>
      <c r="E128" s="634">
        <f>'[10]Lagged.Calendar HDDs'!G63</f>
        <v>2</v>
      </c>
      <c r="F128" s="634">
        <f>'[10]Lagged.Calendar HDDs'!H63</f>
        <v>0</v>
      </c>
      <c r="G128" s="634">
        <f>'[10]Lagged.Calendar HDDs'!I63</f>
        <v>0</v>
      </c>
      <c r="H128" s="706">
        <f t="shared" si="18"/>
        <v>0</v>
      </c>
      <c r="J128" s="699">
        <f t="shared" si="20"/>
        <v>41919</v>
      </c>
      <c r="K128" s="630">
        <f>'[10]10yr Lagged Norms'!E78</f>
        <v>5.4</v>
      </c>
      <c r="L128" s="630">
        <f>'[10]10yr Lagged Norms'!F78</f>
        <v>3.6</v>
      </c>
      <c r="M128" s="630">
        <f>'[10]10yr Lagged Norms'!G78</f>
        <v>5.8</v>
      </c>
      <c r="N128" s="630">
        <f>'[10]10yr Lagged Norms'!H78</f>
        <v>4.7</v>
      </c>
      <c r="O128" s="630">
        <f>'[10]10yr Lagged Norms'!I78</f>
        <v>4.8</v>
      </c>
      <c r="P128" s="707">
        <f t="shared" si="19"/>
        <v>5</v>
      </c>
    </row>
    <row r="129" spans="2:16" x14ac:dyDescent="0.2">
      <c r="B129" s="708">
        <f t="shared" si="21"/>
        <v>41920</v>
      </c>
      <c r="C129" s="634">
        <f>'[10]Lagged.Calendar HDDs'!E64</f>
        <v>3</v>
      </c>
      <c r="D129" s="634">
        <f>'[10]Lagged.Calendar HDDs'!F64</f>
        <v>0</v>
      </c>
      <c r="E129" s="634">
        <f>'[10]Lagged.Calendar HDDs'!G64</f>
        <v>2</v>
      </c>
      <c r="F129" s="634">
        <f>'[10]Lagged.Calendar HDDs'!H64</f>
        <v>1</v>
      </c>
      <c r="G129" s="634">
        <f>'[10]Lagged.Calendar HDDs'!I64</f>
        <v>0</v>
      </c>
      <c r="H129" s="706">
        <f t="shared" si="18"/>
        <v>1</v>
      </c>
      <c r="J129" s="699">
        <f t="shared" si="20"/>
        <v>41920</v>
      </c>
      <c r="K129" s="630">
        <f>'[10]10yr Lagged Norms'!E79</f>
        <v>5.4</v>
      </c>
      <c r="L129" s="630">
        <f>'[10]10yr Lagged Norms'!F79</f>
        <v>2.5</v>
      </c>
      <c r="M129" s="630">
        <f>'[10]10yr Lagged Norms'!G79</f>
        <v>5.7</v>
      </c>
      <c r="N129" s="630">
        <f>'[10]10yr Lagged Norms'!H79</f>
        <v>4.0999999999999996</v>
      </c>
      <c r="O129" s="630">
        <f>'[10]10yr Lagged Norms'!I79</f>
        <v>4.5999999999999996</v>
      </c>
      <c r="P129" s="707">
        <f t="shared" si="19"/>
        <v>4</v>
      </c>
    </row>
    <row r="130" spans="2:16" x14ac:dyDescent="0.2">
      <c r="B130" s="708">
        <f t="shared" si="21"/>
        <v>41921</v>
      </c>
      <c r="C130" s="634">
        <f>'[10]Lagged.Calendar HDDs'!E65</f>
        <v>0</v>
      </c>
      <c r="D130" s="634">
        <f>'[10]Lagged.Calendar HDDs'!F65</f>
        <v>0</v>
      </c>
      <c r="E130" s="634">
        <f>'[10]Lagged.Calendar HDDs'!G65</f>
        <v>5</v>
      </c>
      <c r="F130" s="634">
        <f>'[10]Lagged.Calendar HDDs'!H65</f>
        <v>2</v>
      </c>
      <c r="G130" s="634">
        <f>'[10]Lagged.Calendar HDDs'!I65</f>
        <v>0</v>
      </c>
      <c r="H130" s="706">
        <f t="shared" si="18"/>
        <v>1</v>
      </c>
      <c r="J130" s="699">
        <f t="shared" si="20"/>
        <v>41921</v>
      </c>
      <c r="K130" s="630">
        <f>'[10]10yr Lagged Norms'!E80</f>
        <v>3.8</v>
      </c>
      <c r="L130" s="630">
        <f>'[10]10yr Lagged Norms'!F80</f>
        <v>2.2999999999999998</v>
      </c>
      <c r="M130" s="630">
        <f>'[10]10yr Lagged Norms'!G80</f>
        <v>4.5999999999999996</v>
      </c>
      <c r="N130" s="630">
        <f>'[10]10yr Lagged Norms'!H80</f>
        <v>3.3</v>
      </c>
      <c r="O130" s="630">
        <f>'[10]10yr Lagged Norms'!I80</f>
        <v>3.8</v>
      </c>
      <c r="P130" s="707">
        <f t="shared" si="19"/>
        <v>4</v>
      </c>
    </row>
    <row r="131" spans="2:16" x14ac:dyDescent="0.2">
      <c r="B131" s="708">
        <f t="shared" si="21"/>
        <v>41922</v>
      </c>
      <c r="C131" s="634">
        <f>'[10]Lagged.Calendar HDDs'!E66</f>
        <v>9</v>
      </c>
      <c r="D131" s="634">
        <f>'[10]Lagged.Calendar HDDs'!F66</f>
        <v>0</v>
      </c>
      <c r="E131" s="634">
        <f>'[10]Lagged.Calendar HDDs'!G66</f>
        <v>5</v>
      </c>
      <c r="F131" s="634">
        <f>'[10]Lagged.Calendar HDDs'!H66</f>
        <v>8</v>
      </c>
      <c r="G131" s="634">
        <f>'[10]Lagged.Calendar HDDs'!I66</f>
        <v>6</v>
      </c>
      <c r="H131" s="706">
        <f t="shared" si="18"/>
        <v>5</v>
      </c>
      <c r="J131" s="699">
        <f t="shared" si="20"/>
        <v>41922</v>
      </c>
      <c r="K131" s="630">
        <f>'[10]10yr Lagged Norms'!E81</f>
        <v>5.8</v>
      </c>
      <c r="L131" s="630">
        <f>'[10]10yr Lagged Norms'!F81</f>
        <v>2.6</v>
      </c>
      <c r="M131" s="630">
        <f>'[10]10yr Lagged Norms'!G81</f>
        <v>5.6</v>
      </c>
      <c r="N131" s="630">
        <f>'[10]10yr Lagged Norms'!H81</f>
        <v>4.7</v>
      </c>
      <c r="O131" s="630">
        <f>'[10]10yr Lagged Norms'!I81</f>
        <v>5.3</v>
      </c>
      <c r="P131" s="707">
        <f t="shared" si="19"/>
        <v>5</v>
      </c>
    </row>
    <row r="132" spans="2:16" x14ac:dyDescent="0.2">
      <c r="B132" s="708">
        <f t="shared" si="21"/>
        <v>41923</v>
      </c>
      <c r="C132" s="634">
        <f>'[10]Lagged.Calendar HDDs'!E67</f>
        <v>10</v>
      </c>
      <c r="D132" s="634">
        <f>'[10]Lagged.Calendar HDDs'!F67</f>
        <v>2</v>
      </c>
      <c r="E132" s="634">
        <f>'[10]Lagged.Calendar HDDs'!G67</f>
        <v>9</v>
      </c>
      <c r="F132" s="634">
        <f>'[10]Lagged.Calendar HDDs'!H67</f>
        <v>9</v>
      </c>
      <c r="G132" s="634">
        <f>'[10]Lagged.Calendar HDDs'!I67</f>
        <v>10</v>
      </c>
      <c r="H132" s="706">
        <f t="shared" si="18"/>
        <v>8</v>
      </c>
      <c r="J132" s="699">
        <f t="shared" si="20"/>
        <v>41923</v>
      </c>
      <c r="K132" s="630">
        <f>'[10]10yr Lagged Norms'!E82</f>
        <v>6.2</v>
      </c>
      <c r="L132" s="630">
        <f>'[10]10yr Lagged Norms'!F82</f>
        <v>3.6</v>
      </c>
      <c r="M132" s="630">
        <f>'[10]10yr Lagged Norms'!G82</f>
        <v>6.6</v>
      </c>
      <c r="N132" s="630">
        <f>'[10]10yr Lagged Norms'!H82</f>
        <v>5</v>
      </c>
      <c r="O132" s="630">
        <f>'[10]10yr Lagged Norms'!I82</f>
        <v>6.6</v>
      </c>
      <c r="P132" s="707">
        <f t="shared" si="19"/>
        <v>6</v>
      </c>
    </row>
    <row r="133" spans="2:16" x14ac:dyDescent="0.2">
      <c r="B133" s="708">
        <f t="shared" si="21"/>
        <v>41924</v>
      </c>
      <c r="C133" s="634">
        <f>'[10]Lagged.Calendar HDDs'!E68</f>
        <v>4</v>
      </c>
      <c r="D133" s="634">
        <f>'[10]Lagged.Calendar HDDs'!F68</f>
        <v>0</v>
      </c>
      <c r="E133" s="634">
        <f>'[10]Lagged.Calendar HDDs'!G68</f>
        <v>0</v>
      </c>
      <c r="F133" s="634">
        <f>'[10]Lagged.Calendar HDDs'!H68</f>
        <v>2</v>
      </c>
      <c r="G133" s="634">
        <f>'[10]Lagged.Calendar HDDs'!I68</f>
        <v>1</v>
      </c>
      <c r="H133" s="706">
        <f t="shared" si="18"/>
        <v>1</v>
      </c>
      <c r="J133" s="699">
        <f t="shared" si="20"/>
        <v>41924</v>
      </c>
      <c r="K133" s="630">
        <f>'[10]10yr Lagged Norms'!E83</f>
        <v>4.5999999999999996</v>
      </c>
      <c r="L133" s="630">
        <f>'[10]10yr Lagged Norms'!F83</f>
        <v>3.6</v>
      </c>
      <c r="M133" s="630">
        <f>'[10]10yr Lagged Norms'!G83</f>
        <v>5.8</v>
      </c>
      <c r="N133" s="630">
        <f>'[10]10yr Lagged Norms'!H83</f>
        <v>4.5</v>
      </c>
      <c r="O133" s="630">
        <f>'[10]10yr Lagged Norms'!I83</f>
        <v>4.9000000000000004</v>
      </c>
      <c r="P133" s="707">
        <f t="shared" si="19"/>
        <v>5</v>
      </c>
    </row>
    <row r="134" spans="2:16" x14ac:dyDescent="0.2">
      <c r="B134" s="708">
        <f t="shared" si="21"/>
        <v>41925</v>
      </c>
      <c r="C134" s="634">
        <f>'[10]Lagged.Calendar HDDs'!E69</f>
        <v>0</v>
      </c>
      <c r="D134" s="634">
        <f>'[10]Lagged.Calendar HDDs'!F69</f>
        <v>0</v>
      </c>
      <c r="E134" s="634">
        <f>'[10]Lagged.Calendar HDDs'!G69</f>
        <v>0</v>
      </c>
      <c r="F134" s="634">
        <f>'[10]Lagged.Calendar HDDs'!H69</f>
        <v>0</v>
      </c>
      <c r="G134" s="634">
        <f>'[10]Lagged.Calendar HDDs'!I69</f>
        <v>0</v>
      </c>
      <c r="H134" s="706">
        <f t="shared" si="18"/>
        <v>0</v>
      </c>
      <c r="J134" s="699">
        <f t="shared" si="20"/>
        <v>41925</v>
      </c>
      <c r="K134" s="630">
        <f>'[10]10yr Lagged Norms'!E84</f>
        <v>4.8</v>
      </c>
      <c r="L134" s="630">
        <f>'[10]10yr Lagged Norms'!F84</f>
        <v>2.1</v>
      </c>
      <c r="M134" s="630">
        <f>'[10]10yr Lagged Norms'!G84</f>
        <v>5.4</v>
      </c>
      <c r="N134" s="630">
        <f>'[10]10yr Lagged Norms'!H84</f>
        <v>3.7</v>
      </c>
      <c r="O134" s="630">
        <f>'[10]10yr Lagged Norms'!I84</f>
        <v>3.8</v>
      </c>
      <c r="P134" s="707">
        <f t="shared" si="19"/>
        <v>4</v>
      </c>
    </row>
    <row r="135" spans="2:16" x14ac:dyDescent="0.2">
      <c r="B135" s="708">
        <f t="shared" si="21"/>
        <v>41926</v>
      </c>
      <c r="C135" s="634">
        <f>'[10]Lagged.Calendar HDDs'!E70</f>
        <v>4</v>
      </c>
      <c r="D135" s="634">
        <f>'[10]Lagged.Calendar HDDs'!F70</f>
        <v>2</v>
      </c>
      <c r="E135" s="634">
        <f>'[10]Lagged.Calendar HDDs'!G70</f>
        <v>0</v>
      </c>
      <c r="F135" s="634">
        <f>'[10]Lagged.Calendar HDDs'!H70</f>
        <v>0</v>
      </c>
      <c r="G135" s="634">
        <f>'[10]Lagged.Calendar HDDs'!I70</f>
        <v>7</v>
      </c>
      <c r="H135" s="706">
        <f t="shared" si="18"/>
        <v>4</v>
      </c>
      <c r="J135" s="699">
        <f t="shared" si="20"/>
        <v>41926</v>
      </c>
      <c r="K135" s="630">
        <f>'[10]10yr Lagged Norms'!E85</f>
        <v>5.5</v>
      </c>
      <c r="L135" s="630">
        <f>'[10]10yr Lagged Norms'!F85</f>
        <v>2.7</v>
      </c>
      <c r="M135" s="630">
        <f>'[10]10yr Lagged Norms'!G85</f>
        <v>5.9</v>
      </c>
      <c r="N135" s="630">
        <f>'[10]10yr Lagged Norms'!H85</f>
        <v>4.3</v>
      </c>
      <c r="O135" s="630">
        <f>'[10]10yr Lagged Norms'!I85</f>
        <v>5.4</v>
      </c>
      <c r="P135" s="707">
        <f t="shared" si="19"/>
        <v>5</v>
      </c>
    </row>
    <row r="136" spans="2:16" x14ac:dyDescent="0.2">
      <c r="B136" s="708">
        <f t="shared" si="21"/>
        <v>41927</v>
      </c>
      <c r="C136" s="634">
        <f>'[10]Lagged.Calendar HDDs'!E71</f>
        <v>10</v>
      </c>
      <c r="D136" s="634">
        <f>'[10]Lagged.Calendar HDDs'!F71</f>
        <v>9</v>
      </c>
      <c r="E136" s="634">
        <f>'[10]Lagged.Calendar HDDs'!G71</f>
        <v>6</v>
      </c>
      <c r="F136" s="634">
        <f>'[10]Lagged.Calendar HDDs'!H71</f>
        <v>8</v>
      </c>
      <c r="G136" s="634">
        <f>'[10]Lagged.Calendar HDDs'!I71</f>
        <v>10</v>
      </c>
      <c r="H136" s="706">
        <f t="shared" si="18"/>
        <v>9</v>
      </c>
      <c r="J136" s="699">
        <f t="shared" si="20"/>
        <v>41927</v>
      </c>
      <c r="K136" s="630">
        <f>'[10]10yr Lagged Norms'!E86</f>
        <v>7.4</v>
      </c>
      <c r="L136" s="630">
        <f>'[10]10yr Lagged Norms'!F86</f>
        <v>4.5999999999999996</v>
      </c>
      <c r="M136" s="630">
        <f>'[10]10yr Lagged Norms'!G86</f>
        <v>8</v>
      </c>
      <c r="N136" s="630">
        <f>'[10]10yr Lagged Norms'!H86</f>
        <v>5.9</v>
      </c>
      <c r="O136" s="630">
        <f>'[10]10yr Lagged Norms'!I86</f>
        <v>6.6</v>
      </c>
      <c r="P136" s="707">
        <f t="shared" si="19"/>
        <v>6</v>
      </c>
    </row>
    <row r="137" spans="2:16" x14ac:dyDescent="0.2">
      <c r="B137" s="708">
        <f t="shared" si="21"/>
        <v>41928</v>
      </c>
      <c r="C137" s="634">
        <f>'[10]Lagged.Calendar HDDs'!E72</f>
        <v>9</v>
      </c>
      <c r="D137" s="634">
        <f>'[10]Lagged.Calendar HDDs'!F72</f>
        <v>10</v>
      </c>
      <c r="E137" s="634">
        <f>'[10]Lagged.Calendar HDDs'!G72</f>
        <v>7</v>
      </c>
      <c r="F137" s="634">
        <f>'[10]Lagged.Calendar HDDs'!H72</f>
        <v>7</v>
      </c>
      <c r="G137" s="634">
        <f>'[10]Lagged.Calendar HDDs'!I72</f>
        <v>6</v>
      </c>
      <c r="H137" s="706">
        <f t="shared" si="18"/>
        <v>8</v>
      </c>
      <c r="J137" s="699">
        <f t="shared" si="20"/>
        <v>41928</v>
      </c>
      <c r="K137" s="630">
        <f>'[10]10yr Lagged Norms'!E87</f>
        <v>7.9</v>
      </c>
      <c r="L137" s="630">
        <f>'[10]10yr Lagged Norms'!F87</f>
        <v>6</v>
      </c>
      <c r="M137" s="630">
        <f>'[10]10yr Lagged Norms'!G87</f>
        <v>9</v>
      </c>
      <c r="N137" s="630">
        <f>'[10]10yr Lagged Norms'!H87</f>
        <v>6.8</v>
      </c>
      <c r="O137" s="630">
        <f>'[10]10yr Lagged Norms'!I87</f>
        <v>7.2</v>
      </c>
      <c r="P137" s="707">
        <f t="shared" si="19"/>
        <v>7</v>
      </c>
    </row>
    <row r="138" spans="2:16" x14ac:dyDescent="0.2">
      <c r="B138" s="708">
        <f t="shared" si="21"/>
        <v>41929</v>
      </c>
      <c r="C138" s="634">
        <f>'[10]Lagged.Calendar HDDs'!E73</f>
        <v>2</v>
      </c>
      <c r="D138" s="634">
        <f>'[10]Lagged.Calendar HDDs'!F73</f>
        <v>1</v>
      </c>
      <c r="E138" s="634">
        <f>'[10]Lagged.Calendar HDDs'!G73</f>
        <v>2</v>
      </c>
      <c r="F138" s="634">
        <f>'[10]Lagged.Calendar HDDs'!H73</f>
        <v>2</v>
      </c>
      <c r="G138" s="634">
        <f>'[10]Lagged.Calendar HDDs'!I73</f>
        <v>1</v>
      </c>
      <c r="H138" s="706">
        <f t="shared" si="18"/>
        <v>1</v>
      </c>
      <c r="J138" s="699">
        <f t="shared" si="20"/>
        <v>41929</v>
      </c>
      <c r="K138" s="630">
        <f>'[10]10yr Lagged Norms'!E88</f>
        <v>6.2</v>
      </c>
      <c r="L138" s="630">
        <f>'[10]10yr Lagged Norms'!F88</f>
        <v>4.5</v>
      </c>
      <c r="M138" s="630">
        <f>'[10]10yr Lagged Norms'!G88</f>
        <v>7.2</v>
      </c>
      <c r="N138" s="630">
        <f>'[10]10yr Lagged Norms'!H88</f>
        <v>5.2</v>
      </c>
      <c r="O138" s="630">
        <f>'[10]10yr Lagged Norms'!I88</f>
        <v>5.0999999999999996</v>
      </c>
      <c r="P138" s="707">
        <f t="shared" si="19"/>
        <v>6</v>
      </c>
    </row>
    <row r="139" spans="2:16" x14ac:dyDescent="0.2">
      <c r="B139" s="708">
        <f t="shared" si="21"/>
        <v>41930</v>
      </c>
      <c r="C139" s="634">
        <f>'[10]Lagged.Calendar HDDs'!E74</f>
        <v>9</v>
      </c>
      <c r="D139" s="634">
        <f>'[10]Lagged.Calendar HDDs'!F74</f>
        <v>8</v>
      </c>
      <c r="E139" s="634">
        <f>'[10]Lagged.Calendar HDDs'!G74</f>
        <v>11</v>
      </c>
      <c r="F139" s="634">
        <f>'[10]Lagged.Calendar HDDs'!H74</f>
        <v>9</v>
      </c>
      <c r="G139" s="634">
        <f>'[10]Lagged.Calendar HDDs'!I74</f>
        <v>11</v>
      </c>
      <c r="H139" s="706">
        <f t="shared" si="18"/>
        <v>10</v>
      </c>
      <c r="J139" s="699">
        <f t="shared" si="20"/>
        <v>41930</v>
      </c>
      <c r="K139" s="630">
        <f>'[10]10yr Lagged Norms'!E89</f>
        <v>7.3</v>
      </c>
      <c r="L139" s="630">
        <f>'[10]10yr Lagged Norms'!F89</f>
        <v>5.6</v>
      </c>
      <c r="M139" s="630">
        <f>'[10]10yr Lagged Norms'!G89</f>
        <v>7.3</v>
      </c>
      <c r="N139" s="630">
        <f>'[10]10yr Lagged Norms'!H89</f>
        <v>6.1</v>
      </c>
      <c r="O139" s="630">
        <f>'[10]10yr Lagged Norms'!I89</f>
        <v>7.2</v>
      </c>
      <c r="P139" s="707">
        <f t="shared" si="19"/>
        <v>7</v>
      </c>
    </row>
    <row r="140" spans="2:16" x14ac:dyDescent="0.2">
      <c r="B140" s="708">
        <f t="shared" si="21"/>
        <v>41931</v>
      </c>
      <c r="C140" s="634">
        <f>'[10]Lagged.Calendar HDDs'!E75</f>
        <v>14</v>
      </c>
      <c r="D140" s="634">
        <f>'[10]Lagged.Calendar HDDs'!F75</f>
        <v>10</v>
      </c>
      <c r="E140" s="634">
        <f>'[10]Lagged.Calendar HDDs'!G75</f>
        <v>11</v>
      </c>
      <c r="F140" s="634">
        <f>'[10]Lagged.Calendar HDDs'!H75</f>
        <v>10</v>
      </c>
      <c r="G140" s="634">
        <f>'[10]Lagged.Calendar HDDs'!I75</f>
        <v>14</v>
      </c>
      <c r="H140" s="706">
        <f t="shared" ref="H140:H203" si="22">IFERROR(ROUND((C140*C$70)+(D140*D$70)+(E140*E$70)+(F140*F$70)+(G140*G$70),0),0)</f>
        <v>12</v>
      </c>
      <c r="J140" s="699">
        <f t="shared" si="20"/>
        <v>41931</v>
      </c>
      <c r="K140" s="630">
        <f>'[10]10yr Lagged Norms'!E90</f>
        <v>11.4</v>
      </c>
      <c r="L140" s="630">
        <f>'[10]10yr Lagged Norms'!F90</f>
        <v>9.1</v>
      </c>
      <c r="M140" s="630">
        <f>'[10]10yr Lagged Norms'!G90</f>
        <v>11.4</v>
      </c>
      <c r="N140" s="630">
        <f>'[10]10yr Lagged Norms'!H90</f>
        <v>10.1</v>
      </c>
      <c r="O140" s="630">
        <f>'[10]10yr Lagged Norms'!I90</f>
        <v>10.9</v>
      </c>
      <c r="P140" s="707">
        <f t="shared" ref="P140:P203" si="23">IFERROR(ROUND((K140*C$70)+(L140*D$70)+(M140*E$70)+(N140*F$70)+(O140*G$70),0),0)</f>
        <v>11</v>
      </c>
    </row>
    <row r="141" spans="2:16" x14ac:dyDescent="0.2">
      <c r="B141" s="708">
        <f t="shared" si="21"/>
        <v>41932</v>
      </c>
      <c r="C141" s="634">
        <f>'[10]Lagged.Calendar HDDs'!E76</f>
        <v>6</v>
      </c>
      <c r="D141" s="634">
        <f>'[10]Lagged.Calendar HDDs'!F76</f>
        <v>9</v>
      </c>
      <c r="E141" s="634">
        <f>'[10]Lagged.Calendar HDDs'!G76</f>
        <v>11</v>
      </c>
      <c r="F141" s="634">
        <f>'[10]Lagged.Calendar HDDs'!H76</f>
        <v>7</v>
      </c>
      <c r="G141" s="634">
        <f>'[10]Lagged.Calendar HDDs'!I76</f>
        <v>5</v>
      </c>
      <c r="H141" s="706">
        <f t="shared" si="22"/>
        <v>7</v>
      </c>
      <c r="J141" s="699">
        <f t="shared" ref="J141:J204" si="24">B141</f>
        <v>41932</v>
      </c>
      <c r="K141" s="630">
        <f>'[10]10yr Lagged Norms'!E91</f>
        <v>9.9</v>
      </c>
      <c r="L141" s="630">
        <f>'[10]10yr Lagged Norms'!F91</f>
        <v>9.3000000000000007</v>
      </c>
      <c r="M141" s="630">
        <f>'[10]10yr Lagged Norms'!G91</f>
        <v>12.6</v>
      </c>
      <c r="N141" s="630">
        <f>'[10]10yr Lagged Norms'!H91</f>
        <v>9.6999999999999993</v>
      </c>
      <c r="O141" s="630">
        <f>'[10]10yr Lagged Norms'!I91</f>
        <v>9.3000000000000007</v>
      </c>
      <c r="P141" s="707">
        <f t="shared" si="23"/>
        <v>10</v>
      </c>
    </row>
    <row r="142" spans="2:16" x14ac:dyDescent="0.2">
      <c r="B142" s="708">
        <f t="shared" ref="B142:B205" si="25">B141+1</f>
        <v>41933</v>
      </c>
      <c r="C142" s="634">
        <f>'[10]Lagged.Calendar HDDs'!E77</f>
        <v>10</v>
      </c>
      <c r="D142" s="634">
        <f>'[10]Lagged.Calendar HDDs'!F77</f>
        <v>5</v>
      </c>
      <c r="E142" s="634">
        <f>'[10]Lagged.Calendar HDDs'!G77</f>
        <v>11</v>
      </c>
      <c r="F142" s="634">
        <f>'[10]Lagged.Calendar HDDs'!H77</f>
        <v>9</v>
      </c>
      <c r="G142" s="634">
        <f>'[10]Lagged.Calendar HDDs'!I77</f>
        <v>7</v>
      </c>
      <c r="H142" s="706">
        <f t="shared" si="22"/>
        <v>8</v>
      </c>
      <c r="J142" s="699">
        <f t="shared" si="24"/>
        <v>41933</v>
      </c>
      <c r="K142" s="630">
        <f>'[10]10yr Lagged Norms'!E92</f>
        <v>9.6999999999999993</v>
      </c>
      <c r="L142" s="630">
        <f>'[10]10yr Lagged Norms'!F92</f>
        <v>6.9</v>
      </c>
      <c r="M142" s="630">
        <f>'[10]10yr Lagged Norms'!G92</f>
        <v>11</v>
      </c>
      <c r="N142" s="630">
        <f>'[10]10yr Lagged Norms'!H92</f>
        <v>8.1999999999999993</v>
      </c>
      <c r="O142" s="630">
        <f>'[10]10yr Lagged Norms'!I92</f>
        <v>7.3</v>
      </c>
      <c r="P142" s="707">
        <f t="shared" si="23"/>
        <v>8</v>
      </c>
    </row>
    <row r="143" spans="2:16" x14ac:dyDescent="0.2">
      <c r="B143" s="708">
        <f t="shared" si="25"/>
        <v>41934</v>
      </c>
      <c r="C143" s="634">
        <f>'[10]Lagged.Calendar HDDs'!E78</f>
        <v>13</v>
      </c>
      <c r="D143" s="634">
        <f>'[10]Lagged.Calendar HDDs'!F78</f>
        <v>11</v>
      </c>
      <c r="E143" s="634">
        <f>'[10]Lagged.Calendar HDDs'!G78</f>
        <v>15</v>
      </c>
      <c r="F143" s="634">
        <f>'[10]Lagged.Calendar HDDs'!H78</f>
        <v>12</v>
      </c>
      <c r="G143" s="634">
        <f>'[10]Lagged.Calendar HDDs'!I78</f>
        <v>13</v>
      </c>
      <c r="H143" s="706">
        <f t="shared" si="22"/>
        <v>13</v>
      </c>
      <c r="J143" s="699">
        <f t="shared" si="24"/>
        <v>41934</v>
      </c>
      <c r="K143" s="630">
        <f>'[10]10yr Lagged Norms'!E93</f>
        <v>11</v>
      </c>
      <c r="L143" s="630">
        <f>'[10]10yr Lagged Norms'!F93</f>
        <v>7.3</v>
      </c>
      <c r="M143" s="630">
        <f>'[10]10yr Lagged Norms'!G93</f>
        <v>12.3</v>
      </c>
      <c r="N143" s="630">
        <f>'[10]10yr Lagged Norms'!H93</f>
        <v>9.6999999999999993</v>
      </c>
      <c r="O143" s="630">
        <f>'[10]10yr Lagged Norms'!I93</f>
        <v>9.4</v>
      </c>
      <c r="P143" s="707">
        <f t="shared" si="23"/>
        <v>10</v>
      </c>
    </row>
    <row r="144" spans="2:16" x14ac:dyDescent="0.2">
      <c r="B144" s="708">
        <f t="shared" si="25"/>
        <v>41935</v>
      </c>
      <c r="C144" s="634">
        <f>'[10]Lagged.Calendar HDDs'!E79</f>
        <v>14</v>
      </c>
      <c r="D144" s="634">
        <f>'[10]Lagged.Calendar HDDs'!F79</f>
        <v>11</v>
      </c>
      <c r="E144" s="634">
        <f>'[10]Lagged.Calendar HDDs'!G79</f>
        <v>10</v>
      </c>
      <c r="F144" s="634">
        <f>'[10]Lagged.Calendar HDDs'!H79</f>
        <v>13</v>
      </c>
      <c r="G144" s="634">
        <f>'[10]Lagged.Calendar HDDs'!I79</f>
        <v>17</v>
      </c>
      <c r="H144" s="706">
        <f t="shared" si="22"/>
        <v>14</v>
      </c>
      <c r="J144" s="699">
        <f t="shared" si="24"/>
        <v>41935</v>
      </c>
      <c r="K144" s="630">
        <f>'[10]10yr Lagged Norms'!E94</f>
        <v>11.4</v>
      </c>
      <c r="L144" s="630">
        <f>'[10]10yr Lagged Norms'!F94</f>
        <v>8.3000000000000007</v>
      </c>
      <c r="M144" s="630">
        <f>'[10]10yr Lagged Norms'!G94</f>
        <v>11.4</v>
      </c>
      <c r="N144" s="630">
        <f>'[10]10yr Lagged Norms'!H94</f>
        <v>9.6</v>
      </c>
      <c r="O144" s="630">
        <f>'[10]10yr Lagged Norms'!I94</f>
        <v>11.3</v>
      </c>
      <c r="P144" s="707">
        <f t="shared" si="23"/>
        <v>11</v>
      </c>
    </row>
    <row r="145" spans="2:16" x14ac:dyDescent="0.2">
      <c r="B145" s="708">
        <f t="shared" si="25"/>
        <v>41936</v>
      </c>
      <c r="C145" s="634">
        <f>'[10]Lagged.Calendar HDDs'!E80</f>
        <v>9</v>
      </c>
      <c r="D145" s="634">
        <f>'[10]Lagged.Calendar HDDs'!F80</f>
        <v>6</v>
      </c>
      <c r="E145" s="634">
        <f>'[10]Lagged.Calendar HDDs'!G80</f>
        <v>12</v>
      </c>
      <c r="F145" s="634">
        <f>'[10]Lagged.Calendar HDDs'!H80</f>
        <v>10</v>
      </c>
      <c r="G145" s="634">
        <f>'[10]Lagged.Calendar HDDs'!I80</f>
        <v>10</v>
      </c>
      <c r="H145" s="706">
        <f t="shared" si="22"/>
        <v>9</v>
      </c>
      <c r="J145" s="699">
        <f t="shared" si="24"/>
        <v>41936</v>
      </c>
      <c r="K145" s="630">
        <f>'[10]10yr Lagged Norms'!E95</f>
        <v>12.1</v>
      </c>
      <c r="L145" s="630">
        <f>'[10]10yr Lagged Norms'!F95</f>
        <v>11</v>
      </c>
      <c r="M145" s="630">
        <f>'[10]10yr Lagged Norms'!G95</f>
        <v>13.6</v>
      </c>
      <c r="N145" s="630">
        <f>'[10]10yr Lagged Norms'!H95</f>
        <v>11.8</v>
      </c>
      <c r="O145" s="630">
        <f>'[10]10yr Lagged Norms'!I95</f>
        <v>11.5</v>
      </c>
      <c r="P145" s="707">
        <f t="shared" si="23"/>
        <v>12</v>
      </c>
    </row>
    <row r="146" spans="2:16" x14ac:dyDescent="0.2">
      <c r="B146" s="708">
        <f t="shared" si="25"/>
        <v>41937</v>
      </c>
      <c r="C146" s="634">
        <f>'[10]Lagged.Calendar HDDs'!E81</f>
        <v>0</v>
      </c>
      <c r="D146" s="634">
        <f>'[10]Lagged.Calendar HDDs'!F81</f>
        <v>2</v>
      </c>
      <c r="E146" s="634">
        <f>'[10]Lagged.Calendar HDDs'!G81</f>
        <v>6</v>
      </c>
      <c r="F146" s="634">
        <f>'[10]Lagged.Calendar HDDs'!H81</f>
        <v>2</v>
      </c>
      <c r="G146" s="634">
        <f>'[10]Lagged.Calendar HDDs'!I81</f>
        <v>0</v>
      </c>
      <c r="H146" s="706">
        <f t="shared" si="22"/>
        <v>1</v>
      </c>
      <c r="J146" s="699">
        <f t="shared" si="24"/>
        <v>41937</v>
      </c>
      <c r="K146" s="630">
        <f>'[10]10yr Lagged Norms'!E96</f>
        <v>11.3</v>
      </c>
      <c r="L146" s="630">
        <f>'[10]10yr Lagged Norms'!F96</f>
        <v>10.1</v>
      </c>
      <c r="M146" s="630">
        <f>'[10]10yr Lagged Norms'!G96</f>
        <v>13</v>
      </c>
      <c r="N146" s="630">
        <f>'[10]10yr Lagged Norms'!H96</f>
        <v>10.6</v>
      </c>
      <c r="O146" s="630">
        <f>'[10]10yr Lagged Norms'!I96</f>
        <v>10.9</v>
      </c>
      <c r="P146" s="707">
        <f t="shared" si="23"/>
        <v>11</v>
      </c>
    </row>
    <row r="147" spans="2:16" x14ac:dyDescent="0.2">
      <c r="B147" s="708">
        <f t="shared" si="25"/>
        <v>41938</v>
      </c>
      <c r="C147" s="634">
        <f>'[10]Lagged.Calendar HDDs'!E82</f>
        <v>3</v>
      </c>
      <c r="D147" s="634">
        <f>'[10]Lagged.Calendar HDDs'!F82</f>
        <v>0</v>
      </c>
      <c r="E147" s="634">
        <f>'[10]Lagged.Calendar HDDs'!G82</f>
        <v>4</v>
      </c>
      <c r="F147" s="634">
        <f>'[10]Lagged.Calendar HDDs'!H82</f>
        <v>2</v>
      </c>
      <c r="G147" s="634">
        <f>'[10]Lagged.Calendar HDDs'!I82</f>
        <v>0</v>
      </c>
      <c r="H147" s="706">
        <f t="shared" si="22"/>
        <v>1</v>
      </c>
      <c r="J147" s="699">
        <f t="shared" si="24"/>
        <v>41938</v>
      </c>
      <c r="K147" s="630">
        <f>'[10]10yr Lagged Norms'!E97</f>
        <v>11.1</v>
      </c>
      <c r="L147" s="630">
        <f>'[10]10yr Lagged Norms'!F97</f>
        <v>9.1999999999999993</v>
      </c>
      <c r="M147" s="630">
        <f>'[10]10yr Lagged Norms'!G97</f>
        <v>11</v>
      </c>
      <c r="N147" s="630">
        <f>'[10]10yr Lagged Norms'!H97</f>
        <v>9.1</v>
      </c>
      <c r="O147" s="630">
        <f>'[10]10yr Lagged Norms'!I97</f>
        <v>9.6999999999999993</v>
      </c>
      <c r="P147" s="707">
        <f t="shared" si="23"/>
        <v>10</v>
      </c>
    </row>
    <row r="148" spans="2:16" x14ac:dyDescent="0.2">
      <c r="B148" s="708">
        <f t="shared" si="25"/>
        <v>41939</v>
      </c>
      <c r="C148" s="634">
        <f>'[10]Lagged.Calendar HDDs'!E83</f>
        <v>0</v>
      </c>
      <c r="D148" s="634">
        <f>'[10]Lagged.Calendar HDDs'!F83</f>
        <v>0</v>
      </c>
      <c r="E148" s="634">
        <f>'[10]Lagged.Calendar HDDs'!G83</f>
        <v>0</v>
      </c>
      <c r="F148" s="634">
        <f>'[10]Lagged.Calendar HDDs'!H83</f>
        <v>0</v>
      </c>
      <c r="G148" s="634">
        <f>'[10]Lagged.Calendar HDDs'!I83</f>
        <v>0</v>
      </c>
      <c r="H148" s="706">
        <f t="shared" si="22"/>
        <v>0</v>
      </c>
      <c r="J148" s="699">
        <f t="shared" si="24"/>
        <v>41939</v>
      </c>
      <c r="K148" s="630">
        <f>'[10]10yr Lagged Norms'!E98</f>
        <v>12.6</v>
      </c>
      <c r="L148" s="630">
        <f>'[10]10yr Lagged Norms'!F98</f>
        <v>9.4</v>
      </c>
      <c r="M148" s="630">
        <f>'[10]10yr Lagged Norms'!G98</f>
        <v>14.2</v>
      </c>
      <c r="N148" s="630">
        <f>'[10]10yr Lagged Norms'!H98</f>
        <v>11.7</v>
      </c>
      <c r="O148" s="630">
        <f>'[10]10yr Lagged Norms'!I98</f>
        <v>11.9</v>
      </c>
      <c r="P148" s="707">
        <f t="shared" si="23"/>
        <v>12</v>
      </c>
    </row>
    <row r="149" spans="2:16" x14ac:dyDescent="0.2">
      <c r="B149" s="708">
        <f t="shared" si="25"/>
        <v>41940</v>
      </c>
      <c r="C149" s="634">
        <f>'[10]Lagged.Calendar HDDs'!E84</f>
        <v>1</v>
      </c>
      <c r="D149" s="634">
        <f>'[10]Lagged.Calendar HDDs'!F84</f>
        <v>0</v>
      </c>
      <c r="E149" s="634">
        <f>'[10]Lagged.Calendar HDDs'!G84</f>
        <v>0</v>
      </c>
      <c r="F149" s="634">
        <f>'[10]Lagged.Calendar HDDs'!H84</f>
        <v>0</v>
      </c>
      <c r="G149" s="634">
        <f>'[10]Lagged.Calendar HDDs'!I84</f>
        <v>3</v>
      </c>
      <c r="H149" s="706">
        <f t="shared" si="22"/>
        <v>1</v>
      </c>
      <c r="J149" s="699">
        <f t="shared" si="24"/>
        <v>41940</v>
      </c>
      <c r="K149" s="630">
        <f>'[10]10yr Lagged Norms'!E99</f>
        <v>14.9</v>
      </c>
      <c r="L149" s="630">
        <f>'[10]10yr Lagged Norms'!F99</f>
        <v>12.4</v>
      </c>
      <c r="M149" s="630">
        <f>'[10]10yr Lagged Norms'!G99</f>
        <v>16.399999999999999</v>
      </c>
      <c r="N149" s="630">
        <f>'[10]10yr Lagged Norms'!H99</f>
        <v>13.3</v>
      </c>
      <c r="O149" s="630">
        <f>'[10]10yr Lagged Norms'!I99</f>
        <v>15.1</v>
      </c>
      <c r="P149" s="707">
        <f t="shared" si="23"/>
        <v>15</v>
      </c>
    </row>
    <row r="150" spans="2:16" x14ac:dyDescent="0.2">
      <c r="B150" s="708">
        <f t="shared" si="25"/>
        <v>41941</v>
      </c>
      <c r="C150" s="634">
        <f>'[10]Lagged.Calendar HDDs'!E85</f>
        <v>13</v>
      </c>
      <c r="D150" s="634">
        <f>'[10]Lagged.Calendar HDDs'!F85</f>
        <v>7</v>
      </c>
      <c r="E150" s="634">
        <f>'[10]Lagged.Calendar HDDs'!G85</f>
        <v>10</v>
      </c>
      <c r="F150" s="634">
        <f>'[10]Lagged.Calendar HDDs'!H85</f>
        <v>10</v>
      </c>
      <c r="G150" s="634">
        <f>'[10]Lagged.Calendar HDDs'!I85</f>
        <v>13</v>
      </c>
      <c r="H150" s="706">
        <f t="shared" si="22"/>
        <v>11</v>
      </c>
      <c r="J150" s="699">
        <f t="shared" si="24"/>
        <v>41941</v>
      </c>
      <c r="K150" s="630">
        <f>'[10]10yr Lagged Norms'!E100</f>
        <v>16.2</v>
      </c>
      <c r="L150" s="630">
        <f>'[10]10yr Lagged Norms'!F100</f>
        <v>12.9</v>
      </c>
      <c r="M150" s="630">
        <f>'[10]10yr Lagged Norms'!G100</f>
        <v>17.399999999999999</v>
      </c>
      <c r="N150" s="630">
        <f>'[10]10yr Lagged Norms'!H100</f>
        <v>14.7</v>
      </c>
      <c r="O150" s="630">
        <f>'[10]10yr Lagged Norms'!I100</f>
        <v>14.8</v>
      </c>
      <c r="P150" s="707">
        <f t="shared" si="23"/>
        <v>15</v>
      </c>
    </row>
    <row r="151" spans="2:16" x14ac:dyDescent="0.2">
      <c r="B151" s="708">
        <f t="shared" si="25"/>
        <v>41942</v>
      </c>
      <c r="C151" s="634">
        <f>'[10]Lagged.Calendar HDDs'!E86</f>
        <v>18</v>
      </c>
      <c r="D151" s="634">
        <f>'[10]Lagged.Calendar HDDs'!F86</f>
        <v>13</v>
      </c>
      <c r="E151" s="634">
        <f>'[10]Lagged.Calendar HDDs'!G86</f>
        <v>19</v>
      </c>
      <c r="F151" s="634">
        <f>'[10]Lagged.Calendar HDDs'!H86</f>
        <v>16</v>
      </c>
      <c r="G151" s="634">
        <f>'[10]Lagged.Calendar HDDs'!I86</f>
        <v>16</v>
      </c>
      <c r="H151" s="706">
        <f t="shared" si="22"/>
        <v>16</v>
      </c>
      <c r="J151" s="699">
        <f t="shared" si="24"/>
        <v>41942</v>
      </c>
      <c r="K151" s="630">
        <f>'[10]10yr Lagged Norms'!E101</f>
        <v>12.1</v>
      </c>
      <c r="L151" s="630">
        <f>'[10]10yr Lagged Norms'!F101</f>
        <v>10.5</v>
      </c>
      <c r="M151" s="630">
        <f>'[10]10yr Lagged Norms'!G101</f>
        <v>14.1</v>
      </c>
      <c r="N151" s="630">
        <f>'[10]10yr Lagged Norms'!H101</f>
        <v>11.4</v>
      </c>
      <c r="O151" s="630">
        <f>'[10]10yr Lagged Norms'!I101</f>
        <v>11.3</v>
      </c>
      <c r="P151" s="707">
        <f t="shared" si="23"/>
        <v>12</v>
      </c>
    </row>
    <row r="152" spans="2:16" x14ac:dyDescent="0.2">
      <c r="B152" s="708">
        <f t="shared" si="25"/>
        <v>41943</v>
      </c>
      <c r="C152" s="634">
        <f>'[10]Lagged.Calendar HDDs'!E87</f>
        <v>20</v>
      </c>
      <c r="D152" s="634">
        <f>'[10]Lagged.Calendar HDDs'!F87</f>
        <v>19</v>
      </c>
      <c r="E152" s="634">
        <f>'[10]Lagged.Calendar HDDs'!G87</f>
        <v>22</v>
      </c>
      <c r="F152" s="634">
        <f>'[10]Lagged.Calendar HDDs'!H87</f>
        <v>21</v>
      </c>
      <c r="G152" s="634">
        <f>'[10]Lagged.Calendar HDDs'!I87</f>
        <v>20</v>
      </c>
      <c r="H152" s="706">
        <f t="shared" si="22"/>
        <v>20</v>
      </c>
      <c r="J152" s="699">
        <f t="shared" si="24"/>
        <v>41943</v>
      </c>
      <c r="K152" s="630">
        <f>'[10]10yr Lagged Norms'!E102</f>
        <v>12.3</v>
      </c>
      <c r="L152" s="630">
        <f>'[10]10yr Lagged Norms'!F102</f>
        <v>9.9</v>
      </c>
      <c r="M152" s="630">
        <f>'[10]10yr Lagged Norms'!G102</f>
        <v>12.6</v>
      </c>
      <c r="N152" s="630">
        <f>'[10]10yr Lagged Norms'!H102</f>
        <v>10.7</v>
      </c>
      <c r="O152" s="630">
        <f>'[10]10yr Lagged Norms'!I102</f>
        <v>10.199999999999999</v>
      </c>
      <c r="P152" s="707">
        <f t="shared" si="23"/>
        <v>11</v>
      </c>
    </row>
    <row r="153" spans="2:16" x14ac:dyDescent="0.2">
      <c r="B153" s="708">
        <f t="shared" si="25"/>
        <v>41944</v>
      </c>
      <c r="C153" s="634">
        <f>'[10]Lagged.Calendar HDDs'!E88</f>
        <v>26</v>
      </c>
      <c r="D153" s="634">
        <f>'[10]Lagged.Calendar HDDs'!F88</f>
        <v>23</v>
      </c>
      <c r="E153" s="634">
        <f>'[10]Lagged.Calendar HDDs'!G88</f>
        <v>29</v>
      </c>
      <c r="F153" s="634">
        <f>'[10]Lagged.Calendar HDDs'!H88</f>
        <v>24</v>
      </c>
      <c r="G153" s="634">
        <f>'[10]Lagged.Calendar HDDs'!I88</f>
        <v>25</v>
      </c>
      <c r="H153" s="706">
        <f t="shared" si="22"/>
        <v>25</v>
      </c>
      <c r="J153" s="699">
        <f t="shared" si="24"/>
        <v>41944</v>
      </c>
      <c r="K153" s="630">
        <f>'[10]10yr Lagged Norms'!E103</f>
        <v>16.600000000000001</v>
      </c>
      <c r="L153" s="630">
        <f>'[10]10yr Lagged Norms'!F103</f>
        <v>13</v>
      </c>
      <c r="M153" s="630">
        <f>'[10]10yr Lagged Norms'!G103</f>
        <v>17.600000000000001</v>
      </c>
      <c r="N153" s="630">
        <f>'[10]10yr Lagged Norms'!H103</f>
        <v>14.1</v>
      </c>
      <c r="O153" s="630">
        <f>'[10]10yr Lagged Norms'!I103</f>
        <v>15.2</v>
      </c>
      <c r="P153" s="707">
        <f t="shared" si="23"/>
        <v>15</v>
      </c>
    </row>
    <row r="154" spans="2:16" x14ac:dyDescent="0.2">
      <c r="B154" s="708">
        <f t="shared" si="25"/>
        <v>41945</v>
      </c>
      <c r="C154" s="634">
        <f>'[10]Lagged.Calendar HDDs'!E89</f>
        <v>25</v>
      </c>
      <c r="D154" s="634">
        <f>'[10]Lagged.Calendar HDDs'!F89</f>
        <v>24</v>
      </c>
      <c r="E154" s="634">
        <f>'[10]Lagged.Calendar HDDs'!G89</f>
        <v>25</v>
      </c>
      <c r="F154" s="634">
        <f>'[10]Lagged.Calendar HDDs'!H89</f>
        <v>23</v>
      </c>
      <c r="G154" s="634">
        <f>'[10]Lagged.Calendar HDDs'!I89</f>
        <v>25</v>
      </c>
      <c r="H154" s="706">
        <f t="shared" si="22"/>
        <v>25</v>
      </c>
      <c r="J154" s="699">
        <f t="shared" si="24"/>
        <v>41945</v>
      </c>
      <c r="K154" s="630">
        <f>'[10]10yr Lagged Norms'!E104</f>
        <v>15.9</v>
      </c>
      <c r="L154" s="630">
        <f>'[10]10yr Lagged Norms'!F104</f>
        <v>13</v>
      </c>
      <c r="M154" s="630">
        <f>'[10]10yr Lagged Norms'!G104</f>
        <v>17.5</v>
      </c>
      <c r="N154" s="630">
        <f>'[10]10yr Lagged Norms'!H104</f>
        <v>14.2</v>
      </c>
      <c r="O154" s="630">
        <f>'[10]10yr Lagged Norms'!I104</f>
        <v>14.3</v>
      </c>
      <c r="P154" s="707">
        <f t="shared" si="23"/>
        <v>15</v>
      </c>
    </row>
    <row r="155" spans="2:16" x14ac:dyDescent="0.2">
      <c r="B155" s="708">
        <f t="shared" si="25"/>
        <v>41946</v>
      </c>
      <c r="C155" s="634">
        <f>'[10]Lagged.Calendar HDDs'!E90</f>
        <v>12</v>
      </c>
      <c r="D155" s="634">
        <f>'[10]Lagged.Calendar HDDs'!F90</f>
        <v>13</v>
      </c>
      <c r="E155" s="634">
        <f>'[10]Lagged.Calendar HDDs'!G90</f>
        <v>14</v>
      </c>
      <c r="F155" s="634">
        <f>'[10]Lagged.Calendar HDDs'!H90</f>
        <v>11</v>
      </c>
      <c r="G155" s="634">
        <f>'[10]Lagged.Calendar HDDs'!I90</f>
        <v>11</v>
      </c>
      <c r="H155" s="706">
        <f t="shared" si="22"/>
        <v>12</v>
      </c>
      <c r="J155" s="699">
        <f t="shared" si="24"/>
        <v>41946</v>
      </c>
      <c r="K155" s="630">
        <f>'[10]10yr Lagged Norms'!E105</f>
        <v>15</v>
      </c>
      <c r="L155" s="630">
        <f>'[10]10yr Lagged Norms'!F105</f>
        <v>12.7</v>
      </c>
      <c r="M155" s="630">
        <f>'[10]10yr Lagged Norms'!G105</f>
        <v>17.7</v>
      </c>
      <c r="N155" s="630">
        <f>'[10]10yr Lagged Norms'!H105</f>
        <v>14.2</v>
      </c>
      <c r="O155" s="630">
        <f>'[10]10yr Lagged Norms'!I105</f>
        <v>13.6</v>
      </c>
      <c r="P155" s="707">
        <f t="shared" si="23"/>
        <v>14</v>
      </c>
    </row>
    <row r="156" spans="2:16" x14ac:dyDescent="0.2">
      <c r="B156" s="708">
        <f t="shared" si="25"/>
        <v>41947</v>
      </c>
      <c r="C156" s="634">
        <f>'[10]Lagged.Calendar HDDs'!E91</f>
        <v>10</v>
      </c>
      <c r="D156" s="634">
        <f>'[10]Lagged.Calendar HDDs'!F91</f>
        <v>5</v>
      </c>
      <c r="E156" s="634">
        <f>'[10]Lagged.Calendar HDDs'!G91</f>
        <v>7</v>
      </c>
      <c r="F156" s="634">
        <f>'[10]Lagged.Calendar HDDs'!H91</f>
        <v>5</v>
      </c>
      <c r="G156" s="634">
        <f>'[10]Lagged.Calendar HDDs'!I91</f>
        <v>8</v>
      </c>
      <c r="H156" s="706">
        <f t="shared" si="22"/>
        <v>8</v>
      </c>
      <c r="J156" s="699">
        <f t="shared" si="24"/>
        <v>41947</v>
      </c>
      <c r="K156" s="630">
        <f>'[10]10yr Lagged Norms'!E106</f>
        <v>13.5</v>
      </c>
      <c r="L156" s="630">
        <f>'[10]10yr Lagged Norms'!F106</f>
        <v>11.6</v>
      </c>
      <c r="M156" s="630">
        <f>'[10]10yr Lagged Norms'!G106</f>
        <v>15.1</v>
      </c>
      <c r="N156" s="630">
        <f>'[10]10yr Lagged Norms'!H106</f>
        <v>11.9</v>
      </c>
      <c r="O156" s="630">
        <f>'[10]10yr Lagged Norms'!I106</f>
        <v>12.6</v>
      </c>
      <c r="P156" s="707">
        <f t="shared" si="23"/>
        <v>13</v>
      </c>
    </row>
    <row r="157" spans="2:16" x14ac:dyDescent="0.2">
      <c r="B157" s="708">
        <f t="shared" si="25"/>
        <v>41948</v>
      </c>
      <c r="C157" s="634">
        <f>'[10]Lagged.Calendar HDDs'!E92</f>
        <v>13</v>
      </c>
      <c r="D157" s="634">
        <f>'[10]Lagged.Calendar HDDs'!F92</f>
        <v>8</v>
      </c>
      <c r="E157" s="634">
        <f>'[10]Lagged.Calendar HDDs'!G92</f>
        <v>12</v>
      </c>
      <c r="F157" s="634">
        <f>'[10]Lagged.Calendar HDDs'!H92</f>
        <v>10</v>
      </c>
      <c r="G157" s="634">
        <f>'[10]Lagged.Calendar HDDs'!I92</f>
        <v>14</v>
      </c>
      <c r="H157" s="706">
        <f t="shared" si="22"/>
        <v>12</v>
      </c>
      <c r="J157" s="699">
        <f t="shared" si="24"/>
        <v>41948</v>
      </c>
      <c r="K157" s="630">
        <f>'[10]10yr Lagged Norms'!E107</f>
        <v>14.1</v>
      </c>
      <c r="L157" s="630">
        <f>'[10]10yr Lagged Norms'!F107</f>
        <v>11.1</v>
      </c>
      <c r="M157" s="630">
        <f>'[10]10yr Lagged Norms'!G107</f>
        <v>14.5</v>
      </c>
      <c r="N157" s="630">
        <f>'[10]10yr Lagged Norms'!H107</f>
        <v>12.5</v>
      </c>
      <c r="O157" s="630">
        <f>'[10]10yr Lagged Norms'!I107</f>
        <v>12.3</v>
      </c>
      <c r="P157" s="707">
        <f t="shared" si="23"/>
        <v>13</v>
      </c>
    </row>
    <row r="158" spans="2:16" x14ac:dyDescent="0.2">
      <c r="B158" s="708">
        <f t="shared" si="25"/>
        <v>41949</v>
      </c>
      <c r="C158" s="634">
        <f>'[10]Lagged.Calendar HDDs'!E93</f>
        <v>18</v>
      </c>
      <c r="D158" s="634">
        <f>'[10]Lagged.Calendar HDDs'!F93</f>
        <v>12</v>
      </c>
      <c r="E158" s="634">
        <f>'[10]Lagged.Calendar HDDs'!G93</f>
        <v>18</v>
      </c>
      <c r="F158" s="634">
        <f>'[10]Lagged.Calendar HDDs'!H93</f>
        <v>15</v>
      </c>
      <c r="G158" s="634">
        <f>'[10]Lagged.Calendar HDDs'!I93</f>
        <v>20</v>
      </c>
      <c r="H158" s="706">
        <f t="shared" si="22"/>
        <v>17</v>
      </c>
      <c r="J158" s="699">
        <f t="shared" si="24"/>
        <v>41949</v>
      </c>
      <c r="K158" s="630">
        <f>'[10]10yr Lagged Norms'!E108</f>
        <v>15.7</v>
      </c>
      <c r="L158" s="630">
        <f>'[10]10yr Lagged Norms'!F108</f>
        <v>12.2</v>
      </c>
      <c r="M158" s="630">
        <f>'[10]10yr Lagged Norms'!G108</f>
        <v>15.6</v>
      </c>
      <c r="N158" s="630">
        <f>'[10]10yr Lagged Norms'!H108</f>
        <v>13.7</v>
      </c>
      <c r="O158" s="630">
        <f>'[10]10yr Lagged Norms'!I108</f>
        <v>15</v>
      </c>
      <c r="P158" s="707">
        <f t="shared" si="23"/>
        <v>15</v>
      </c>
    </row>
    <row r="159" spans="2:16" x14ac:dyDescent="0.2">
      <c r="B159" s="708">
        <f t="shared" si="25"/>
        <v>41950</v>
      </c>
      <c r="C159" s="634">
        <f>'[10]Lagged.Calendar HDDs'!E94</f>
        <v>24</v>
      </c>
      <c r="D159" s="634">
        <f>'[10]Lagged.Calendar HDDs'!F94</f>
        <v>18</v>
      </c>
      <c r="E159" s="634">
        <f>'[10]Lagged.Calendar HDDs'!G94</f>
        <v>26</v>
      </c>
      <c r="F159" s="634">
        <f>'[10]Lagged.Calendar HDDs'!H94</f>
        <v>19</v>
      </c>
      <c r="G159" s="634">
        <f>'[10]Lagged.Calendar HDDs'!I94</f>
        <v>23</v>
      </c>
      <c r="H159" s="706">
        <f t="shared" si="22"/>
        <v>22</v>
      </c>
      <c r="J159" s="699">
        <f t="shared" si="24"/>
        <v>41950</v>
      </c>
      <c r="K159" s="630">
        <f>'[10]10yr Lagged Norms'!E109</f>
        <v>15.3</v>
      </c>
      <c r="L159" s="630">
        <f>'[10]10yr Lagged Norms'!F109</f>
        <v>13.7</v>
      </c>
      <c r="M159" s="630">
        <f>'[10]10yr Lagged Norms'!G109</f>
        <v>16.8</v>
      </c>
      <c r="N159" s="630">
        <f>'[10]10yr Lagged Norms'!H109</f>
        <v>14.1</v>
      </c>
      <c r="O159" s="630">
        <f>'[10]10yr Lagged Norms'!I109</f>
        <v>14.6</v>
      </c>
      <c r="P159" s="707">
        <f t="shared" si="23"/>
        <v>15</v>
      </c>
    </row>
    <row r="160" spans="2:16" x14ac:dyDescent="0.2">
      <c r="B160" s="708">
        <f t="shared" si="25"/>
        <v>41951</v>
      </c>
      <c r="C160" s="634">
        <f>'[10]Lagged.Calendar HDDs'!E95</f>
        <v>20</v>
      </c>
      <c r="D160" s="634">
        <f>'[10]Lagged.Calendar HDDs'!F95</f>
        <v>18</v>
      </c>
      <c r="E160" s="634">
        <f>'[10]Lagged.Calendar HDDs'!G95</f>
        <v>21</v>
      </c>
      <c r="F160" s="634">
        <f>'[10]Lagged.Calendar HDDs'!H95</f>
        <v>18</v>
      </c>
      <c r="G160" s="634">
        <f>'[10]Lagged.Calendar HDDs'!I95</f>
        <v>21</v>
      </c>
      <c r="H160" s="706">
        <f t="shared" si="22"/>
        <v>20</v>
      </c>
      <c r="J160" s="699">
        <f t="shared" si="24"/>
        <v>41951</v>
      </c>
      <c r="K160" s="630">
        <f>'[10]10yr Lagged Norms'!E110</f>
        <v>12.8</v>
      </c>
      <c r="L160" s="630">
        <f>'[10]10yr Lagged Norms'!F110</f>
        <v>12.9</v>
      </c>
      <c r="M160" s="630">
        <f>'[10]10yr Lagged Norms'!G110</f>
        <v>14.8</v>
      </c>
      <c r="N160" s="630">
        <f>'[10]10yr Lagged Norms'!H110</f>
        <v>11.9</v>
      </c>
      <c r="O160" s="630">
        <f>'[10]10yr Lagged Norms'!I110</f>
        <v>12.2</v>
      </c>
      <c r="P160" s="707">
        <f t="shared" si="23"/>
        <v>13</v>
      </c>
    </row>
    <row r="161" spans="2:16" x14ac:dyDescent="0.2">
      <c r="B161" s="708">
        <f t="shared" si="25"/>
        <v>41952</v>
      </c>
      <c r="C161" s="634">
        <f>'[10]Lagged.Calendar HDDs'!E96</f>
        <v>21</v>
      </c>
      <c r="D161" s="634">
        <f>'[10]Lagged.Calendar HDDs'!F96</f>
        <v>18</v>
      </c>
      <c r="E161" s="634">
        <f>'[10]Lagged.Calendar HDDs'!G96</f>
        <v>22</v>
      </c>
      <c r="F161" s="634">
        <f>'[10]Lagged.Calendar HDDs'!H96</f>
        <v>18</v>
      </c>
      <c r="G161" s="634">
        <f>'[10]Lagged.Calendar HDDs'!I96</f>
        <v>21</v>
      </c>
      <c r="H161" s="706">
        <f t="shared" si="22"/>
        <v>20</v>
      </c>
      <c r="J161" s="699">
        <f t="shared" si="24"/>
        <v>41952</v>
      </c>
      <c r="K161" s="630">
        <f>'[10]10yr Lagged Norms'!E111</f>
        <v>12.5</v>
      </c>
      <c r="L161" s="630">
        <f>'[10]10yr Lagged Norms'!F111</f>
        <v>11.2</v>
      </c>
      <c r="M161" s="630">
        <f>'[10]10yr Lagged Norms'!G111</f>
        <v>14</v>
      </c>
      <c r="N161" s="630">
        <f>'[10]10yr Lagged Norms'!H111</f>
        <v>10.8</v>
      </c>
      <c r="O161" s="630">
        <f>'[10]10yr Lagged Norms'!I111</f>
        <v>11.9</v>
      </c>
      <c r="P161" s="707">
        <f t="shared" si="23"/>
        <v>12</v>
      </c>
    </row>
    <row r="162" spans="2:16" x14ac:dyDescent="0.2">
      <c r="B162" s="708">
        <f t="shared" si="25"/>
        <v>41953</v>
      </c>
      <c r="C162" s="634">
        <f>'[10]Lagged.Calendar HDDs'!E97</f>
        <v>13</v>
      </c>
      <c r="D162" s="634">
        <f>'[10]Lagged.Calendar HDDs'!F97</f>
        <v>14</v>
      </c>
      <c r="E162" s="634">
        <f>'[10]Lagged.Calendar HDDs'!G97</f>
        <v>14</v>
      </c>
      <c r="F162" s="634">
        <f>'[10]Lagged.Calendar HDDs'!H97</f>
        <v>13</v>
      </c>
      <c r="G162" s="634">
        <f>'[10]Lagged.Calendar HDDs'!I97</f>
        <v>8</v>
      </c>
      <c r="H162" s="706">
        <f t="shared" si="22"/>
        <v>12</v>
      </c>
      <c r="J162" s="699">
        <f t="shared" si="24"/>
        <v>41953</v>
      </c>
      <c r="K162" s="630">
        <f>'[10]10yr Lagged Norms'!E112</f>
        <v>15.3</v>
      </c>
      <c r="L162" s="630">
        <f>'[10]10yr Lagged Norms'!F112</f>
        <v>13</v>
      </c>
      <c r="M162" s="630">
        <f>'[10]10yr Lagged Norms'!G112</f>
        <v>15.5</v>
      </c>
      <c r="N162" s="630">
        <f>'[10]10yr Lagged Norms'!H112</f>
        <v>12.8</v>
      </c>
      <c r="O162" s="630">
        <f>'[10]10yr Lagged Norms'!I112</f>
        <v>13.5</v>
      </c>
      <c r="P162" s="707">
        <f t="shared" si="23"/>
        <v>14</v>
      </c>
    </row>
    <row r="163" spans="2:16" x14ac:dyDescent="0.2">
      <c r="B163" s="708">
        <f t="shared" si="25"/>
        <v>41954</v>
      </c>
      <c r="C163" s="634">
        <f>'[10]Lagged.Calendar HDDs'!E98</f>
        <v>16</v>
      </c>
      <c r="D163" s="634">
        <f>'[10]Lagged.Calendar HDDs'!F98</f>
        <v>10</v>
      </c>
      <c r="E163" s="634">
        <f>'[10]Lagged.Calendar HDDs'!G98</f>
        <v>13</v>
      </c>
      <c r="F163" s="634">
        <f>'[10]Lagged.Calendar HDDs'!H98</f>
        <v>14</v>
      </c>
      <c r="G163" s="634">
        <f>'[10]Lagged.Calendar HDDs'!I98</f>
        <v>17</v>
      </c>
      <c r="H163" s="706">
        <f t="shared" si="22"/>
        <v>14</v>
      </c>
      <c r="J163" s="699">
        <f t="shared" si="24"/>
        <v>41954</v>
      </c>
      <c r="K163" s="630">
        <f>'[10]10yr Lagged Norms'!E113</f>
        <v>15.3</v>
      </c>
      <c r="L163" s="630">
        <f>'[10]10yr Lagged Norms'!F113</f>
        <v>12.3</v>
      </c>
      <c r="M163" s="630">
        <f>'[10]10yr Lagged Norms'!G113</f>
        <v>16.899999999999999</v>
      </c>
      <c r="N163" s="630">
        <f>'[10]10yr Lagged Norms'!H113</f>
        <v>13.7</v>
      </c>
      <c r="O163" s="630">
        <f>'[10]10yr Lagged Norms'!I113</f>
        <v>14.1</v>
      </c>
      <c r="P163" s="707">
        <f t="shared" si="23"/>
        <v>14</v>
      </c>
    </row>
    <row r="164" spans="2:16" x14ac:dyDescent="0.2">
      <c r="B164" s="708">
        <f t="shared" si="25"/>
        <v>41955</v>
      </c>
      <c r="C164" s="634">
        <f>'[10]Lagged.Calendar HDDs'!E99</f>
        <v>32</v>
      </c>
      <c r="D164" s="634">
        <f>'[10]Lagged.Calendar HDDs'!F99</f>
        <v>29</v>
      </c>
      <c r="E164" s="634">
        <f>'[10]Lagged.Calendar HDDs'!G99</f>
        <v>29</v>
      </c>
      <c r="F164" s="634">
        <f>'[10]Lagged.Calendar HDDs'!H99</f>
        <v>28</v>
      </c>
      <c r="G164" s="634">
        <f>'[10]Lagged.Calendar HDDs'!I99</f>
        <v>33</v>
      </c>
      <c r="H164" s="706">
        <f t="shared" si="22"/>
        <v>31</v>
      </c>
      <c r="J164" s="699">
        <f t="shared" si="24"/>
        <v>41955</v>
      </c>
      <c r="K164" s="630">
        <f>'[10]10yr Lagged Norms'!E114</f>
        <v>17.3</v>
      </c>
      <c r="L164" s="630">
        <f>'[10]10yr Lagged Norms'!F114</f>
        <v>15.3</v>
      </c>
      <c r="M164" s="630">
        <f>'[10]10yr Lagged Norms'!G114</f>
        <v>17.600000000000001</v>
      </c>
      <c r="N164" s="630">
        <f>'[10]10yr Lagged Norms'!H114</f>
        <v>15</v>
      </c>
      <c r="O164" s="630">
        <f>'[10]10yr Lagged Norms'!I114</f>
        <v>16.2</v>
      </c>
      <c r="P164" s="707">
        <f t="shared" si="23"/>
        <v>16</v>
      </c>
    </row>
    <row r="165" spans="2:16" x14ac:dyDescent="0.2">
      <c r="B165" s="708">
        <f t="shared" si="25"/>
        <v>41956</v>
      </c>
      <c r="C165" s="634">
        <f>'[10]Lagged.Calendar HDDs'!E100</f>
        <v>36</v>
      </c>
      <c r="D165" s="634">
        <f>'[10]Lagged.Calendar HDDs'!F100</f>
        <v>32</v>
      </c>
      <c r="E165" s="634">
        <f>'[10]Lagged.Calendar HDDs'!G100</f>
        <v>35</v>
      </c>
      <c r="F165" s="634">
        <f>'[10]Lagged.Calendar HDDs'!H100</f>
        <v>36</v>
      </c>
      <c r="G165" s="634">
        <f>'[10]Lagged.Calendar HDDs'!I100</f>
        <v>34</v>
      </c>
      <c r="H165" s="706">
        <f t="shared" si="22"/>
        <v>34</v>
      </c>
      <c r="J165" s="699">
        <f t="shared" si="24"/>
        <v>41956</v>
      </c>
      <c r="K165" s="630">
        <f>'[10]10yr Lagged Norms'!E115</f>
        <v>17.8</v>
      </c>
      <c r="L165" s="630">
        <f>'[10]10yr Lagged Norms'!F115</f>
        <v>14</v>
      </c>
      <c r="M165" s="630">
        <f>'[10]10yr Lagged Norms'!G115</f>
        <v>17.899999999999999</v>
      </c>
      <c r="N165" s="630">
        <f>'[10]10yr Lagged Norms'!H115</f>
        <v>15.1</v>
      </c>
      <c r="O165" s="630">
        <f>'[10]10yr Lagged Norms'!I115</f>
        <v>16.899999999999999</v>
      </c>
      <c r="P165" s="707">
        <f t="shared" si="23"/>
        <v>17</v>
      </c>
    </row>
    <row r="166" spans="2:16" x14ac:dyDescent="0.2">
      <c r="B166" s="708">
        <f t="shared" si="25"/>
        <v>41957</v>
      </c>
      <c r="C166" s="634">
        <f>'[10]Lagged.Calendar HDDs'!E101</f>
        <v>37</v>
      </c>
      <c r="D166" s="634">
        <f>'[10]Lagged.Calendar HDDs'!F101</f>
        <v>35</v>
      </c>
      <c r="E166" s="634">
        <f>'[10]Lagged.Calendar HDDs'!G101</f>
        <v>40</v>
      </c>
      <c r="F166" s="634">
        <f>'[10]Lagged.Calendar HDDs'!H101</f>
        <v>36</v>
      </c>
      <c r="G166" s="634">
        <f>'[10]Lagged.Calendar HDDs'!I101</f>
        <v>37</v>
      </c>
      <c r="H166" s="706">
        <f t="shared" si="22"/>
        <v>37</v>
      </c>
      <c r="J166" s="699">
        <f t="shared" si="24"/>
        <v>41957</v>
      </c>
      <c r="K166" s="630">
        <f>'[10]10yr Lagged Norms'!E116</f>
        <v>17.7</v>
      </c>
      <c r="L166" s="630">
        <f>'[10]10yr Lagged Norms'!F116</f>
        <v>14.5</v>
      </c>
      <c r="M166" s="630">
        <f>'[10]10yr Lagged Norms'!G116</f>
        <v>18.100000000000001</v>
      </c>
      <c r="N166" s="630">
        <f>'[10]10yr Lagged Norms'!H116</f>
        <v>15.8</v>
      </c>
      <c r="O166" s="630">
        <f>'[10]10yr Lagged Norms'!I116</f>
        <v>16.899999999999999</v>
      </c>
      <c r="P166" s="707">
        <f t="shared" si="23"/>
        <v>17</v>
      </c>
    </row>
    <row r="167" spans="2:16" x14ac:dyDescent="0.2">
      <c r="B167" s="708">
        <f t="shared" si="25"/>
        <v>41958</v>
      </c>
      <c r="C167" s="634">
        <f>'[10]Lagged.Calendar HDDs'!E102</f>
        <v>35</v>
      </c>
      <c r="D167" s="634">
        <f>'[10]Lagged.Calendar HDDs'!F102</f>
        <v>30</v>
      </c>
      <c r="E167" s="634">
        <f>'[10]Lagged.Calendar HDDs'!G102</f>
        <v>39</v>
      </c>
      <c r="F167" s="634">
        <f>'[10]Lagged.Calendar HDDs'!H102</f>
        <v>33</v>
      </c>
      <c r="G167" s="634">
        <f>'[10]Lagged.Calendar HDDs'!I102</f>
        <v>36</v>
      </c>
      <c r="H167" s="706">
        <f t="shared" si="22"/>
        <v>35</v>
      </c>
      <c r="J167" s="699">
        <f t="shared" si="24"/>
        <v>41958</v>
      </c>
      <c r="K167" s="630">
        <f>'[10]10yr Lagged Norms'!E117</f>
        <v>19.3</v>
      </c>
      <c r="L167" s="630">
        <f>'[10]10yr Lagged Norms'!F117</f>
        <v>15.4</v>
      </c>
      <c r="M167" s="630">
        <f>'[10]10yr Lagged Norms'!G117</f>
        <v>19.100000000000001</v>
      </c>
      <c r="N167" s="630">
        <f>'[10]10yr Lagged Norms'!H117</f>
        <v>17.600000000000001</v>
      </c>
      <c r="O167" s="630">
        <f>'[10]10yr Lagged Norms'!I117</f>
        <v>17.7</v>
      </c>
      <c r="P167" s="707">
        <f t="shared" si="23"/>
        <v>18</v>
      </c>
    </row>
    <row r="168" spans="2:16" x14ac:dyDescent="0.2">
      <c r="B168" s="708">
        <f t="shared" si="25"/>
        <v>41959</v>
      </c>
      <c r="C168" s="634">
        <f>'[10]Lagged.Calendar HDDs'!E103</f>
        <v>30</v>
      </c>
      <c r="D168" s="634">
        <f>'[10]Lagged.Calendar HDDs'!F103</f>
        <v>24</v>
      </c>
      <c r="E168" s="634">
        <f>'[10]Lagged.Calendar HDDs'!G103</f>
        <v>28</v>
      </c>
      <c r="F168" s="634">
        <f>'[10]Lagged.Calendar HDDs'!H103</f>
        <v>26</v>
      </c>
      <c r="G168" s="634">
        <f>'[10]Lagged.Calendar HDDs'!I103</f>
        <v>29</v>
      </c>
      <c r="H168" s="706">
        <f t="shared" si="22"/>
        <v>28</v>
      </c>
      <c r="J168" s="699">
        <f t="shared" si="24"/>
        <v>41959</v>
      </c>
      <c r="K168" s="630">
        <f>'[10]10yr Lagged Norms'!E118</f>
        <v>21.6</v>
      </c>
      <c r="L168" s="630">
        <f>'[10]10yr Lagged Norms'!F118</f>
        <v>17.600000000000001</v>
      </c>
      <c r="M168" s="630">
        <f>'[10]10yr Lagged Norms'!G118</f>
        <v>21</v>
      </c>
      <c r="N168" s="630">
        <f>'[10]10yr Lagged Norms'!H118</f>
        <v>19</v>
      </c>
      <c r="O168" s="630">
        <f>'[10]10yr Lagged Norms'!I118</f>
        <v>20.7</v>
      </c>
      <c r="P168" s="707">
        <f t="shared" si="23"/>
        <v>20</v>
      </c>
    </row>
    <row r="169" spans="2:16" x14ac:dyDescent="0.2">
      <c r="B169" s="708">
        <f t="shared" si="25"/>
        <v>41960</v>
      </c>
      <c r="C169" s="634">
        <f>'[10]Lagged.Calendar HDDs'!E104</f>
        <v>40</v>
      </c>
      <c r="D169" s="634">
        <f>'[10]Lagged.Calendar HDDs'!F104</f>
        <v>33</v>
      </c>
      <c r="E169" s="634">
        <f>'[10]Lagged.Calendar HDDs'!G104</f>
        <v>37</v>
      </c>
      <c r="F169" s="634">
        <f>'[10]Lagged.Calendar HDDs'!H104</f>
        <v>38</v>
      </c>
      <c r="G169" s="634">
        <f>'[10]Lagged.Calendar HDDs'!I104</f>
        <v>39</v>
      </c>
      <c r="H169" s="706">
        <f t="shared" si="22"/>
        <v>38</v>
      </c>
      <c r="J169" s="699">
        <f t="shared" si="24"/>
        <v>41960</v>
      </c>
      <c r="K169" s="630">
        <f>'[10]10yr Lagged Norms'!E119</f>
        <v>23.3</v>
      </c>
      <c r="L169" s="630">
        <f>'[10]10yr Lagged Norms'!F119</f>
        <v>20.100000000000001</v>
      </c>
      <c r="M169" s="630">
        <f>'[10]10yr Lagged Norms'!G119</f>
        <v>23.6</v>
      </c>
      <c r="N169" s="630">
        <f>'[10]10yr Lagged Norms'!H119</f>
        <v>21.9</v>
      </c>
      <c r="O169" s="630">
        <f>'[10]10yr Lagged Norms'!I119</f>
        <v>22.3</v>
      </c>
      <c r="P169" s="707">
        <f t="shared" si="23"/>
        <v>22</v>
      </c>
    </row>
    <row r="170" spans="2:16" x14ac:dyDescent="0.2">
      <c r="B170" s="708">
        <f t="shared" si="25"/>
        <v>41961</v>
      </c>
      <c r="C170" s="634">
        <f>'[10]Lagged.Calendar HDDs'!E105</f>
        <v>48</v>
      </c>
      <c r="D170" s="634">
        <f>'[10]Lagged.Calendar HDDs'!F105</f>
        <v>39</v>
      </c>
      <c r="E170" s="634">
        <f>'[10]Lagged.Calendar HDDs'!G105</f>
        <v>48</v>
      </c>
      <c r="F170" s="634">
        <f>'[10]Lagged.Calendar HDDs'!H105</f>
        <v>44</v>
      </c>
      <c r="G170" s="634">
        <f>'[10]Lagged.Calendar HDDs'!I105</f>
        <v>47</v>
      </c>
      <c r="H170" s="706">
        <f t="shared" si="22"/>
        <v>45</v>
      </c>
      <c r="J170" s="699">
        <f t="shared" si="24"/>
        <v>41961</v>
      </c>
      <c r="K170" s="630">
        <f>'[10]10yr Lagged Norms'!E120</f>
        <v>25.5</v>
      </c>
      <c r="L170" s="630">
        <f>'[10]10yr Lagged Norms'!F120</f>
        <v>20.9</v>
      </c>
      <c r="M170" s="630">
        <f>'[10]10yr Lagged Norms'!G120</f>
        <v>26.5</v>
      </c>
      <c r="N170" s="630">
        <f>'[10]10yr Lagged Norms'!H120</f>
        <v>23.4</v>
      </c>
      <c r="O170" s="630">
        <f>'[10]10yr Lagged Norms'!I120</f>
        <v>24.1</v>
      </c>
      <c r="P170" s="707">
        <f t="shared" si="23"/>
        <v>24</v>
      </c>
    </row>
    <row r="171" spans="2:16" x14ac:dyDescent="0.2">
      <c r="B171" s="708">
        <f t="shared" si="25"/>
        <v>41962</v>
      </c>
      <c r="C171" s="634">
        <f>'[10]Lagged.Calendar HDDs'!E106</f>
        <v>33</v>
      </c>
      <c r="D171" s="634">
        <f>'[10]Lagged.Calendar HDDs'!F106</f>
        <v>28</v>
      </c>
      <c r="E171" s="634">
        <f>'[10]Lagged.Calendar HDDs'!G106</f>
        <v>36</v>
      </c>
      <c r="F171" s="634">
        <f>'[10]Lagged.Calendar HDDs'!H106</f>
        <v>32</v>
      </c>
      <c r="G171" s="634">
        <f>'[10]Lagged.Calendar HDDs'!I106</f>
        <v>27</v>
      </c>
      <c r="H171" s="706">
        <f t="shared" si="22"/>
        <v>30</v>
      </c>
      <c r="J171" s="699">
        <f t="shared" si="24"/>
        <v>41962</v>
      </c>
      <c r="K171" s="630">
        <f>'[10]10yr Lagged Norms'!E121</f>
        <v>20.7</v>
      </c>
      <c r="L171" s="630">
        <f>'[10]10yr Lagged Norms'!F121</f>
        <v>17.899999999999999</v>
      </c>
      <c r="M171" s="630">
        <f>'[10]10yr Lagged Norms'!G121</f>
        <v>22.7</v>
      </c>
      <c r="N171" s="630">
        <f>'[10]10yr Lagged Norms'!H121</f>
        <v>19.399999999999999</v>
      </c>
      <c r="O171" s="630">
        <f>'[10]10yr Lagged Norms'!I121</f>
        <v>18.399999999999999</v>
      </c>
      <c r="P171" s="707">
        <f t="shared" si="23"/>
        <v>19</v>
      </c>
    </row>
    <row r="172" spans="2:16" x14ac:dyDescent="0.2">
      <c r="B172" s="708">
        <f t="shared" si="25"/>
        <v>41963</v>
      </c>
      <c r="C172" s="634">
        <f>'[10]Lagged.Calendar HDDs'!E107</f>
        <v>36</v>
      </c>
      <c r="D172" s="634">
        <f>'[10]Lagged.Calendar HDDs'!F107</f>
        <v>26</v>
      </c>
      <c r="E172" s="634">
        <f>'[10]Lagged.Calendar HDDs'!G107</f>
        <v>37</v>
      </c>
      <c r="F172" s="634">
        <f>'[10]Lagged.Calendar HDDs'!H107</f>
        <v>36</v>
      </c>
      <c r="G172" s="634">
        <f>'[10]Lagged.Calendar HDDs'!I107</f>
        <v>34</v>
      </c>
      <c r="H172" s="706">
        <f t="shared" si="22"/>
        <v>33</v>
      </c>
      <c r="J172" s="699">
        <f t="shared" si="24"/>
        <v>41963</v>
      </c>
      <c r="K172" s="630">
        <f>'[10]10yr Lagged Norms'!E122</f>
        <v>20.100000000000001</v>
      </c>
      <c r="L172" s="630">
        <f>'[10]10yr Lagged Norms'!F122</f>
        <v>15.1</v>
      </c>
      <c r="M172" s="630">
        <f>'[10]10yr Lagged Norms'!G122</f>
        <v>19.8</v>
      </c>
      <c r="N172" s="630">
        <f>'[10]10yr Lagged Norms'!H122</f>
        <v>17.5</v>
      </c>
      <c r="O172" s="630">
        <f>'[10]10yr Lagged Norms'!I122</f>
        <v>18.2</v>
      </c>
      <c r="P172" s="707">
        <f t="shared" si="23"/>
        <v>18</v>
      </c>
    </row>
    <row r="173" spans="2:16" x14ac:dyDescent="0.2">
      <c r="B173" s="708">
        <f t="shared" si="25"/>
        <v>41964</v>
      </c>
      <c r="C173" s="634">
        <f>'[10]Lagged.Calendar HDDs'!E108</f>
        <v>33</v>
      </c>
      <c r="D173" s="634">
        <f>'[10]Lagged.Calendar HDDs'!F108</f>
        <v>25</v>
      </c>
      <c r="E173" s="634">
        <f>'[10]Lagged.Calendar HDDs'!G108</f>
        <v>38</v>
      </c>
      <c r="F173" s="634">
        <f>'[10]Lagged.Calendar HDDs'!H108</f>
        <v>34</v>
      </c>
      <c r="G173" s="634">
        <f>'[10]Lagged.Calendar HDDs'!I108</f>
        <v>28</v>
      </c>
      <c r="H173" s="706">
        <f t="shared" si="22"/>
        <v>30</v>
      </c>
      <c r="J173" s="699">
        <f t="shared" si="24"/>
        <v>41964</v>
      </c>
      <c r="K173" s="630">
        <f>'[10]10yr Lagged Norms'!E123</f>
        <v>19.8</v>
      </c>
      <c r="L173" s="630">
        <f>'[10]10yr Lagged Norms'!F123</f>
        <v>14.6</v>
      </c>
      <c r="M173" s="630">
        <f>'[10]10yr Lagged Norms'!G123</f>
        <v>18.600000000000001</v>
      </c>
      <c r="N173" s="630">
        <f>'[10]10yr Lagged Norms'!H123</f>
        <v>16.7</v>
      </c>
      <c r="O173" s="630">
        <f>'[10]10yr Lagged Norms'!I123</f>
        <v>18.7</v>
      </c>
      <c r="P173" s="707">
        <f t="shared" si="23"/>
        <v>18</v>
      </c>
    </row>
    <row r="174" spans="2:16" x14ac:dyDescent="0.2">
      <c r="B174" s="708">
        <f t="shared" si="25"/>
        <v>41965</v>
      </c>
      <c r="C174" s="634">
        <f>'[10]Lagged.Calendar HDDs'!E109</f>
        <v>13</v>
      </c>
      <c r="D174" s="634">
        <f>'[10]Lagged.Calendar HDDs'!F109</f>
        <v>10</v>
      </c>
      <c r="E174" s="634">
        <f>'[10]Lagged.Calendar HDDs'!G109</f>
        <v>17</v>
      </c>
      <c r="F174" s="634">
        <f>'[10]Lagged.Calendar HDDs'!H109</f>
        <v>14</v>
      </c>
      <c r="G174" s="634">
        <f>'[10]Lagged.Calendar HDDs'!I109</f>
        <v>9</v>
      </c>
      <c r="H174" s="706">
        <f t="shared" si="22"/>
        <v>12</v>
      </c>
      <c r="J174" s="699">
        <f t="shared" si="24"/>
        <v>41965</v>
      </c>
      <c r="K174" s="630">
        <f>'[10]10yr Lagged Norms'!E124</f>
        <v>18.7</v>
      </c>
      <c r="L174" s="630">
        <f>'[10]10yr Lagged Norms'!F124</f>
        <v>15</v>
      </c>
      <c r="M174" s="630">
        <f>'[10]10yr Lagged Norms'!G124</f>
        <v>18.5</v>
      </c>
      <c r="N174" s="630">
        <f>'[10]10yr Lagged Norms'!H124</f>
        <v>16.2</v>
      </c>
      <c r="O174" s="630">
        <f>'[10]10yr Lagged Norms'!I124</f>
        <v>17.600000000000001</v>
      </c>
      <c r="P174" s="707">
        <f t="shared" si="23"/>
        <v>17</v>
      </c>
    </row>
    <row r="175" spans="2:16" x14ac:dyDescent="0.2">
      <c r="B175" s="708">
        <f t="shared" si="25"/>
        <v>41966</v>
      </c>
      <c r="C175" s="634">
        <f>'[10]Lagged.Calendar HDDs'!E110</f>
        <v>10</v>
      </c>
      <c r="D175" s="634">
        <f>'[10]Lagged.Calendar HDDs'!F110</f>
        <v>8</v>
      </c>
      <c r="E175" s="634">
        <f>'[10]Lagged.Calendar HDDs'!G110</f>
        <v>12</v>
      </c>
      <c r="F175" s="634">
        <f>'[10]Lagged.Calendar HDDs'!H110</f>
        <v>10</v>
      </c>
      <c r="G175" s="634">
        <f>'[10]Lagged.Calendar HDDs'!I110</f>
        <v>10</v>
      </c>
      <c r="H175" s="706">
        <f t="shared" si="22"/>
        <v>10</v>
      </c>
      <c r="J175" s="699">
        <f t="shared" si="24"/>
        <v>41966</v>
      </c>
      <c r="K175" s="630">
        <f>'[10]10yr Lagged Norms'!E125</f>
        <v>22.2</v>
      </c>
      <c r="L175" s="630">
        <f>'[10]10yr Lagged Norms'!F125</f>
        <v>18.399999999999999</v>
      </c>
      <c r="M175" s="630">
        <f>'[10]10yr Lagged Norms'!G125</f>
        <v>22.6</v>
      </c>
      <c r="N175" s="630">
        <f>'[10]10yr Lagged Norms'!H125</f>
        <v>19.8</v>
      </c>
      <c r="O175" s="630">
        <f>'[10]10yr Lagged Norms'!I125</f>
        <v>20.5</v>
      </c>
      <c r="P175" s="707">
        <f t="shared" si="23"/>
        <v>21</v>
      </c>
    </row>
    <row r="176" spans="2:16" x14ac:dyDescent="0.2">
      <c r="B176" s="708">
        <f t="shared" si="25"/>
        <v>41967</v>
      </c>
      <c r="C176" s="634">
        <f>'[10]Lagged.Calendar HDDs'!E111</f>
        <v>14</v>
      </c>
      <c r="D176" s="634">
        <f>'[10]Lagged.Calendar HDDs'!F111</f>
        <v>14</v>
      </c>
      <c r="E176" s="634">
        <f>'[10]Lagged.Calendar HDDs'!G111</f>
        <v>14</v>
      </c>
      <c r="F176" s="634">
        <f>'[10]Lagged.Calendar HDDs'!H111</f>
        <v>13</v>
      </c>
      <c r="G176" s="634">
        <f>'[10]Lagged.Calendar HDDs'!I111</f>
        <v>15</v>
      </c>
      <c r="H176" s="706">
        <f t="shared" si="22"/>
        <v>14</v>
      </c>
      <c r="J176" s="699">
        <f t="shared" si="24"/>
        <v>41967</v>
      </c>
      <c r="K176" s="630">
        <f>'[10]10yr Lagged Norms'!E126</f>
        <v>24.4</v>
      </c>
      <c r="L176" s="630">
        <f>'[10]10yr Lagged Norms'!F126</f>
        <v>20.5</v>
      </c>
      <c r="M176" s="630">
        <f>'[10]10yr Lagged Norms'!G126</f>
        <v>25.3</v>
      </c>
      <c r="N176" s="630">
        <f>'[10]10yr Lagged Norms'!H126</f>
        <v>23.7</v>
      </c>
      <c r="O176" s="630">
        <f>'[10]10yr Lagged Norms'!I126</f>
        <v>22.5</v>
      </c>
      <c r="P176" s="707">
        <f t="shared" si="23"/>
        <v>23</v>
      </c>
    </row>
    <row r="177" spans="2:16" x14ac:dyDescent="0.2">
      <c r="B177" s="708">
        <f t="shared" si="25"/>
        <v>41968</v>
      </c>
      <c r="C177" s="634">
        <f>'[10]Lagged.Calendar HDDs'!E112</f>
        <v>30</v>
      </c>
      <c r="D177" s="634">
        <f>'[10]Lagged.Calendar HDDs'!F112</f>
        <v>22</v>
      </c>
      <c r="E177" s="634">
        <f>'[10]Lagged.Calendar HDDs'!G112</f>
        <v>25</v>
      </c>
      <c r="F177" s="634">
        <f>'[10]Lagged.Calendar HDDs'!H112</f>
        <v>25</v>
      </c>
      <c r="G177" s="634">
        <f>'[10]Lagged.Calendar HDDs'!I112</f>
        <v>29</v>
      </c>
      <c r="H177" s="706">
        <f t="shared" si="22"/>
        <v>27</v>
      </c>
      <c r="J177" s="699">
        <f t="shared" si="24"/>
        <v>41968</v>
      </c>
      <c r="K177" s="630">
        <f>'[10]10yr Lagged Norms'!E127</f>
        <v>25</v>
      </c>
      <c r="L177" s="630">
        <f>'[10]10yr Lagged Norms'!F127</f>
        <v>20.100000000000001</v>
      </c>
      <c r="M177" s="630">
        <f>'[10]10yr Lagged Norms'!G127</f>
        <v>23.4</v>
      </c>
      <c r="N177" s="630">
        <f>'[10]10yr Lagged Norms'!H127</f>
        <v>22.3</v>
      </c>
      <c r="O177" s="630">
        <f>'[10]10yr Lagged Norms'!I127</f>
        <v>23.1</v>
      </c>
      <c r="P177" s="707">
        <f t="shared" si="23"/>
        <v>23</v>
      </c>
    </row>
    <row r="178" spans="2:16" x14ac:dyDescent="0.2">
      <c r="B178" s="708">
        <f t="shared" si="25"/>
        <v>41969</v>
      </c>
      <c r="C178" s="634">
        <f>'[10]Lagged.Calendar HDDs'!E113</f>
        <v>33</v>
      </c>
      <c r="D178" s="634">
        <f>'[10]Lagged.Calendar HDDs'!F113</f>
        <v>25</v>
      </c>
      <c r="E178" s="634">
        <f>'[10]Lagged.Calendar HDDs'!G113</f>
        <v>30</v>
      </c>
      <c r="F178" s="634">
        <f>'[10]Lagged.Calendar HDDs'!H113</f>
        <v>29</v>
      </c>
      <c r="G178" s="634">
        <f>'[10]Lagged.Calendar HDDs'!I113</f>
        <v>32</v>
      </c>
      <c r="H178" s="706">
        <f t="shared" si="22"/>
        <v>30</v>
      </c>
      <c r="J178" s="699">
        <f t="shared" si="24"/>
        <v>41969</v>
      </c>
      <c r="K178" s="630">
        <f>'[10]10yr Lagged Norms'!E128</f>
        <v>23.8</v>
      </c>
      <c r="L178" s="630">
        <f>'[10]10yr Lagged Norms'!F128</f>
        <v>18.3</v>
      </c>
      <c r="M178" s="630">
        <f>'[10]10yr Lagged Norms'!G128</f>
        <v>22.5</v>
      </c>
      <c r="N178" s="630">
        <f>'[10]10yr Lagged Norms'!H128</f>
        <v>21.4</v>
      </c>
      <c r="O178" s="630">
        <f>'[10]10yr Lagged Norms'!I128</f>
        <v>21.7</v>
      </c>
      <c r="P178" s="707">
        <f t="shared" si="23"/>
        <v>22</v>
      </c>
    </row>
    <row r="179" spans="2:16" x14ac:dyDescent="0.2">
      <c r="B179" s="708">
        <f t="shared" si="25"/>
        <v>41970</v>
      </c>
      <c r="C179" s="634">
        <f>'[10]Lagged.Calendar HDDs'!E114</f>
        <v>37</v>
      </c>
      <c r="D179" s="634">
        <f>'[10]Lagged.Calendar HDDs'!F114</f>
        <v>31</v>
      </c>
      <c r="E179" s="634">
        <f>'[10]Lagged.Calendar HDDs'!G114</f>
        <v>34</v>
      </c>
      <c r="F179" s="634">
        <f>'[10]Lagged.Calendar HDDs'!H114</f>
        <v>31</v>
      </c>
      <c r="G179" s="634">
        <f>'[10]Lagged.Calendar HDDs'!I114</f>
        <v>33</v>
      </c>
      <c r="H179" s="706">
        <f t="shared" si="22"/>
        <v>34</v>
      </c>
      <c r="J179" s="699">
        <f t="shared" si="24"/>
        <v>41970</v>
      </c>
      <c r="K179" s="630">
        <f>'[10]10yr Lagged Norms'!E129</f>
        <v>25.1</v>
      </c>
      <c r="L179" s="630">
        <f>'[10]10yr Lagged Norms'!F129</f>
        <v>21</v>
      </c>
      <c r="M179" s="630">
        <f>'[10]10yr Lagged Norms'!G129</f>
        <v>24.4</v>
      </c>
      <c r="N179" s="630">
        <f>'[10]10yr Lagged Norms'!H129</f>
        <v>22</v>
      </c>
      <c r="O179" s="630">
        <f>'[10]10yr Lagged Norms'!I129</f>
        <v>22.8</v>
      </c>
      <c r="P179" s="707">
        <f t="shared" si="23"/>
        <v>23</v>
      </c>
    </row>
    <row r="180" spans="2:16" x14ac:dyDescent="0.2">
      <c r="B180" s="708">
        <f t="shared" si="25"/>
        <v>41971</v>
      </c>
      <c r="C180" s="634">
        <f>'[10]Lagged.Calendar HDDs'!E115</f>
        <v>32</v>
      </c>
      <c r="D180" s="634">
        <f>'[10]Lagged.Calendar HDDs'!F115</f>
        <v>30</v>
      </c>
      <c r="E180" s="634">
        <f>'[10]Lagged.Calendar HDDs'!G115</f>
        <v>35</v>
      </c>
      <c r="F180" s="634">
        <f>'[10]Lagged.Calendar HDDs'!H115</f>
        <v>32</v>
      </c>
      <c r="G180" s="634">
        <f>'[10]Lagged.Calendar HDDs'!I115</f>
        <v>28</v>
      </c>
      <c r="H180" s="706">
        <f t="shared" si="22"/>
        <v>31</v>
      </c>
      <c r="J180" s="699">
        <f t="shared" si="24"/>
        <v>41971</v>
      </c>
      <c r="K180" s="630">
        <f>'[10]10yr Lagged Norms'!E130</f>
        <v>23.1</v>
      </c>
      <c r="L180" s="630">
        <f>'[10]10yr Lagged Norms'!F130</f>
        <v>20.7</v>
      </c>
      <c r="M180" s="630">
        <f>'[10]10yr Lagged Norms'!G130</f>
        <v>23.6</v>
      </c>
      <c r="N180" s="630">
        <f>'[10]10yr Lagged Norms'!H130</f>
        <v>21.3</v>
      </c>
      <c r="O180" s="630">
        <f>'[10]10yr Lagged Norms'!I130</f>
        <v>21.9</v>
      </c>
      <c r="P180" s="707">
        <f t="shared" si="23"/>
        <v>22</v>
      </c>
    </row>
    <row r="181" spans="2:16" x14ac:dyDescent="0.2">
      <c r="B181" s="708">
        <f t="shared" si="25"/>
        <v>41972</v>
      </c>
      <c r="C181" s="634">
        <f>'[10]Lagged.Calendar HDDs'!E116</f>
        <v>15</v>
      </c>
      <c r="D181" s="634">
        <f>'[10]Lagged.Calendar HDDs'!F116</f>
        <v>16</v>
      </c>
      <c r="E181" s="634">
        <f>'[10]Lagged.Calendar HDDs'!G116</f>
        <v>20</v>
      </c>
      <c r="F181" s="634">
        <f>'[10]Lagged.Calendar HDDs'!H116</f>
        <v>18</v>
      </c>
      <c r="G181" s="634">
        <f>'[10]Lagged.Calendar HDDs'!I116</f>
        <v>12</v>
      </c>
      <c r="H181" s="706">
        <f t="shared" si="22"/>
        <v>15</v>
      </c>
      <c r="J181" s="699">
        <f t="shared" si="24"/>
        <v>41972</v>
      </c>
      <c r="K181" s="630">
        <f>'[10]10yr Lagged Norms'!E131</f>
        <v>20.5</v>
      </c>
      <c r="L181" s="630">
        <f>'[10]10yr Lagged Norms'!F131</f>
        <v>18.3</v>
      </c>
      <c r="M181" s="630">
        <f>'[10]10yr Lagged Norms'!G131</f>
        <v>21.6</v>
      </c>
      <c r="N181" s="630">
        <f>'[10]10yr Lagged Norms'!H131</f>
        <v>18.899999999999999</v>
      </c>
      <c r="O181" s="630">
        <f>'[10]10yr Lagged Norms'!I131</f>
        <v>20</v>
      </c>
      <c r="P181" s="707">
        <f t="shared" si="23"/>
        <v>20</v>
      </c>
    </row>
    <row r="182" spans="2:16" x14ac:dyDescent="0.2">
      <c r="B182" s="708">
        <f t="shared" si="25"/>
        <v>41973</v>
      </c>
      <c r="C182" s="634">
        <f>'[10]Lagged.Calendar HDDs'!E117</f>
        <v>7</v>
      </c>
      <c r="D182" s="634">
        <f>'[10]Lagged.Calendar HDDs'!F117</f>
        <v>1</v>
      </c>
      <c r="E182" s="634">
        <f>'[10]Lagged.Calendar HDDs'!G117</f>
        <v>4</v>
      </c>
      <c r="F182" s="634">
        <f>'[10]Lagged.Calendar HDDs'!H117</f>
        <v>0</v>
      </c>
      <c r="G182" s="634">
        <f>'[10]Lagged.Calendar HDDs'!I117</f>
        <v>7</v>
      </c>
      <c r="H182" s="706">
        <f t="shared" si="22"/>
        <v>5</v>
      </c>
      <c r="J182" s="699">
        <f t="shared" si="24"/>
        <v>41973</v>
      </c>
      <c r="K182" s="630">
        <f>'[10]10yr Lagged Norms'!E132</f>
        <v>22.3</v>
      </c>
      <c r="L182" s="630">
        <f>'[10]10yr Lagged Norms'!F132</f>
        <v>18.399999999999999</v>
      </c>
      <c r="M182" s="630">
        <f>'[10]10yr Lagged Norms'!G132</f>
        <v>20.100000000000001</v>
      </c>
      <c r="N182" s="630">
        <f>'[10]10yr Lagged Norms'!H132</f>
        <v>17.899999999999999</v>
      </c>
      <c r="O182" s="630">
        <f>'[10]10yr Lagged Norms'!I132</f>
        <v>21.9</v>
      </c>
      <c r="P182" s="707">
        <f t="shared" si="23"/>
        <v>21</v>
      </c>
    </row>
    <row r="183" spans="2:16" x14ac:dyDescent="0.2">
      <c r="B183" s="708">
        <f t="shared" si="25"/>
        <v>41974</v>
      </c>
      <c r="C183" s="634">
        <f>'[10]Lagged.Calendar HDDs'!E118</f>
        <v>25</v>
      </c>
      <c r="D183" s="634">
        <f>'[10]Lagged.Calendar HDDs'!F118</f>
        <v>13</v>
      </c>
      <c r="E183" s="634">
        <f>'[10]Lagged.Calendar HDDs'!G118</f>
        <v>17</v>
      </c>
      <c r="F183" s="634">
        <f>'[10]Lagged.Calendar HDDs'!H118</f>
        <v>14</v>
      </c>
      <c r="G183" s="634">
        <f>'[10]Lagged.Calendar HDDs'!I118</f>
        <v>26</v>
      </c>
      <c r="H183" s="706">
        <f t="shared" si="22"/>
        <v>21</v>
      </c>
      <c r="J183" s="699">
        <f t="shared" si="24"/>
        <v>41974</v>
      </c>
      <c r="K183" s="630">
        <f>'[10]10yr Lagged Norms'!E133</f>
        <v>25.5</v>
      </c>
      <c r="L183" s="630">
        <f>'[10]10yr Lagged Norms'!F133</f>
        <v>20.6</v>
      </c>
      <c r="M183" s="630">
        <f>'[10]10yr Lagged Norms'!G133</f>
        <v>24.8</v>
      </c>
      <c r="N183" s="630">
        <f>'[10]10yr Lagged Norms'!H133</f>
        <v>22.4</v>
      </c>
      <c r="O183" s="630">
        <f>'[10]10yr Lagged Norms'!I133</f>
        <v>25</v>
      </c>
      <c r="P183" s="707">
        <f t="shared" si="23"/>
        <v>24</v>
      </c>
    </row>
    <row r="184" spans="2:16" x14ac:dyDescent="0.2">
      <c r="B184" s="708">
        <f t="shared" si="25"/>
        <v>41975</v>
      </c>
      <c r="C184" s="634">
        <f>'[10]Lagged.Calendar HDDs'!E119</f>
        <v>30</v>
      </c>
      <c r="D184" s="634">
        <f>'[10]Lagged.Calendar HDDs'!F119</f>
        <v>20</v>
      </c>
      <c r="E184" s="634">
        <f>'[10]Lagged.Calendar HDDs'!G119</f>
        <v>26</v>
      </c>
      <c r="F184" s="634">
        <f>'[10]Lagged.Calendar HDDs'!H119</f>
        <v>26</v>
      </c>
      <c r="G184" s="634">
        <f>'[10]Lagged.Calendar HDDs'!I119</f>
        <v>30</v>
      </c>
      <c r="H184" s="706">
        <f t="shared" si="22"/>
        <v>27</v>
      </c>
      <c r="J184" s="699">
        <f t="shared" si="24"/>
        <v>41975</v>
      </c>
      <c r="K184" s="630">
        <f>'[10]10yr Lagged Norms'!E134</f>
        <v>25.5</v>
      </c>
      <c r="L184" s="630">
        <f>'[10]10yr Lagged Norms'!F134</f>
        <v>20.3</v>
      </c>
      <c r="M184" s="630">
        <f>'[10]10yr Lagged Norms'!G134</f>
        <v>25.5</v>
      </c>
      <c r="N184" s="630">
        <f>'[10]10yr Lagged Norms'!H134</f>
        <v>23.5</v>
      </c>
      <c r="O184" s="630">
        <f>'[10]10yr Lagged Norms'!I134</f>
        <v>24.1</v>
      </c>
      <c r="P184" s="707">
        <f t="shared" si="23"/>
        <v>24</v>
      </c>
    </row>
    <row r="185" spans="2:16" x14ac:dyDescent="0.2">
      <c r="B185" s="708">
        <f t="shared" si="25"/>
        <v>41976</v>
      </c>
      <c r="C185" s="634">
        <f>'[10]Lagged.Calendar HDDs'!E120</f>
        <v>23</v>
      </c>
      <c r="D185" s="634">
        <f>'[10]Lagged.Calendar HDDs'!F120</f>
        <v>19</v>
      </c>
      <c r="E185" s="634">
        <f>'[10]Lagged.Calendar HDDs'!G120</f>
        <v>29</v>
      </c>
      <c r="F185" s="634">
        <f>'[10]Lagged.Calendar HDDs'!H120</f>
        <v>24</v>
      </c>
      <c r="G185" s="634">
        <f>'[10]Lagged.Calendar HDDs'!I120</f>
        <v>25</v>
      </c>
      <c r="H185" s="706">
        <f t="shared" si="22"/>
        <v>24</v>
      </c>
      <c r="J185" s="699">
        <f t="shared" si="24"/>
        <v>41976</v>
      </c>
      <c r="K185" s="630">
        <f>'[10]10yr Lagged Norms'!E135</f>
        <v>23.8</v>
      </c>
      <c r="L185" s="630">
        <f>'[10]10yr Lagged Norms'!F135</f>
        <v>19.3</v>
      </c>
      <c r="M185" s="630">
        <f>'[10]10yr Lagged Norms'!G135</f>
        <v>23.7</v>
      </c>
      <c r="N185" s="630">
        <f>'[10]10yr Lagged Norms'!H135</f>
        <v>23</v>
      </c>
      <c r="O185" s="630">
        <f>'[10]10yr Lagged Norms'!I135</f>
        <v>22.3</v>
      </c>
      <c r="P185" s="707">
        <f t="shared" si="23"/>
        <v>22</v>
      </c>
    </row>
    <row r="186" spans="2:16" x14ac:dyDescent="0.2">
      <c r="B186" s="708">
        <f t="shared" si="25"/>
        <v>41977</v>
      </c>
      <c r="C186" s="634">
        <f>'[10]Lagged.Calendar HDDs'!E121</f>
        <v>26</v>
      </c>
      <c r="D186" s="634">
        <f>'[10]Lagged.Calendar HDDs'!F121</f>
        <v>19</v>
      </c>
      <c r="E186" s="634">
        <f>'[10]Lagged.Calendar HDDs'!G121</f>
        <v>29</v>
      </c>
      <c r="F186" s="634">
        <f>'[10]Lagged.Calendar HDDs'!H121</f>
        <v>27</v>
      </c>
      <c r="G186" s="634">
        <f>'[10]Lagged.Calendar HDDs'!I121</f>
        <v>23</v>
      </c>
      <c r="H186" s="706">
        <f t="shared" si="22"/>
        <v>24</v>
      </c>
      <c r="J186" s="699">
        <f t="shared" si="24"/>
        <v>41977</v>
      </c>
      <c r="K186" s="630">
        <f>'[10]10yr Lagged Norms'!E136</f>
        <v>26.3</v>
      </c>
      <c r="L186" s="630">
        <f>'[10]10yr Lagged Norms'!F136</f>
        <v>18</v>
      </c>
      <c r="M186" s="630">
        <f>'[10]10yr Lagged Norms'!G136</f>
        <v>25.7</v>
      </c>
      <c r="N186" s="630">
        <f>'[10]10yr Lagged Norms'!H136</f>
        <v>24.3</v>
      </c>
      <c r="O186" s="630">
        <f>'[10]10yr Lagged Norms'!I136</f>
        <v>23.8</v>
      </c>
      <c r="P186" s="707">
        <f t="shared" si="23"/>
        <v>23</v>
      </c>
    </row>
    <row r="187" spans="2:16" x14ac:dyDescent="0.2">
      <c r="B187" s="708">
        <f t="shared" si="25"/>
        <v>41978</v>
      </c>
      <c r="C187" s="634">
        <f>'[10]Lagged.Calendar HDDs'!E122</f>
        <v>14</v>
      </c>
      <c r="D187" s="634">
        <f>'[10]Lagged.Calendar HDDs'!F122</f>
        <v>7</v>
      </c>
      <c r="E187" s="634">
        <f>'[10]Lagged.Calendar HDDs'!G122</f>
        <v>16</v>
      </c>
      <c r="F187" s="634">
        <f>'[10]Lagged.Calendar HDDs'!H122</f>
        <v>15</v>
      </c>
      <c r="G187" s="634">
        <f>'[10]Lagged.Calendar HDDs'!I122</f>
        <v>12</v>
      </c>
      <c r="H187" s="706">
        <f t="shared" si="22"/>
        <v>12</v>
      </c>
      <c r="J187" s="699">
        <f t="shared" si="24"/>
        <v>41978</v>
      </c>
      <c r="K187" s="630">
        <f>'[10]10yr Lagged Norms'!E137</f>
        <v>29.8</v>
      </c>
      <c r="L187" s="630">
        <f>'[10]10yr Lagged Norms'!F137</f>
        <v>23.4</v>
      </c>
      <c r="M187" s="630">
        <f>'[10]10yr Lagged Norms'!G137</f>
        <v>29.1</v>
      </c>
      <c r="N187" s="630">
        <f>'[10]10yr Lagged Norms'!H137</f>
        <v>26.8</v>
      </c>
      <c r="O187" s="630">
        <f>'[10]10yr Lagged Norms'!I137</f>
        <v>28.1</v>
      </c>
      <c r="P187" s="707">
        <f t="shared" si="23"/>
        <v>28</v>
      </c>
    </row>
    <row r="188" spans="2:16" x14ac:dyDescent="0.2">
      <c r="B188" s="708">
        <f t="shared" si="25"/>
        <v>41979</v>
      </c>
      <c r="C188" s="634">
        <f>'[10]Lagged.Calendar HDDs'!E123</f>
        <v>20</v>
      </c>
      <c r="D188" s="634">
        <f>'[10]Lagged.Calendar HDDs'!F123</f>
        <v>13</v>
      </c>
      <c r="E188" s="634">
        <f>'[10]Lagged.Calendar HDDs'!G123</f>
        <v>17</v>
      </c>
      <c r="F188" s="634">
        <f>'[10]Lagged.Calendar HDDs'!H123</f>
        <v>14</v>
      </c>
      <c r="G188" s="634">
        <f>'[10]Lagged.Calendar HDDs'!I123</f>
        <v>15</v>
      </c>
      <c r="H188" s="706">
        <f t="shared" si="22"/>
        <v>16</v>
      </c>
      <c r="J188" s="699">
        <f t="shared" si="24"/>
        <v>41979</v>
      </c>
      <c r="K188" s="630">
        <f>'[10]10yr Lagged Norms'!E138</f>
        <v>32.5</v>
      </c>
      <c r="L188" s="630">
        <f>'[10]10yr Lagged Norms'!F138</f>
        <v>27.2</v>
      </c>
      <c r="M188" s="630">
        <f>'[10]10yr Lagged Norms'!G138</f>
        <v>32.799999999999997</v>
      </c>
      <c r="N188" s="630">
        <f>'[10]10yr Lagged Norms'!H138</f>
        <v>30.9</v>
      </c>
      <c r="O188" s="630">
        <f>'[10]10yr Lagged Norms'!I138</f>
        <v>30</v>
      </c>
      <c r="P188" s="707">
        <f t="shared" si="23"/>
        <v>30</v>
      </c>
    </row>
    <row r="189" spans="2:16" x14ac:dyDescent="0.2">
      <c r="B189" s="708">
        <f t="shared" si="25"/>
        <v>41980</v>
      </c>
      <c r="C189" s="634">
        <f>'[10]Lagged.Calendar HDDs'!E124</f>
        <v>26</v>
      </c>
      <c r="D189" s="634">
        <f>'[10]Lagged.Calendar HDDs'!F124</f>
        <v>20</v>
      </c>
      <c r="E189" s="634">
        <f>'[10]Lagged.Calendar HDDs'!G124</f>
        <v>27</v>
      </c>
      <c r="F189" s="634">
        <f>'[10]Lagged.Calendar HDDs'!H124</f>
        <v>24</v>
      </c>
      <c r="G189" s="634">
        <f>'[10]Lagged.Calendar HDDs'!I124</f>
        <v>23</v>
      </c>
      <c r="H189" s="706">
        <f t="shared" si="22"/>
        <v>24</v>
      </c>
      <c r="J189" s="699">
        <f t="shared" si="24"/>
        <v>41980</v>
      </c>
      <c r="K189" s="630">
        <f>'[10]10yr Lagged Norms'!E139</f>
        <v>33.6</v>
      </c>
      <c r="L189" s="630">
        <f>'[10]10yr Lagged Norms'!F139</f>
        <v>27.2</v>
      </c>
      <c r="M189" s="630">
        <f>'[10]10yr Lagged Norms'!G139</f>
        <v>33.4</v>
      </c>
      <c r="N189" s="630">
        <f>'[10]10yr Lagged Norms'!H139</f>
        <v>31.9</v>
      </c>
      <c r="O189" s="630">
        <f>'[10]10yr Lagged Norms'!I139</f>
        <v>31.4</v>
      </c>
      <c r="P189" s="707">
        <f t="shared" si="23"/>
        <v>31</v>
      </c>
    </row>
    <row r="190" spans="2:16" x14ac:dyDescent="0.2">
      <c r="B190" s="708">
        <f t="shared" si="25"/>
        <v>41981</v>
      </c>
      <c r="C190" s="634">
        <f>'[10]Lagged.Calendar HDDs'!E125</f>
        <v>23</v>
      </c>
      <c r="D190" s="634">
        <f>'[10]Lagged.Calendar HDDs'!F125</f>
        <v>18</v>
      </c>
      <c r="E190" s="634">
        <f>'[10]Lagged.Calendar HDDs'!G125</f>
        <v>24</v>
      </c>
      <c r="F190" s="634">
        <f>'[10]Lagged.Calendar HDDs'!H125</f>
        <v>22</v>
      </c>
      <c r="G190" s="634">
        <f>'[10]Lagged.Calendar HDDs'!I125</f>
        <v>24</v>
      </c>
      <c r="H190" s="706">
        <f t="shared" si="22"/>
        <v>22</v>
      </c>
      <c r="J190" s="699">
        <f t="shared" si="24"/>
        <v>41981</v>
      </c>
      <c r="K190" s="630">
        <f>'[10]10yr Lagged Norms'!E140</f>
        <v>29.7</v>
      </c>
      <c r="L190" s="630">
        <f>'[10]10yr Lagged Norms'!F140</f>
        <v>23.3</v>
      </c>
      <c r="M190" s="630">
        <f>'[10]10yr Lagged Norms'!G140</f>
        <v>30.9</v>
      </c>
      <c r="N190" s="630">
        <f>'[10]10yr Lagged Norms'!H140</f>
        <v>28.9</v>
      </c>
      <c r="O190" s="630">
        <f>'[10]10yr Lagged Norms'!I140</f>
        <v>28.9</v>
      </c>
      <c r="P190" s="707">
        <f t="shared" si="23"/>
        <v>28</v>
      </c>
    </row>
    <row r="191" spans="2:16" x14ac:dyDescent="0.2">
      <c r="B191" s="708">
        <f t="shared" si="25"/>
        <v>41982</v>
      </c>
      <c r="C191" s="634">
        <f>'[10]Lagged.Calendar HDDs'!E126</f>
        <v>24</v>
      </c>
      <c r="D191" s="634">
        <f>'[10]Lagged.Calendar HDDs'!F126</f>
        <v>22</v>
      </c>
      <c r="E191" s="634">
        <f>'[10]Lagged.Calendar HDDs'!G126</f>
        <v>25</v>
      </c>
      <c r="F191" s="634">
        <f>'[10]Lagged.Calendar HDDs'!H126</f>
        <v>23</v>
      </c>
      <c r="G191" s="634">
        <f>'[10]Lagged.Calendar HDDs'!I126</f>
        <v>26</v>
      </c>
      <c r="H191" s="706">
        <f t="shared" si="22"/>
        <v>24</v>
      </c>
      <c r="J191" s="699">
        <f t="shared" si="24"/>
        <v>41982</v>
      </c>
      <c r="K191" s="630">
        <f>'[10]10yr Lagged Norms'!E141</f>
        <v>29.1</v>
      </c>
      <c r="L191" s="630">
        <f>'[10]10yr Lagged Norms'!F141</f>
        <v>21.9</v>
      </c>
      <c r="M191" s="630">
        <f>'[10]10yr Lagged Norms'!G141</f>
        <v>26.6</v>
      </c>
      <c r="N191" s="630">
        <f>'[10]10yr Lagged Norms'!H141</f>
        <v>25.9</v>
      </c>
      <c r="O191" s="630">
        <f>'[10]10yr Lagged Norms'!I141</f>
        <v>29.2</v>
      </c>
      <c r="P191" s="707">
        <f t="shared" si="23"/>
        <v>27</v>
      </c>
    </row>
    <row r="192" spans="2:16" x14ac:dyDescent="0.2">
      <c r="B192" s="708">
        <f t="shared" si="25"/>
        <v>41983</v>
      </c>
      <c r="C192" s="634">
        <f>'[10]Lagged.Calendar HDDs'!E127</f>
        <v>28</v>
      </c>
      <c r="D192" s="634">
        <f>'[10]Lagged.Calendar HDDs'!F127</f>
        <v>27</v>
      </c>
      <c r="E192" s="634">
        <f>'[10]Lagged.Calendar HDDs'!G127</f>
        <v>31</v>
      </c>
      <c r="F192" s="634">
        <f>'[10]Lagged.Calendar HDDs'!H127</f>
        <v>28</v>
      </c>
      <c r="G192" s="634">
        <f>'[10]Lagged.Calendar HDDs'!I127</f>
        <v>28</v>
      </c>
      <c r="H192" s="706">
        <f t="shared" si="22"/>
        <v>28</v>
      </c>
      <c r="J192" s="699">
        <f t="shared" si="24"/>
        <v>41983</v>
      </c>
      <c r="K192" s="630">
        <f>'[10]10yr Lagged Norms'!E142</f>
        <v>31.9</v>
      </c>
      <c r="L192" s="630">
        <f>'[10]10yr Lagged Norms'!F142</f>
        <v>24.8</v>
      </c>
      <c r="M192" s="630">
        <f>'[10]10yr Lagged Norms'!G142</f>
        <v>29</v>
      </c>
      <c r="N192" s="630">
        <f>'[10]10yr Lagged Norms'!H142</f>
        <v>27.8</v>
      </c>
      <c r="O192" s="630">
        <f>'[10]10yr Lagged Norms'!I142</f>
        <v>31.5</v>
      </c>
      <c r="P192" s="707">
        <f t="shared" si="23"/>
        <v>30</v>
      </c>
    </row>
    <row r="193" spans="2:16" x14ac:dyDescent="0.2">
      <c r="B193" s="708">
        <f t="shared" si="25"/>
        <v>41984</v>
      </c>
      <c r="C193" s="634">
        <f>'[10]Lagged.Calendar HDDs'!E128</f>
        <v>32</v>
      </c>
      <c r="D193" s="634">
        <f>'[10]Lagged.Calendar HDDs'!F128</f>
        <v>29</v>
      </c>
      <c r="E193" s="634">
        <f>'[10]Lagged.Calendar HDDs'!G128</f>
        <v>31</v>
      </c>
      <c r="F193" s="634">
        <f>'[10]Lagged.Calendar HDDs'!H128</f>
        <v>28</v>
      </c>
      <c r="G193" s="634">
        <f>'[10]Lagged.Calendar HDDs'!I128</f>
        <v>31</v>
      </c>
      <c r="H193" s="706">
        <f t="shared" si="22"/>
        <v>31</v>
      </c>
      <c r="J193" s="699">
        <f t="shared" si="24"/>
        <v>41984</v>
      </c>
      <c r="K193" s="630">
        <f>'[10]10yr Lagged Norms'!E143</f>
        <v>28.6</v>
      </c>
      <c r="L193" s="630">
        <f>'[10]10yr Lagged Norms'!F143</f>
        <v>24.7</v>
      </c>
      <c r="M193" s="630">
        <f>'[10]10yr Lagged Norms'!G143</f>
        <v>28.9</v>
      </c>
      <c r="N193" s="630">
        <f>'[10]10yr Lagged Norms'!H143</f>
        <v>26.6</v>
      </c>
      <c r="O193" s="630">
        <f>'[10]10yr Lagged Norms'!I143</f>
        <v>27.3</v>
      </c>
      <c r="P193" s="707">
        <f t="shared" si="23"/>
        <v>27</v>
      </c>
    </row>
    <row r="194" spans="2:16" x14ac:dyDescent="0.2">
      <c r="B194" s="708">
        <f t="shared" si="25"/>
        <v>41985</v>
      </c>
      <c r="C194" s="634">
        <f>'[10]Lagged.Calendar HDDs'!E129</f>
        <v>32</v>
      </c>
      <c r="D194" s="634">
        <f>'[10]Lagged.Calendar HDDs'!F129</f>
        <v>29</v>
      </c>
      <c r="E194" s="634">
        <f>'[10]Lagged.Calendar HDDs'!G129</f>
        <v>32</v>
      </c>
      <c r="F194" s="634">
        <f>'[10]Lagged.Calendar HDDs'!H129</f>
        <v>30</v>
      </c>
      <c r="G194" s="634">
        <f>'[10]Lagged.Calendar HDDs'!I129</f>
        <v>28</v>
      </c>
      <c r="H194" s="706">
        <f t="shared" si="22"/>
        <v>30</v>
      </c>
      <c r="J194" s="699">
        <f t="shared" si="24"/>
        <v>41985</v>
      </c>
      <c r="K194" s="630">
        <f>'[10]10yr Lagged Norms'!E144</f>
        <v>31.6</v>
      </c>
      <c r="L194" s="630">
        <f>'[10]10yr Lagged Norms'!F144</f>
        <v>25.7</v>
      </c>
      <c r="M194" s="630">
        <f>'[10]10yr Lagged Norms'!G144</f>
        <v>30.4</v>
      </c>
      <c r="N194" s="630">
        <f>'[10]10yr Lagged Norms'!H144</f>
        <v>28.2</v>
      </c>
      <c r="O194" s="630">
        <f>'[10]10yr Lagged Norms'!I144</f>
        <v>28.7</v>
      </c>
      <c r="P194" s="707">
        <f t="shared" si="23"/>
        <v>29</v>
      </c>
    </row>
    <row r="195" spans="2:16" x14ac:dyDescent="0.2">
      <c r="B195" s="708">
        <f t="shared" si="25"/>
        <v>41986</v>
      </c>
      <c r="C195" s="634">
        <f>'[10]Lagged.Calendar HDDs'!E130</f>
        <v>22</v>
      </c>
      <c r="D195" s="634">
        <f>'[10]Lagged.Calendar HDDs'!F130</f>
        <v>28</v>
      </c>
      <c r="E195" s="634">
        <f>'[10]Lagged.Calendar HDDs'!G130</f>
        <v>25</v>
      </c>
      <c r="F195" s="634">
        <f>'[10]Lagged.Calendar HDDs'!H130</f>
        <v>20</v>
      </c>
      <c r="G195" s="634">
        <f>'[10]Lagged.Calendar HDDs'!I130</f>
        <v>20</v>
      </c>
      <c r="H195" s="706">
        <f t="shared" si="22"/>
        <v>23</v>
      </c>
      <c r="J195" s="699">
        <f t="shared" si="24"/>
        <v>41986</v>
      </c>
      <c r="K195" s="630">
        <f>'[10]10yr Lagged Norms'!E145</f>
        <v>29.1</v>
      </c>
      <c r="L195" s="630">
        <f>'[10]10yr Lagged Norms'!F145</f>
        <v>25.4</v>
      </c>
      <c r="M195" s="630">
        <f>'[10]10yr Lagged Norms'!G145</f>
        <v>28.8</v>
      </c>
      <c r="N195" s="630">
        <f>'[10]10yr Lagged Norms'!H145</f>
        <v>26.6</v>
      </c>
      <c r="O195" s="630">
        <f>'[10]10yr Lagged Norms'!I145</f>
        <v>26.9</v>
      </c>
      <c r="P195" s="707">
        <f t="shared" si="23"/>
        <v>27</v>
      </c>
    </row>
    <row r="196" spans="2:16" x14ac:dyDescent="0.2">
      <c r="B196" s="708">
        <f t="shared" si="25"/>
        <v>41987</v>
      </c>
      <c r="C196" s="634">
        <f>'[10]Lagged.Calendar HDDs'!E131</f>
        <v>18</v>
      </c>
      <c r="D196" s="634">
        <f>'[10]Lagged.Calendar HDDs'!F131</f>
        <v>21</v>
      </c>
      <c r="E196" s="634">
        <f>'[10]Lagged.Calendar HDDs'!G131</f>
        <v>22</v>
      </c>
      <c r="F196" s="634">
        <f>'[10]Lagged.Calendar HDDs'!H131</f>
        <v>18</v>
      </c>
      <c r="G196" s="634">
        <f>'[10]Lagged.Calendar HDDs'!I131</f>
        <v>14</v>
      </c>
      <c r="H196" s="706">
        <f t="shared" si="22"/>
        <v>18</v>
      </c>
      <c r="J196" s="699">
        <f t="shared" si="24"/>
        <v>41987</v>
      </c>
      <c r="K196" s="630">
        <f>'[10]10yr Lagged Norms'!E146</f>
        <v>23.2</v>
      </c>
      <c r="L196" s="630">
        <f>'[10]10yr Lagged Norms'!F146</f>
        <v>20.9</v>
      </c>
      <c r="M196" s="630">
        <f>'[10]10yr Lagged Norms'!G146</f>
        <v>24.3</v>
      </c>
      <c r="N196" s="630">
        <f>'[10]10yr Lagged Norms'!H146</f>
        <v>21.6</v>
      </c>
      <c r="O196" s="630">
        <f>'[10]10yr Lagged Norms'!I146</f>
        <v>21.6</v>
      </c>
      <c r="P196" s="707">
        <f t="shared" si="23"/>
        <v>22</v>
      </c>
    </row>
    <row r="197" spans="2:16" x14ac:dyDescent="0.2">
      <c r="B197" s="708">
        <f t="shared" si="25"/>
        <v>41988</v>
      </c>
      <c r="C197" s="634">
        <f>'[10]Lagged.Calendar HDDs'!E132</f>
        <v>15</v>
      </c>
      <c r="D197" s="634">
        <f>'[10]Lagged.Calendar HDDs'!F132</f>
        <v>23</v>
      </c>
      <c r="E197" s="634">
        <f>'[10]Lagged.Calendar HDDs'!G132</f>
        <v>19</v>
      </c>
      <c r="F197" s="634">
        <f>'[10]Lagged.Calendar HDDs'!H132</f>
        <v>17</v>
      </c>
      <c r="G197" s="634">
        <f>'[10]Lagged.Calendar HDDs'!I132</f>
        <v>15</v>
      </c>
      <c r="H197" s="706">
        <f t="shared" si="22"/>
        <v>17</v>
      </c>
      <c r="J197" s="699">
        <f t="shared" si="24"/>
        <v>41988</v>
      </c>
      <c r="K197" s="630">
        <f>'[10]10yr Lagged Norms'!E147</f>
        <v>24.8</v>
      </c>
      <c r="L197" s="630">
        <f>'[10]10yr Lagged Norms'!F147</f>
        <v>21.2</v>
      </c>
      <c r="M197" s="630">
        <f>'[10]10yr Lagged Norms'!G147</f>
        <v>25.6</v>
      </c>
      <c r="N197" s="630">
        <f>'[10]10yr Lagged Norms'!H147</f>
        <v>23.7</v>
      </c>
      <c r="O197" s="630">
        <f>'[10]10yr Lagged Norms'!I147</f>
        <v>23.1</v>
      </c>
      <c r="P197" s="707">
        <f t="shared" si="23"/>
        <v>23</v>
      </c>
    </row>
    <row r="198" spans="2:16" x14ac:dyDescent="0.2">
      <c r="B198" s="708">
        <f t="shared" si="25"/>
        <v>41989</v>
      </c>
      <c r="C198" s="634">
        <f>'[10]Lagged.Calendar HDDs'!E133</f>
        <v>20</v>
      </c>
      <c r="D198" s="634">
        <f>'[10]Lagged.Calendar HDDs'!F133</f>
        <v>16</v>
      </c>
      <c r="E198" s="634">
        <f>'[10]Lagged.Calendar HDDs'!G133</f>
        <v>20</v>
      </c>
      <c r="F198" s="634">
        <f>'[10]Lagged.Calendar HDDs'!H133</f>
        <v>18</v>
      </c>
      <c r="G198" s="634">
        <f>'[10]Lagged.Calendar HDDs'!I133</f>
        <v>22</v>
      </c>
      <c r="H198" s="706">
        <f t="shared" si="22"/>
        <v>20</v>
      </c>
      <c r="J198" s="699">
        <f t="shared" si="24"/>
        <v>41989</v>
      </c>
      <c r="K198" s="630">
        <f>'[10]10yr Lagged Norms'!E148</f>
        <v>28.8</v>
      </c>
      <c r="L198" s="630">
        <f>'[10]10yr Lagged Norms'!F148</f>
        <v>21.8</v>
      </c>
      <c r="M198" s="630">
        <f>'[10]10yr Lagged Norms'!G148</f>
        <v>27.4</v>
      </c>
      <c r="N198" s="630">
        <f>'[10]10yr Lagged Norms'!H148</f>
        <v>26</v>
      </c>
      <c r="O198" s="630">
        <f>'[10]10yr Lagged Norms'!I148</f>
        <v>27.1</v>
      </c>
      <c r="P198" s="707">
        <f t="shared" si="23"/>
        <v>26</v>
      </c>
    </row>
    <row r="199" spans="2:16" x14ac:dyDescent="0.2">
      <c r="B199" s="708">
        <f t="shared" si="25"/>
        <v>41990</v>
      </c>
      <c r="C199" s="634">
        <f>'[10]Lagged.Calendar HDDs'!E134</f>
        <v>31</v>
      </c>
      <c r="D199" s="634">
        <f>'[10]Lagged.Calendar HDDs'!F134</f>
        <v>28</v>
      </c>
      <c r="E199" s="634">
        <f>'[10]Lagged.Calendar HDDs'!G134</f>
        <v>33</v>
      </c>
      <c r="F199" s="634">
        <f>'[10]Lagged.Calendar HDDs'!H134</f>
        <v>31</v>
      </c>
      <c r="G199" s="634">
        <f>'[10]Lagged.Calendar HDDs'!I134</f>
        <v>29</v>
      </c>
      <c r="H199" s="706">
        <f t="shared" si="22"/>
        <v>30</v>
      </c>
      <c r="J199" s="699">
        <f t="shared" si="24"/>
        <v>41990</v>
      </c>
      <c r="K199" s="630">
        <f>'[10]10yr Lagged Norms'!E149</f>
        <v>28.8</v>
      </c>
      <c r="L199" s="630">
        <f>'[10]10yr Lagged Norms'!F149</f>
        <v>22.8</v>
      </c>
      <c r="M199" s="630">
        <f>'[10]10yr Lagged Norms'!G149</f>
        <v>28.7</v>
      </c>
      <c r="N199" s="630">
        <f>'[10]10yr Lagged Norms'!H149</f>
        <v>26.3</v>
      </c>
      <c r="O199" s="630">
        <f>'[10]10yr Lagged Norms'!I149</f>
        <v>27.1</v>
      </c>
      <c r="P199" s="707">
        <f t="shared" si="23"/>
        <v>27</v>
      </c>
    </row>
    <row r="200" spans="2:16" x14ac:dyDescent="0.2">
      <c r="B200" s="708">
        <f t="shared" si="25"/>
        <v>41991</v>
      </c>
      <c r="C200" s="634">
        <f>'[10]Lagged.Calendar HDDs'!E135</f>
        <v>32</v>
      </c>
      <c r="D200" s="634">
        <f>'[10]Lagged.Calendar HDDs'!F135</f>
        <v>29</v>
      </c>
      <c r="E200" s="634">
        <f>'[10]Lagged.Calendar HDDs'!G135</f>
        <v>35</v>
      </c>
      <c r="F200" s="634">
        <f>'[10]Lagged.Calendar HDDs'!H135</f>
        <v>33</v>
      </c>
      <c r="G200" s="634">
        <f>'[10]Lagged.Calendar HDDs'!I135</f>
        <v>30</v>
      </c>
      <c r="H200" s="706">
        <f t="shared" si="22"/>
        <v>31</v>
      </c>
      <c r="J200" s="699">
        <f t="shared" si="24"/>
        <v>41991</v>
      </c>
      <c r="K200" s="630">
        <f>'[10]10yr Lagged Norms'!E150</f>
        <v>28.3</v>
      </c>
      <c r="L200" s="630">
        <f>'[10]10yr Lagged Norms'!F150</f>
        <v>22.9</v>
      </c>
      <c r="M200" s="630">
        <f>'[10]10yr Lagged Norms'!G150</f>
        <v>28.8</v>
      </c>
      <c r="N200" s="630">
        <f>'[10]10yr Lagged Norms'!H150</f>
        <v>27</v>
      </c>
      <c r="O200" s="630">
        <f>'[10]10yr Lagged Norms'!I150</f>
        <v>25.6</v>
      </c>
      <c r="P200" s="707">
        <f t="shared" si="23"/>
        <v>26</v>
      </c>
    </row>
    <row r="201" spans="2:16" x14ac:dyDescent="0.2">
      <c r="B201" s="708">
        <f t="shared" si="25"/>
        <v>41992</v>
      </c>
      <c r="C201" s="634">
        <f>'[10]Lagged.Calendar HDDs'!E136</f>
        <v>31</v>
      </c>
      <c r="D201" s="634">
        <f>'[10]Lagged.Calendar HDDs'!F136</f>
        <v>27</v>
      </c>
      <c r="E201" s="634">
        <f>'[10]Lagged.Calendar HDDs'!G136</f>
        <v>37</v>
      </c>
      <c r="F201" s="634">
        <f>'[10]Lagged.Calendar HDDs'!H136</f>
        <v>33</v>
      </c>
      <c r="G201" s="634">
        <f>'[10]Lagged.Calendar HDDs'!I136</f>
        <v>27</v>
      </c>
      <c r="H201" s="706">
        <f t="shared" si="22"/>
        <v>30</v>
      </c>
      <c r="J201" s="699">
        <f t="shared" si="24"/>
        <v>41992</v>
      </c>
      <c r="K201" s="630">
        <f>'[10]10yr Lagged Norms'!E151</f>
        <v>26.4</v>
      </c>
      <c r="L201" s="630">
        <f>'[10]10yr Lagged Norms'!F151</f>
        <v>20.9</v>
      </c>
      <c r="M201" s="630">
        <f>'[10]10yr Lagged Norms'!G151</f>
        <v>26.8</v>
      </c>
      <c r="N201" s="630">
        <f>'[10]10yr Lagged Norms'!H151</f>
        <v>24.3</v>
      </c>
      <c r="O201" s="630">
        <f>'[10]10yr Lagged Norms'!I151</f>
        <v>23.6</v>
      </c>
      <c r="P201" s="707">
        <f t="shared" si="23"/>
        <v>24</v>
      </c>
    </row>
    <row r="202" spans="2:16" x14ac:dyDescent="0.2">
      <c r="B202" s="708">
        <f t="shared" si="25"/>
        <v>41993</v>
      </c>
      <c r="C202" s="634">
        <f>'[10]Lagged.Calendar HDDs'!E137</f>
        <v>31</v>
      </c>
      <c r="D202" s="634">
        <f>'[10]Lagged.Calendar HDDs'!F137</f>
        <v>27</v>
      </c>
      <c r="E202" s="634">
        <f>'[10]Lagged.Calendar HDDs'!G137</f>
        <v>34</v>
      </c>
      <c r="F202" s="634">
        <f>'[10]Lagged.Calendar HDDs'!H137</f>
        <v>31</v>
      </c>
      <c r="G202" s="634">
        <f>'[10]Lagged.Calendar HDDs'!I137</f>
        <v>28</v>
      </c>
      <c r="H202" s="706">
        <f t="shared" si="22"/>
        <v>29</v>
      </c>
      <c r="J202" s="699">
        <f t="shared" si="24"/>
        <v>41993</v>
      </c>
      <c r="K202" s="630">
        <f>'[10]10yr Lagged Norms'!E152</f>
        <v>25.7</v>
      </c>
      <c r="L202" s="630">
        <f>'[10]10yr Lagged Norms'!F152</f>
        <v>21.5</v>
      </c>
      <c r="M202" s="630">
        <f>'[10]10yr Lagged Norms'!G152</f>
        <v>27.4</v>
      </c>
      <c r="N202" s="630">
        <f>'[10]10yr Lagged Norms'!H152</f>
        <v>24.7</v>
      </c>
      <c r="O202" s="630">
        <f>'[10]10yr Lagged Norms'!I152</f>
        <v>23.9</v>
      </c>
      <c r="P202" s="707">
        <f t="shared" si="23"/>
        <v>24</v>
      </c>
    </row>
    <row r="203" spans="2:16" x14ac:dyDescent="0.2">
      <c r="B203" s="708">
        <f t="shared" si="25"/>
        <v>41994</v>
      </c>
      <c r="C203" s="634">
        <f>'[10]Lagged.Calendar HDDs'!E138</f>
        <v>29</v>
      </c>
      <c r="D203" s="634">
        <f>'[10]Lagged.Calendar HDDs'!F138</f>
        <v>25</v>
      </c>
      <c r="E203" s="634">
        <f>'[10]Lagged.Calendar HDDs'!G138</f>
        <v>34</v>
      </c>
      <c r="F203" s="634">
        <f>'[10]Lagged.Calendar HDDs'!H138</f>
        <v>30</v>
      </c>
      <c r="G203" s="634">
        <f>'[10]Lagged.Calendar HDDs'!I138</f>
        <v>28</v>
      </c>
      <c r="H203" s="706">
        <f t="shared" si="22"/>
        <v>28</v>
      </c>
      <c r="J203" s="699">
        <f t="shared" si="24"/>
        <v>41994</v>
      </c>
      <c r="K203" s="630">
        <f>'[10]10yr Lagged Norms'!E153</f>
        <v>25.2</v>
      </c>
      <c r="L203" s="630">
        <f>'[10]10yr Lagged Norms'!F153</f>
        <v>20.2</v>
      </c>
      <c r="M203" s="630">
        <f>'[10]10yr Lagged Norms'!G153</f>
        <v>26</v>
      </c>
      <c r="N203" s="630">
        <f>'[10]10yr Lagged Norms'!H153</f>
        <v>23.5</v>
      </c>
      <c r="O203" s="630">
        <f>'[10]10yr Lagged Norms'!I153</f>
        <v>23.7</v>
      </c>
      <c r="P203" s="707">
        <f t="shared" si="23"/>
        <v>24</v>
      </c>
    </row>
    <row r="204" spans="2:16" x14ac:dyDescent="0.2">
      <c r="B204" s="708">
        <f t="shared" si="25"/>
        <v>41995</v>
      </c>
      <c r="C204" s="634">
        <f>'[10]Lagged.Calendar HDDs'!E139</f>
        <v>22</v>
      </c>
      <c r="D204" s="634">
        <f>'[10]Lagged.Calendar HDDs'!F139</f>
        <v>17</v>
      </c>
      <c r="E204" s="634">
        <f>'[10]Lagged.Calendar HDDs'!G139</f>
        <v>20</v>
      </c>
      <c r="F204" s="634">
        <f>'[10]Lagged.Calendar HDDs'!H139</f>
        <v>21</v>
      </c>
      <c r="G204" s="634">
        <f>'[10]Lagged.Calendar HDDs'!I139</f>
        <v>17</v>
      </c>
      <c r="H204" s="706">
        <f t="shared" ref="H204:H267" si="26">IFERROR(ROUND((C204*C$70)+(D204*D$70)+(E204*E$70)+(F204*F$70)+(G204*G$70),0),0)</f>
        <v>19</v>
      </c>
      <c r="J204" s="699">
        <f t="shared" si="24"/>
        <v>41995</v>
      </c>
      <c r="K204" s="630">
        <f>'[10]10yr Lagged Norms'!E154</f>
        <v>27</v>
      </c>
      <c r="L204" s="630">
        <f>'[10]10yr Lagged Norms'!F154</f>
        <v>22.8</v>
      </c>
      <c r="M204" s="630">
        <f>'[10]10yr Lagged Norms'!G154</f>
        <v>27.1</v>
      </c>
      <c r="N204" s="630">
        <f>'[10]10yr Lagged Norms'!H154</f>
        <v>25.1</v>
      </c>
      <c r="O204" s="630">
        <f>'[10]10yr Lagged Norms'!I154</f>
        <v>25</v>
      </c>
      <c r="P204" s="707">
        <f t="shared" ref="P204:P267" si="27">IFERROR(ROUND((K204*C$70)+(L204*D$70)+(M204*E$70)+(N204*F$70)+(O204*G$70),0),0)</f>
        <v>25</v>
      </c>
    </row>
    <row r="205" spans="2:16" x14ac:dyDescent="0.2">
      <c r="B205" s="708">
        <f t="shared" si="25"/>
        <v>41996</v>
      </c>
      <c r="C205" s="634">
        <f>'[10]Lagged.Calendar HDDs'!E140</f>
        <v>14</v>
      </c>
      <c r="D205" s="634">
        <f>'[10]Lagged.Calendar HDDs'!F140</f>
        <v>10</v>
      </c>
      <c r="E205" s="634">
        <f>'[10]Lagged.Calendar HDDs'!G140</f>
        <v>11</v>
      </c>
      <c r="F205" s="634">
        <f>'[10]Lagged.Calendar HDDs'!H140</f>
        <v>10</v>
      </c>
      <c r="G205" s="634">
        <f>'[10]Lagged.Calendar HDDs'!I140</f>
        <v>15</v>
      </c>
      <c r="H205" s="706">
        <f t="shared" si="26"/>
        <v>13</v>
      </c>
      <c r="J205" s="699">
        <f t="shared" ref="J205:J268" si="28">B205</f>
        <v>41996</v>
      </c>
      <c r="K205" s="630">
        <f>'[10]10yr Lagged Norms'!E155</f>
        <v>25</v>
      </c>
      <c r="L205" s="630">
        <f>'[10]10yr Lagged Norms'!F155</f>
        <v>22.2</v>
      </c>
      <c r="M205" s="630">
        <f>'[10]10yr Lagged Norms'!G155</f>
        <v>25.6</v>
      </c>
      <c r="N205" s="630">
        <f>'[10]10yr Lagged Norms'!H155</f>
        <v>23.4</v>
      </c>
      <c r="O205" s="630">
        <f>'[10]10yr Lagged Norms'!I155</f>
        <v>23.4</v>
      </c>
      <c r="P205" s="707">
        <f t="shared" si="27"/>
        <v>24</v>
      </c>
    </row>
    <row r="206" spans="2:16" x14ac:dyDescent="0.2">
      <c r="B206" s="708">
        <f t="shared" ref="B206:B269" si="29">B205+1</f>
        <v>41997</v>
      </c>
      <c r="C206" s="634">
        <f>'[10]Lagged.Calendar HDDs'!E141</f>
        <v>22</v>
      </c>
      <c r="D206" s="634">
        <f>'[10]Lagged.Calendar HDDs'!F141</f>
        <v>16</v>
      </c>
      <c r="E206" s="634">
        <f>'[10]Lagged.Calendar HDDs'!G141</f>
        <v>16</v>
      </c>
      <c r="F206" s="634">
        <f>'[10]Lagged.Calendar HDDs'!H141</f>
        <v>16</v>
      </c>
      <c r="G206" s="634">
        <f>'[10]Lagged.Calendar HDDs'!I141</f>
        <v>21</v>
      </c>
      <c r="H206" s="706">
        <f t="shared" si="26"/>
        <v>19</v>
      </c>
      <c r="J206" s="699">
        <f t="shared" si="28"/>
        <v>41997</v>
      </c>
      <c r="K206" s="630">
        <f>'[10]10yr Lagged Norms'!E156</f>
        <v>26.8</v>
      </c>
      <c r="L206" s="630">
        <f>'[10]10yr Lagged Norms'!F156</f>
        <v>21.5</v>
      </c>
      <c r="M206" s="630">
        <f>'[10]10yr Lagged Norms'!G156</f>
        <v>26.7</v>
      </c>
      <c r="N206" s="630">
        <f>'[10]10yr Lagged Norms'!H156</f>
        <v>25.2</v>
      </c>
      <c r="O206" s="630">
        <f>'[10]10yr Lagged Norms'!I156</f>
        <v>25.2</v>
      </c>
      <c r="P206" s="707">
        <f t="shared" si="27"/>
        <v>25</v>
      </c>
    </row>
    <row r="207" spans="2:16" x14ac:dyDescent="0.2">
      <c r="B207" s="708">
        <f t="shared" si="29"/>
        <v>41998</v>
      </c>
      <c r="C207" s="634">
        <f>'[10]Lagged.Calendar HDDs'!E142</f>
        <v>21</v>
      </c>
      <c r="D207" s="634">
        <f>'[10]Lagged.Calendar HDDs'!F142</f>
        <v>22</v>
      </c>
      <c r="E207" s="634">
        <f>'[10]Lagged.Calendar HDDs'!G142</f>
        <v>28</v>
      </c>
      <c r="F207" s="634">
        <f>'[10]Lagged.Calendar HDDs'!H142</f>
        <v>25</v>
      </c>
      <c r="G207" s="634">
        <f>'[10]Lagged.Calendar HDDs'!I142</f>
        <v>22</v>
      </c>
      <c r="H207" s="706">
        <f t="shared" si="26"/>
        <v>23</v>
      </c>
      <c r="J207" s="699">
        <f t="shared" si="28"/>
        <v>41998</v>
      </c>
      <c r="K207" s="630">
        <f>'[10]10yr Lagged Norms'!E157</f>
        <v>28</v>
      </c>
      <c r="L207" s="630">
        <f>'[10]10yr Lagged Norms'!F157</f>
        <v>25</v>
      </c>
      <c r="M207" s="630">
        <f>'[10]10yr Lagged Norms'!G157</f>
        <v>29</v>
      </c>
      <c r="N207" s="630">
        <f>'[10]10yr Lagged Norms'!H157</f>
        <v>27.5</v>
      </c>
      <c r="O207" s="630">
        <f>'[10]10yr Lagged Norms'!I157</f>
        <v>27.8</v>
      </c>
      <c r="P207" s="707">
        <f t="shared" si="27"/>
        <v>27</v>
      </c>
    </row>
    <row r="208" spans="2:16" x14ac:dyDescent="0.2">
      <c r="B208" s="708">
        <f t="shared" si="29"/>
        <v>41999</v>
      </c>
      <c r="C208" s="634">
        <f>'[10]Lagged.Calendar HDDs'!E143</f>
        <v>18</v>
      </c>
      <c r="D208" s="634">
        <f>'[10]Lagged.Calendar HDDs'!F143</f>
        <v>22</v>
      </c>
      <c r="E208" s="634">
        <f>'[10]Lagged.Calendar HDDs'!G143</f>
        <v>23</v>
      </c>
      <c r="F208" s="634">
        <f>'[10]Lagged.Calendar HDDs'!H143</f>
        <v>20</v>
      </c>
      <c r="G208" s="634">
        <f>'[10]Lagged.Calendar HDDs'!I143</f>
        <v>16</v>
      </c>
      <c r="H208" s="706">
        <f t="shared" si="26"/>
        <v>19</v>
      </c>
      <c r="J208" s="699">
        <f t="shared" si="28"/>
        <v>41999</v>
      </c>
      <c r="K208" s="630">
        <f>'[10]10yr Lagged Norms'!E158</f>
        <v>28.3</v>
      </c>
      <c r="L208" s="630">
        <f>'[10]10yr Lagged Norms'!F158</f>
        <v>25.8</v>
      </c>
      <c r="M208" s="630">
        <f>'[10]10yr Lagged Norms'!G158</f>
        <v>27.9</v>
      </c>
      <c r="N208" s="630">
        <f>'[10]10yr Lagged Norms'!H158</f>
        <v>27.1</v>
      </c>
      <c r="O208" s="630">
        <f>'[10]10yr Lagged Norms'!I158</f>
        <v>27.5</v>
      </c>
      <c r="P208" s="707">
        <f t="shared" si="27"/>
        <v>27</v>
      </c>
    </row>
    <row r="209" spans="2:16" x14ac:dyDescent="0.2">
      <c r="B209" s="708">
        <f t="shared" si="29"/>
        <v>42000</v>
      </c>
      <c r="C209" s="634">
        <f>'[10]Lagged.Calendar HDDs'!E144</f>
        <v>20</v>
      </c>
      <c r="D209" s="634">
        <f>'[10]Lagged.Calendar HDDs'!F144</f>
        <v>12</v>
      </c>
      <c r="E209" s="634">
        <f>'[10]Lagged.Calendar HDDs'!G144</f>
        <v>16</v>
      </c>
      <c r="F209" s="634">
        <f>'[10]Lagged.Calendar HDDs'!H144</f>
        <v>15</v>
      </c>
      <c r="G209" s="634">
        <f>'[10]Lagged.Calendar HDDs'!I144</f>
        <v>19</v>
      </c>
      <c r="H209" s="706">
        <f t="shared" si="26"/>
        <v>17</v>
      </c>
      <c r="J209" s="699">
        <f t="shared" si="28"/>
        <v>42000</v>
      </c>
      <c r="K209" s="630">
        <f>'[10]10yr Lagged Norms'!E159</f>
        <v>26</v>
      </c>
      <c r="L209" s="630">
        <f>'[10]10yr Lagged Norms'!F159</f>
        <v>22.3</v>
      </c>
      <c r="M209" s="630">
        <f>'[10]10yr Lagged Norms'!G159</f>
        <v>25.7</v>
      </c>
      <c r="N209" s="630">
        <f>'[10]10yr Lagged Norms'!H159</f>
        <v>24.3</v>
      </c>
      <c r="O209" s="630">
        <f>'[10]10yr Lagged Norms'!I159</f>
        <v>26.1</v>
      </c>
      <c r="P209" s="707">
        <f t="shared" si="27"/>
        <v>25</v>
      </c>
    </row>
    <row r="210" spans="2:16" x14ac:dyDescent="0.2">
      <c r="B210" s="708">
        <f t="shared" si="29"/>
        <v>42001</v>
      </c>
      <c r="C210" s="634">
        <f>'[10]Lagged.Calendar HDDs'!E145</f>
        <v>28</v>
      </c>
      <c r="D210" s="634">
        <f>'[10]Lagged.Calendar HDDs'!F145</f>
        <v>21</v>
      </c>
      <c r="E210" s="634">
        <f>'[10]Lagged.Calendar HDDs'!G145</f>
        <v>25</v>
      </c>
      <c r="F210" s="634">
        <f>'[10]Lagged.Calendar HDDs'!H145</f>
        <v>23</v>
      </c>
      <c r="G210" s="634">
        <f>'[10]Lagged.Calendar HDDs'!I145</f>
        <v>28</v>
      </c>
      <c r="H210" s="706">
        <f t="shared" si="26"/>
        <v>26</v>
      </c>
      <c r="J210" s="699">
        <f t="shared" si="28"/>
        <v>42001</v>
      </c>
      <c r="K210" s="630">
        <f>'[10]10yr Lagged Norms'!E160</f>
        <v>27.1</v>
      </c>
      <c r="L210" s="630">
        <f>'[10]10yr Lagged Norms'!F160</f>
        <v>24.3</v>
      </c>
      <c r="M210" s="630">
        <f>'[10]10yr Lagged Norms'!G160</f>
        <v>26.7</v>
      </c>
      <c r="N210" s="630">
        <f>'[10]10yr Lagged Norms'!H160</f>
        <v>25</v>
      </c>
      <c r="O210" s="630">
        <f>'[10]10yr Lagged Norms'!I160</f>
        <v>27.6</v>
      </c>
      <c r="P210" s="707">
        <f t="shared" si="27"/>
        <v>26</v>
      </c>
    </row>
    <row r="211" spans="2:16" x14ac:dyDescent="0.2">
      <c r="B211" s="708">
        <f t="shared" si="29"/>
        <v>42002</v>
      </c>
      <c r="C211" s="634">
        <f>'[10]Lagged.Calendar HDDs'!E146</f>
        <v>29</v>
      </c>
      <c r="D211" s="634">
        <f>'[10]Lagged.Calendar HDDs'!F146</f>
        <v>26</v>
      </c>
      <c r="E211" s="634">
        <f>'[10]Lagged.Calendar HDDs'!G146</f>
        <v>32</v>
      </c>
      <c r="F211" s="634">
        <f>'[10]Lagged.Calendar HDDs'!H146</f>
        <v>28</v>
      </c>
      <c r="G211" s="634">
        <f>'[10]Lagged.Calendar HDDs'!I146</f>
        <v>32</v>
      </c>
      <c r="H211" s="706">
        <f t="shared" si="26"/>
        <v>30</v>
      </c>
      <c r="J211" s="699">
        <f t="shared" si="28"/>
        <v>42002</v>
      </c>
      <c r="K211" s="630">
        <f>'[10]10yr Lagged Norms'!E161</f>
        <v>28.6</v>
      </c>
      <c r="L211" s="630">
        <f>'[10]10yr Lagged Norms'!F161</f>
        <v>24.4</v>
      </c>
      <c r="M211" s="630">
        <f>'[10]10yr Lagged Norms'!G161</f>
        <v>28.9</v>
      </c>
      <c r="N211" s="630">
        <f>'[10]10yr Lagged Norms'!H161</f>
        <v>26.8</v>
      </c>
      <c r="O211" s="630">
        <f>'[10]10yr Lagged Norms'!I161</f>
        <v>26.9</v>
      </c>
      <c r="P211" s="707">
        <f t="shared" si="27"/>
        <v>27</v>
      </c>
    </row>
    <row r="212" spans="2:16" x14ac:dyDescent="0.2">
      <c r="B212" s="708">
        <f t="shared" si="29"/>
        <v>42003</v>
      </c>
      <c r="C212" s="634">
        <f>'[10]Lagged.Calendar HDDs'!E147</f>
        <v>34</v>
      </c>
      <c r="D212" s="634">
        <f>'[10]Lagged.Calendar HDDs'!F147</f>
        <v>29</v>
      </c>
      <c r="E212" s="634">
        <f>'[10]Lagged.Calendar HDDs'!G147</f>
        <v>35</v>
      </c>
      <c r="F212" s="634">
        <f>'[10]Lagged.Calendar HDDs'!H147</f>
        <v>32</v>
      </c>
      <c r="G212" s="634">
        <f>'[10]Lagged.Calendar HDDs'!I147</f>
        <v>33</v>
      </c>
      <c r="H212" s="706">
        <f t="shared" si="26"/>
        <v>33</v>
      </c>
      <c r="J212" s="699">
        <f t="shared" si="28"/>
        <v>42003</v>
      </c>
      <c r="K212" s="630">
        <f>'[10]10yr Lagged Norms'!E162</f>
        <v>26.6</v>
      </c>
      <c r="L212" s="630">
        <f>'[10]10yr Lagged Norms'!F162</f>
        <v>22.3</v>
      </c>
      <c r="M212" s="630">
        <f>'[10]10yr Lagged Norms'!G162</f>
        <v>27.3</v>
      </c>
      <c r="N212" s="630">
        <f>'[10]10yr Lagged Norms'!H162</f>
        <v>25.1</v>
      </c>
      <c r="O212" s="630">
        <f>'[10]10yr Lagged Norms'!I162</f>
        <v>24.7</v>
      </c>
      <c r="P212" s="707">
        <f t="shared" si="27"/>
        <v>25</v>
      </c>
    </row>
    <row r="213" spans="2:16" x14ac:dyDescent="0.2">
      <c r="B213" s="708">
        <f t="shared" si="29"/>
        <v>42004</v>
      </c>
      <c r="C213" s="634">
        <f>'[10]Lagged.Calendar HDDs'!E148</f>
        <v>41</v>
      </c>
      <c r="D213" s="634">
        <f>'[10]Lagged.Calendar HDDs'!F148</f>
        <v>36</v>
      </c>
      <c r="E213" s="634">
        <f>'[10]Lagged.Calendar HDDs'!G148</f>
        <v>42</v>
      </c>
      <c r="F213" s="634">
        <f>'[10]Lagged.Calendar HDDs'!H148</f>
        <v>40</v>
      </c>
      <c r="G213" s="634">
        <f>'[10]Lagged.Calendar HDDs'!I148</f>
        <v>39</v>
      </c>
      <c r="H213" s="706">
        <f t="shared" si="26"/>
        <v>39</v>
      </c>
      <c r="J213" s="699">
        <f t="shared" si="28"/>
        <v>42004</v>
      </c>
      <c r="K213" s="630">
        <f>'[10]10yr Lagged Norms'!E163</f>
        <v>26.3</v>
      </c>
      <c r="L213" s="630">
        <f>'[10]10yr Lagged Norms'!F163</f>
        <v>21.7</v>
      </c>
      <c r="M213" s="630">
        <f>'[10]10yr Lagged Norms'!G163</f>
        <v>26.2</v>
      </c>
      <c r="N213" s="630">
        <f>'[10]10yr Lagged Norms'!H163</f>
        <v>23.8</v>
      </c>
      <c r="O213" s="630">
        <f>'[10]10yr Lagged Norms'!I163</f>
        <v>24</v>
      </c>
      <c r="P213" s="707">
        <f t="shared" si="27"/>
        <v>24</v>
      </c>
    </row>
    <row r="214" spans="2:16" x14ac:dyDescent="0.2">
      <c r="B214" s="708">
        <f t="shared" si="29"/>
        <v>42005</v>
      </c>
      <c r="C214" s="634">
        <f>'[10]Lagged.Calendar HDDs'!E149</f>
        <v>33</v>
      </c>
      <c r="D214" s="634">
        <f>'[10]Lagged.Calendar HDDs'!F149</f>
        <v>33</v>
      </c>
      <c r="E214" s="634">
        <f>'[10]Lagged.Calendar HDDs'!G149</f>
        <v>36</v>
      </c>
      <c r="F214" s="634">
        <f>'[10]Lagged.Calendar HDDs'!H149</f>
        <v>33</v>
      </c>
      <c r="G214" s="634">
        <f>'[10]Lagged.Calendar HDDs'!I149</f>
        <v>35</v>
      </c>
      <c r="H214" s="706">
        <f t="shared" si="26"/>
        <v>34</v>
      </c>
      <c r="J214" s="699">
        <f t="shared" si="28"/>
        <v>42005</v>
      </c>
      <c r="K214" s="630">
        <f>'[10]10yr Lagged Norms'!E164</f>
        <v>30.5</v>
      </c>
      <c r="L214" s="630">
        <f>'[10]10yr Lagged Norms'!F164</f>
        <v>25.5</v>
      </c>
      <c r="M214" s="630">
        <f>'[10]10yr Lagged Norms'!G164</f>
        <v>29.2</v>
      </c>
      <c r="N214" s="630">
        <f>'[10]10yr Lagged Norms'!H164</f>
        <v>28.2</v>
      </c>
      <c r="O214" s="630">
        <f>'[10]10yr Lagged Norms'!I164</f>
        <v>29.6</v>
      </c>
      <c r="P214" s="707">
        <f t="shared" si="27"/>
        <v>29</v>
      </c>
    </row>
    <row r="215" spans="2:16" x14ac:dyDescent="0.2">
      <c r="B215" s="708">
        <f t="shared" si="29"/>
        <v>42006</v>
      </c>
      <c r="C215" s="634">
        <f>'[10]Lagged.Calendar HDDs'!E150</f>
        <v>28</v>
      </c>
      <c r="D215" s="634">
        <f>'[10]Lagged.Calendar HDDs'!F150</f>
        <v>24</v>
      </c>
      <c r="E215" s="634">
        <f>'[10]Lagged.Calendar HDDs'!G150</f>
        <v>29</v>
      </c>
      <c r="F215" s="634">
        <f>'[10]Lagged.Calendar HDDs'!H150</f>
        <v>28</v>
      </c>
      <c r="G215" s="634">
        <f>'[10]Lagged.Calendar HDDs'!I150</f>
        <v>27</v>
      </c>
      <c r="H215" s="706">
        <f t="shared" si="26"/>
        <v>27</v>
      </c>
      <c r="J215" s="699">
        <f t="shared" si="28"/>
        <v>42006</v>
      </c>
      <c r="K215" s="630">
        <f>'[10]10yr Lagged Norms'!E165</f>
        <v>34.299999999999997</v>
      </c>
      <c r="L215" s="630">
        <f>'[10]10yr Lagged Norms'!F165</f>
        <v>28.9</v>
      </c>
      <c r="M215" s="630">
        <f>'[10]10yr Lagged Norms'!G165</f>
        <v>33.9</v>
      </c>
      <c r="N215" s="630">
        <f>'[10]10yr Lagged Norms'!H165</f>
        <v>32.200000000000003</v>
      </c>
      <c r="O215" s="630">
        <f>'[10]10yr Lagged Norms'!I165</f>
        <v>32.700000000000003</v>
      </c>
      <c r="P215" s="707">
        <f t="shared" si="27"/>
        <v>32</v>
      </c>
    </row>
    <row r="216" spans="2:16" x14ac:dyDescent="0.2">
      <c r="B216" s="708">
        <f t="shared" si="29"/>
        <v>42007</v>
      </c>
      <c r="C216" s="634">
        <f>'[10]Lagged.Calendar HDDs'!E151</f>
        <v>14</v>
      </c>
      <c r="D216" s="634">
        <f>'[10]Lagged.Calendar HDDs'!F151</f>
        <v>11</v>
      </c>
      <c r="E216" s="634">
        <f>'[10]Lagged.Calendar HDDs'!G151</f>
        <v>15</v>
      </c>
      <c r="F216" s="634">
        <f>'[10]Lagged.Calendar HDDs'!H151</f>
        <v>14</v>
      </c>
      <c r="G216" s="634">
        <f>'[10]Lagged.Calendar HDDs'!I151</f>
        <v>13</v>
      </c>
      <c r="H216" s="706">
        <f t="shared" si="26"/>
        <v>13</v>
      </c>
      <c r="J216" s="699">
        <f t="shared" si="28"/>
        <v>42007</v>
      </c>
      <c r="K216" s="630">
        <f>'[10]10yr Lagged Norms'!E166</f>
        <v>33.1</v>
      </c>
      <c r="L216" s="630">
        <f>'[10]10yr Lagged Norms'!F166</f>
        <v>29.7</v>
      </c>
      <c r="M216" s="630">
        <f>'[10]10yr Lagged Norms'!G166</f>
        <v>34.5</v>
      </c>
      <c r="N216" s="630">
        <f>'[10]10yr Lagged Norms'!H166</f>
        <v>32.1</v>
      </c>
      <c r="O216" s="630">
        <f>'[10]10yr Lagged Norms'!I166</f>
        <v>31.4</v>
      </c>
      <c r="P216" s="707">
        <f t="shared" si="27"/>
        <v>32</v>
      </c>
    </row>
    <row r="217" spans="2:16" x14ac:dyDescent="0.2">
      <c r="B217" s="708">
        <f t="shared" si="29"/>
        <v>42008</v>
      </c>
      <c r="C217" s="634">
        <f>'[10]Lagged.Calendar HDDs'!E152</f>
        <v>28</v>
      </c>
      <c r="D217" s="634">
        <f>'[10]Lagged.Calendar HDDs'!F152</f>
        <v>19</v>
      </c>
      <c r="E217" s="634">
        <f>'[10]Lagged.Calendar HDDs'!G152</f>
        <v>23</v>
      </c>
      <c r="F217" s="634">
        <f>'[10]Lagged.Calendar HDDs'!H152</f>
        <v>22</v>
      </c>
      <c r="G217" s="634">
        <f>'[10]Lagged.Calendar HDDs'!I152</f>
        <v>29</v>
      </c>
      <c r="H217" s="706">
        <f t="shared" si="26"/>
        <v>25</v>
      </c>
      <c r="J217" s="699">
        <f t="shared" si="28"/>
        <v>42008</v>
      </c>
      <c r="K217" s="630">
        <f>'[10]10yr Lagged Norms'!E167</f>
        <v>28.9</v>
      </c>
      <c r="L217" s="630">
        <f>'[10]10yr Lagged Norms'!F167</f>
        <v>24.7</v>
      </c>
      <c r="M217" s="630">
        <f>'[10]10yr Lagged Norms'!G167</f>
        <v>27.7</v>
      </c>
      <c r="N217" s="630">
        <f>'[10]10yr Lagged Norms'!H167</f>
        <v>26.1</v>
      </c>
      <c r="O217" s="630">
        <f>'[10]10yr Lagged Norms'!I167</f>
        <v>28.1</v>
      </c>
      <c r="P217" s="707">
        <f t="shared" si="27"/>
        <v>27</v>
      </c>
    </row>
    <row r="218" spans="2:16" x14ac:dyDescent="0.2">
      <c r="B218" s="708">
        <f t="shared" si="29"/>
        <v>42009</v>
      </c>
      <c r="C218" s="634">
        <f>'[10]Lagged.Calendar HDDs'!E153</f>
        <v>43</v>
      </c>
      <c r="D218" s="634">
        <f>'[10]Lagged.Calendar HDDs'!F153</f>
        <v>38</v>
      </c>
      <c r="E218" s="634">
        <f>'[10]Lagged.Calendar HDDs'!G153</f>
        <v>45</v>
      </c>
      <c r="F218" s="634">
        <f>'[10]Lagged.Calendar HDDs'!H153</f>
        <v>43</v>
      </c>
      <c r="G218" s="634">
        <f>'[10]Lagged.Calendar HDDs'!I153</f>
        <v>41</v>
      </c>
      <c r="H218" s="706">
        <f t="shared" si="26"/>
        <v>41</v>
      </c>
      <c r="J218" s="699">
        <f t="shared" si="28"/>
        <v>42009</v>
      </c>
      <c r="K218" s="630">
        <f>'[10]10yr Lagged Norms'!E168</f>
        <v>31.8</v>
      </c>
      <c r="L218" s="630">
        <f>'[10]10yr Lagged Norms'!F168</f>
        <v>26.7</v>
      </c>
      <c r="M218" s="630">
        <f>'[10]10yr Lagged Norms'!G168</f>
        <v>29.8</v>
      </c>
      <c r="N218" s="630">
        <f>'[10]10yr Lagged Norms'!H168</f>
        <v>28.5</v>
      </c>
      <c r="O218" s="630">
        <f>'[10]10yr Lagged Norms'!I168</f>
        <v>30.9</v>
      </c>
      <c r="P218" s="707">
        <f t="shared" si="27"/>
        <v>30</v>
      </c>
    </row>
    <row r="219" spans="2:16" x14ac:dyDescent="0.2">
      <c r="B219" s="708">
        <f t="shared" si="29"/>
        <v>42010</v>
      </c>
      <c r="C219" s="634">
        <f>'[10]Lagged.Calendar HDDs'!E154</f>
        <v>35</v>
      </c>
      <c r="D219" s="634">
        <f>'[10]Lagged.Calendar HDDs'!F154</f>
        <v>32</v>
      </c>
      <c r="E219" s="634">
        <f>'[10]Lagged.Calendar HDDs'!G154</f>
        <v>38</v>
      </c>
      <c r="F219" s="634">
        <f>'[10]Lagged.Calendar HDDs'!H154</f>
        <v>36</v>
      </c>
      <c r="G219" s="634">
        <f>'[10]Lagged.Calendar HDDs'!I154</f>
        <v>35</v>
      </c>
      <c r="H219" s="706">
        <f t="shared" si="26"/>
        <v>35</v>
      </c>
      <c r="J219" s="699">
        <f t="shared" si="28"/>
        <v>42010</v>
      </c>
      <c r="K219" s="630">
        <f>'[10]10yr Lagged Norms'!E169</f>
        <v>31.8</v>
      </c>
      <c r="L219" s="630">
        <f>'[10]10yr Lagged Norms'!F169</f>
        <v>26.5</v>
      </c>
      <c r="M219" s="630">
        <f>'[10]10yr Lagged Norms'!G169</f>
        <v>30.5</v>
      </c>
      <c r="N219" s="630">
        <f>'[10]10yr Lagged Norms'!H169</f>
        <v>29.2</v>
      </c>
      <c r="O219" s="630">
        <f>'[10]10yr Lagged Norms'!I169</f>
        <v>30.4</v>
      </c>
      <c r="P219" s="707">
        <f t="shared" si="27"/>
        <v>30</v>
      </c>
    </row>
    <row r="220" spans="2:16" x14ac:dyDescent="0.2">
      <c r="B220" s="708">
        <f t="shared" si="29"/>
        <v>42011</v>
      </c>
      <c r="C220" s="634">
        <f>'[10]Lagged.Calendar HDDs'!E155</f>
        <v>50</v>
      </c>
      <c r="D220" s="634">
        <f>'[10]Lagged.Calendar HDDs'!F155</f>
        <v>48</v>
      </c>
      <c r="E220" s="634">
        <f>'[10]Lagged.Calendar HDDs'!G155</f>
        <v>53</v>
      </c>
      <c r="F220" s="634">
        <f>'[10]Lagged.Calendar HDDs'!H155</f>
        <v>52</v>
      </c>
      <c r="G220" s="634">
        <f>'[10]Lagged.Calendar HDDs'!I155</f>
        <v>49</v>
      </c>
      <c r="H220" s="706">
        <f t="shared" si="26"/>
        <v>50</v>
      </c>
      <c r="J220" s="699">
        <f t="shared" si="28"/>
        <v>42011</v>
      </c>
      <c r="K220" s="630">
        <f>'[10]10yr Lagged Norms'!E170</f>
        <v>32.799999999999997</v>
      </c>
      <c r="L220" s="630">
        <f>'[10]10yr Lagged Norms'!F170</f>
        <v>27.1</v>
      </c>
      <c r="M220" s="630">
        <f>'[10]10yr Lagged Norms'!G170</f>
        <v>33.4</v>
      </c>
      <c r="N220" s="630">
        <f>'[10]10yr Lagged Norms'!H170</f>
        <v>31.7</v>
      </c>
      <c r="O220" s="630">
        <f>'[10]10yr Lagged Norms'!I170</f>
        <v>29.7</v>
      </c>
      <c r="P220" s="707">
        <f t="shared" si="27"/>
        <v>30</v>
      </c>
    </row>
    <row r="221" spans="2:16" x14ac:dyDescent="0.2">
      <c r="B221" s="708">
        <f t="shared" si="29"/>
        <v>42012</v>
      </c>
      <c r="C221" s="634">
        <f>'[10]Lagged.Calendar HDDs'!E156</f>
        <v>50</v>
      </c>
      <c r="D221" s="634">
        <f>'[10]Lagged.Calendar HDDs'!F156</f>
        <v>48</v>
      </c>
      <c r="E221" s="634">
        <f>'[10]Lagged.Calendar HDDs'!G156</f>
        <v>52</v>
      </c>
      <c r="F221" s="634">
        <f>'[10]Lagged.Calendar HDDs'!H156</f>
        <v>50</v>
      </c>
      <c r="G221" s="634">
        <f>'[10]Lagged.Calendar HDDs'!I156</f>
        <v>50</v>
      </c>
      <c r="H221" s="706">
        <f t="shared" si="26"/>
        <v>50</v>
      </c>
      <c r="J221" s="699">
        <f t="shared" si="28"/>
        <v>42012</v>
      </c>
      <c r="K221" s="630">
        <f>'[10]10yr Lagged Norms'!E171</f>
        <v>32.9</v>
      </c>
      <c r="L221" s="630">
        <f>'[10]10yr Lagged Norms'!F171</f>
        <v>28.1</v>
      </c>
      <c r="M221" s="630">
        <f>'[10]10yr Lagged Norms'!G171</f>
        <v>33.5</v>
      </c>
      <c r="N221" s="630">
        <f>'[10]10yr Lagged Norms'!H171</f>
        <v>31.8</v>
      </c>
      <c r="O221" s="630">
        <f>'[10]10yr Lagged Norms'!I171</f>
        <v>30.4</v>
      </c>
      <c r="P221" s="707">
        <f t="shared" si="27"/>
        <v>31</v>
      </c>
    </row>
    <row r="222" spans="2:16" x14ac:dyDescent="0.2">
      <c r="B222" s="708">
        <f t="shared" si="29"/>
        <v>42013</v>
      </c>
      <c r="C222" s="634">
        <f>'[10]Lagged.Calendar HDDs'!E157</f>
        <v>44</v>
      </c>
      <c r="D222" s="634">
        <f>'[10]Lagged.Calendar HDDs'!F157</f>
        <v>39</v>
      </c>
      <c r="E222" s="634">
        <f>'[10]Lagged.Calendar HDDs'!G157</f>
        <v>47</v>
      </c>
      <c r="F222" s="634">
        <f>'[10]Lagged.Calendar HDDs'!H157</f>
        <v>45</v>
      </c>
      <c r="G222" s="634">
        <f>'[10]Lagged.Calendar HDDs'!I157</f>
        <v>45</v>
      </c>
      <c r="H222" s="706">
        <f t="shared" si="26"/>
        <v>44</v>
      </c>
      <c r="J222" s="699">
        <f t="shared" si="28"/>
        <v>42013</v>
      </c>
      <c r="K222" s="630">
        <f>'[10]10yr Lagged Norms'!E172</f>
        <v>31.4</v>
      </c>
      <c r="L222" s="630">
        <f>'[10]10yr Lagged Norms'!F172</f>
        <v>25.8</v>
      </c>
      <c r="M222" s="630">
        <f>'[10]10yr Lagged Norms'!G172</f>
        <v>31.5</v>
      </c>
      <c r="N222" s="630">
        <f>'[10]10yr Lagged Norms'!H172</f>
        <v>28.8</v>
      </c>
      <c r="O222" s="630">
        <f>'[10]10yr Lagged Norms'!I172</f>
        <v>30</v>
      </c>
      <c r="P222" s="707">
        <f t="shared" si="27"/>
        <v>30</v>
      </c>
    </row>
    <row r="223" spans="2:16" x14ac:dyDescent="0.2">
      <c r="B223" s="708">
        <f t="shared" si="29"/>
        <v>42014</v>
      </c>
      <c r="C223" s="634">
        <f>'[10]Lagged.Calendar HDDs'!E158</f>
        <v>47</v>
      </c>
      <c r="D223" s="634">
        <f>'[10]Lagged.Calendar HDDs'!F158</f>
        <v>42</v>
      </c>
      <c r="E223" s="634">
        <f>'[10]Lagged.Calendar HDDs'!G158</f>
        <v>49</v>
      </c>
      <c r="F223" s="634">
        <f>'[10]Lagged.Calendar HDDs'!H158</f>
        <v>47</v>
      </c>
      <c r="G223" s="634">
        <f>'[10]Lagged.Calendar HDDs'!I158</f>
        <v>45</v>
      </c>
      <c r="H223" s="706">
        <f t="shared" si="26"/>
        <v>45</v>
      </c>
      <c r="J223" s="699">
        <f t="shared" si="28"/>
        <v>42014</v>
      </c>
      <c r="K223" s="630">
        <f>'[10]10yr Lagged Norms'!E173</f>
        <v>29.3</v>
      </c>
      <c r="L223" s="630">
        <f>'[10]10yr Lagged Norms'!F173</f>
        <v>23.1</v>
      </c>
      <c r="M223" s="630">
        <f>'[10]10yr Lagged Norms'!G173</f>
        <v>29.8</v>
      </c>
      <c r="N223" s="630">
        <f>'[10]10yr Lagged Norms'!H173</f>
        <v>27.7</v>
      </c>
      <c r="O223" s="630">
        <f>'[10]10yr Lagged Norms'!I173</f>
        <v>27.3</v>
      </c>
      <c r="P223" s="707">
        <f t="shared" si="27"/>
        <v>27</v>
      </c>
    </row>
    <row r="224" spans="2:16" x14ac:dyDescent="0.2">
      <c r="B224" s="708">
        <f t="shared" si="29"/>
        <v>42015</v>
      </c>
      <c r="C224" s="634">
        <f>'[10]Lagged.Calendar HDDs'!E159</f>
        <v>32</v>
      </c>
      <c r="D224" s="634">
        <f>'[10]Lagged.Calendar HDDs'!F159</f>
        <v>29</v>
      </c>
      <c r="E224" s="634">
        <f>'[10]Lagged.Calendar HDDs'!G159</f>
        <v>33</v>
      </c>
      <c r="F224" s="634">
        <f>'[10]Lagged.Calendar HDDs'!H159</f>
        <v>33</v>
      </c>
      <c r="G224" s="634">
        <f>'[10]Lagged.Calendar HDDs'!I159</f>
        <v>29</v>
      </c>
      <c r="H224" s="706">
        <f t="shared" si="26"/>
        <v>30</v>
      </c>
      <c r="J224" s="699">
        <f t="shared" si="28"/>
        <v>42015</v>
      </c>
      <c r="K224" s="630">
        <f>'[10]10yr Lagged Norms'!E174</f>
        <v>26.6</v>
      </c>
      <c r="L224" s="630">
        <f>'[10]10yr Lagged Norms'!F174</f>
        <v>22.6</v>
      </c>
      <c r="M224" s="630">
        <f>'[10]10yr Lagged Norms'!G174</f>
        <v>26.1</v>
      </c>
      <c r="N224" s="630">
        <f>'[10]10yr Lagged Norms'!H174</f>
        <v>25</v>
      </c>
      <c r="O224" s="630">
        <f>'[10]10yr Lagged Norms'!I174</f>
        <v>25</v>
      </c>
      <c r="P224" s="707">
        <f t="shared" si="27"/>
        <v>25</v>
      </c>
    </row>
    <row r="225" spans="2:16" x14ac:dyDescent="0.2">
      <c r="B225" s="708">
        <f t="shared" si="29"/>
        <v>42016</v>
      </c>
      <c r="C225" s="634">
        <f>'[10]Lagged.Calendar HDDs'!E160</f>
        <v>33</v>
      </c>
      <c r="D225" s="634">
        <f>'[10]Lagged.Calendar HDDs'!F160</f>
        <v>24</v>
      </c>
      <c r="E225" s="634">
        <f>'[10]Lagged.Calendar HDDs'!G160</f>
        <v>29</v>
      </c>
      <c r="F225" s="634">
        <f>'[10]Lagged.Calendar HDDs'!H160</f>
        <v>30</v>
      </c>
      <c r="G225" s="634">
        <f>'[10]Lagged.Calendar HDDs'!I160</f>
        <v>32</v>
      </c>
      <c r="H225" s="706">
        <f t="shared" si="26"/>
        <v>30</v>
      </c>
      <c r="J225" s="699">
        <f t="shared" si="28"/>
        <v>42016</v>
      </c>
      <c r="K225" s="630">
        <f>'[10]10yr Lagged Norms'!E175</f>
        <v>26.6</v>
      </c>
      <c r="L225" s="630">
        <f>'[10]10yr Lagged Norms'!F175</f>
        <v>23.1</v>
      </c>
      <c r="M225" s="630">
        <f>'[10]10yr Lagged Norms'!G175</f>
        <v>26.6</v>
      </c>
      <c r="N225" s="630">
        <f>'[10]10yr Lagged Norms'!H175</f>
        <v>24.8</v>
      </c>
      <c r="O225" s="630">
        <f>'[10]10yr Lagged Norms'!I175</f>
        <v>24.8</v>
      </c>
      <c r="P225" s="707">
        <f t="shared" si="27"/>
        <v>25</v>
      </c>
    </row>
    <row r="226" spans="2:16" x14ac:dyDescent="0.2">
      <c r="B226" s="708">
        <f t="shared" si="29"/>
        <v>42017</v>
      </c>
      <c r="C226" s="634">
        <f>'[10]Lagged.Calendar HDDs'!E161</f>
        <v>39</v>
      </c>
      <c r="D226" s="634">
        <f>'[10]Lagged.Calendar HDDs'!F161</f>
        <v>33</v>
      </c>
      <c r="E226" s="634">
        <f>'[10]Lagged.Calendar HDDs'!G161</f>
        <v>38</v>
      </c>
      <c r="F226" s="634">
        <f>'[10]Lagged.Calendar HDDs'!H161</f>
        <v>37</v>
      </c>
      <c r="G226" s="634">
        <f>'[10]Lagged.Calendar HDDs'!I161</f>
        <v>38</v>
      </c>
      <c r="H226" s="706">
        <f t="shared" si="26"/>
        <v>37</v>
      </c>
      <c r="J226" s="699">
        <f t="shared" si="28"/>
        <v>42017</v>
      </c>
      <c r="K226" s="630">
        <f>'[10]10yr Lagged Norms'!E176</f>
        <v>31.2</v>
      </c>
      <c r="L226" s="630">
        <f>'[10]10yr Lagged Norms'!F176</f>
        <v>25.1</v>
      </c>
      <c r="M226" s="630">
        <f>'[10]10yr Lagged Norms'!G176</f>
        <v>29.8</v>
      </c>
      <c r="N226" s="630">
        <f>'[10]10yr Lagged Norms'!H176</f>
        <v>27.9</v>
      </c>
      <c r="O226" s="630">
        <f>'[10]10yr Lagged Norms'!I176</f>
        <v>29.7</v>
      </c>
      <c r="P226" s="707">
        <f t="shared" si="27"/>
        <v>29</v>
      </c>
    </row>
    <row r="227" spans="2:16" x14ac:dyDescent="0.2">
      <c r="B227" s="708">
        <f t="shared" si="29"/>
        <v>42018</v>
      </c>
      <c r="C227" s="634">
        <f>'[10]Lagged.Calendar HDDs'!E162</f>
        <v>39</v>
      </c>
      <c r="D227" s="634">
        <f>'[10]Lagged.Calendar HDDs'!F162</f>
        <v>32</v>
      </c>
      <c r="E227" s="634">
        <f>'[10]Lagged.Calendar HDDs'!G162</f>
        <v>38</v>
      </c>
      <c r="F227" s="634">
        <f>'[10]Lagged.Calendar HDDs'!H162</f>
        <v>35</v>
      </c>
      <c r="G227" s="634">
        <f>'[10]Lagged.Calendar HDDs'!I162</f>
        <v>36</v>
      </c>
      <c r="H227" s="706">
        <f t="shared" si="26"/>
        <v>36</v>
      </c>
      <c r="J227" s="699">
        <f t="shared" si="28"/>
        <v>42018</v>
      </c>
      <c r="K227" s="630">
        <f>'[10]10yr Lagged Norms'!E177</f>
        <v>32.5</v>
      </c>
      <c r="L227" s="630">
        <f>'[10]10yr Lagged Norms'!F177</f>
        <v>27.7</v>
      </c>
      <c r="M227" s="630">
        <f>'[10]10yr Lagged Norms'!G177</f>
        <v>32.200000000000003</v>
      </c>
      <c r="N227" s="630">
        <f>'[10]10yr Lagged Norms'!H177</f>
        <v>30.3</v>
      </c>
      <c r="O227" s="630">
        <f>'[10]10yr Lagged Norms'!I177</f>
        <v>30.5</v>
      </c>
      <c r="P227" s="707">
        <f t="shared" si="27"/>
        <v>31</v>
      </c>
    </row>
    <row r="228" spans="2:16" x14ac:dyDescent="0.2">
      <c r="B228" s="708">
        <f t="shared" si="29"/>
        <v>42019</v>
      </c>
      <c r="C228" s="634">
        <f>'[10]Lagged.Calendar HDDs'!E163</f>
        <v>31</v>
      </c>
      <c r="D228" s="634">
        <f>'[10]Lagged.Calendar HDDs'!F163</f>
        <v>31</v>
      </c>
      <c r="E228" s="634">
        <f>'[10]Lagged.Calendar HDDs'!G163</f>
        <v>36</v>
      </c>
      <c r="F228" s="634">
        <f>'[10]Lagged.Calendar HDDs'!H163</f>
        <v>31</v>
      </c>
      <c r="G228" s="634">
        <f>'[10]Lagged.Calendar HDDs'!I163</f>
        <v>34</v>
      </c>
      <c r="H228" s="706">
        <f t="shared" si="26"/>
        <v>33</v>
      </c>
      <c r="J228" s="699">
        <f t="shared" si="28"/>
        <v>42019</v>
      </c>
      <c r="K228" s="630">
        <f>'[10]10yr Lagged Norms'!E178</f>
        <v>34</v>
      </c>
      <c r="L228" s="630">
        <f>'[10]10yr Lagged Norms'!F178</f>
        <v>29.9</v>
      </c>
      <c r="M228" s="630">
        <f>'[10]10yr Lagged Norms'!G178</f>
        <v>33.799999999999997</v>
      </c>
      <c r="N228" s="630">
        <f>'[10]10yr Lagged Norms'!H178</f>
        <v>32.299999999999997</v>
      </c>
      <c r="O228" s="630">
        <f>'[10]10yr Lagged Norms'!I178</f>
        <v>32.9</v>
      </c>
      <c r="P228" s="707">
        <f t="shared" si="27"/>
        <v>33</v>
      </c>
    </row>
    <row r="229" spans="2:16" x14ac:dyDescent="0.2">
      <c r="B229" s="708">
        <f t="shared" si="29"/>
        <v>42020</v>
      </c>
      <c r="C229" s="634">
        <f>'[10]Lagged.Calendar HDDs'!E164</f>
        <v>29</v>
      </c>
      <c r="D229" s="634">
        <f>'[10]Lagged.Calendar HDDs'!F164</f>
        <v>26</v>
      </c>
      <c r="E229" s="634">
        <f>'[10]Lagged.Calendar HDDs'!G164</f>
        <v>32</v>
      </c>
      <c r="F229" s="634">
        <f>'[10]Lagged.Calendar HDDs'!H164</f>
        <v>27</v>
      </c>
      <c r="G229" s="634">
        <f>'[10]Lagged.Calendar HDDs'!I164</f>
        <v>28</v>
      </c>
      <c r="H229" s="706">
        <f t="shared" si="26"/>
        <v>28</v>
      </c>
      <c r="J229" s="699">
        <f t="shared" si="28"/>
        <v>42020</v>
      </c>
      <c r="K229" s="630">
        <f>'[10]10yr Lagged Norms'!E179</f>
        <v>32</v>
      </c>
      <c r="L229" s="630">
        <f>'[10]10yr Lagged Norms'!F179</f>
        <v>28</v>
      </c>
      <c r="M229" s="630">
        <f>'[10]10yr Lagged Norms'!G179</f>
        <v>33.700000000000003</v>
      </c>
      <c r="N229" s="630">
        <f>'[10]10yr Lagged Norms'!H179</f>
        <v>31.1</v>
      </c>
      <c r="O229" s="630">
        <f>'[10]10yr Lagged Norms'!I179</f>
        <v>30</v>
      </c>
      <c r="P229" s="707">
        <f t="shared" si="27"/>
        <v>31</v>
      </c>
    </row>
    <row r="230" spans="2:16" x14ac:dyDescent="0.2">
      <c r="B230" s="708">
        <f t="shared" si="29"/>
        <v>42021</v>
      </c>
      <c r="C230" s="634">
        <f>'[10]Lagged.Calendar HDDs'!E165</f>
        <v>23</v>
      </c>
      <c r="D230" s="634">
        <f>'[10]Lagged.Calendar HDDs'!F165</f>
        <v>21</v>
      </c>
      <c r="E230" s="634">
        <f>'[10]Lagged.Calendar HDDs'!G165</f>
        <v>23</v>
      </c>
      <c r="F230" s="634">
        <f>'[10]Lagged.Calendar HDDs'!H165</f>
        <v>21</v>
      </c>
      <c r="G230" s="634">
        <f>'[10]Lagged.Calendar HDDs'!I165</f>
        <v>18</v>
      </c>
      <c r="H230" s="706">
        <f t="shared" si="26"/>
        <v>21</v>
      </c>
      <c r="J230" s="699">
        <f t="shared" si="28"/>
        <v>42021</v>
      </c>
      <c r="K230" s="630">
        <f>'[10]10yr Lagged Norms'!E180</f>
        <v>29.5</v>
      </c>
      <c r="L230" s="630">
        <f>'[10]10yr Lagged Norms'!F180</f>
        <v>26</v>
      </c>
      <c r="M230" s="630">
        <f>'[10]10yr Lagged Norms'!G180</f>
        <v>30.3</v>
      </c>
      <c r="N230" s="630">
        <f>'[10]10yr Lagged Norms'!H180</f>
        <v>28.5</v>
      </c>
      <c r="O230" s="630">
        <f>'[10]10yr Lagged Norms'!I180</f>
        <v>28.3</v>
      </c>
      <c r="P230" s="707">
        <f t="shared" si="27"/>
        <v>28</v>
      </c>
    </row>
    <row r="231" spans="2:16" x14ac:dyDescent="0.2">
      <c r="B231" s="708">
        <f t="shared" si="29"/>
        <v>42022</v>
      </c>
      <c r="C231" s="634">
        <f>'[10]Lagged.Calendar HDDs'!E166</f>
        <v>24</v>
      </c>
      <c r="D231" s="634">
        <f>'[10]Lagged.Calendar HDDs'!F166</f>
        <v>17</v>
      </c>
      <c r="E231" s="634">
        <f>'[10]Lagged.Calendar HDDs'!G166</f>
        <v>25</v>
      </c>
      <c r="F231" s="634">
        <f>'[10]Lagged.Calendar HDDs'!H166</f>
        <v>21</v>
      </c>
      <c r="G231" s="634">
        <f>'[10]Lagged.Calendar HDDs'!I166</f>
        <v>20</v>
      </c>
      <c r="H231" s="706">
        <f t="shared" si="26"/>
        <v>21</v>
      </c>
      <c r="J231" s="699">
        <f t="shared" si="28"/>
        <v>42022</v>
      </c>
      <c r="K231" s="630">
        <f>'[10]10yr Lagged Norms'!E181</f>
        <v>31.3</v>
      </c>
      <c r="L231" s="630">
        <f>'[10]10yr Lagged Norms'!F181</f>
        <v>26</v>
      </c>
      <c r="M231" s="630">
        <f>'[10]10yr Lagged Norms'!G181</f>
        <v>32.200000000000003</v>
      </c>
      <c r="N231" s="630">
        <f>'[10]10yr Lagged Norms'!H181</f>
        <v>29.9</v>
      </c>
      <c r="O231" s="630">
        <f>'[10]10yr Lagged Norms'!I181</f>
        <v>29.3</v>
      </c>
      <c r="P231" s="707">
        <f t="shared" si="27"/>
        <v>29</v>
      </c>
    </row>
    <row r="232" spans="2:16" x14ac:dyDescent="0.2">
      <c r="B232" s="708">
        <f t="shared" si="29"/>
        <v>42023</v>
      </c>
      <c r="C232" s="634">
        <f>'[10]Lagged.Calendar HDDs'!E167</f>
        <v>23</v>
      </c>
      <c r="D232" s="634">
        <f>'[10]Lagged.Calendar HDDs'!F167</f>
        <v>15</v>
      </c>
      <c r="E232" s="634">
        <f>'[10]Lagged.Calendar HDDs'!G167</f>
        <v>25</v>
      </c>
      <c r="F232" s="634">
        <f>'[10]Lagged.Calendar HDDs'!H167</f>
        <v>21</v>
      </c>
      <c r="G232" s="634">
        <f>'[10]Lagged.Calendar HDDs'!I167</f>
        <v>21</v>
      </c>
      <c r="H232" s="706">
        <f t="shared" si="26"/>
        <v>21</v>
      </c>
      <c r="J232" s="699">
        <f t="shared" si="28"/>
        <v>42023</v>
      </c>
      <c r="K232" s="630">
        <f>'[10]10yr Lagged Norms'!E182</f>
        <v>30.1</v>
      </c>
      <c r="L232" s="630">
        <f>'[10]10yr Lagged Norms'!F182</f>
        <v>24.6</v>
      </c>
      <c r="M232" s="630">
        <f>'[10]10yr Lagged Norms'!G182</f>
        <v>30</v>
      </c>
      <c r="N232" s="630">
        <f>'[10]10yr Lagged Norms'!H182</f>
        <v>28.3</v>
      </c>
      <c r="O232" s="630">
        <f>'[10]10yr Lagged Norms'!I182</f>
        <v>26.3</v>
      </c>
      <c r="P232" s="707">
        <f t="shared" si="27"/>
        <v>27</v>
      </c>
    </row>
    <row r="233" spans="2:16" x14ac:dyDescent="0.2">
      <c r="B233" s="708">
        <f t="shared" si="29"/>
        <v>42024</v>
      </c>
      <c r="C233" s="634">
        <f>'[10]Lagged.Calendar HDDs'!E168</f>
        <v>23</v>
      </c>
      <c r="D233" s="634">
        <f>'[10]Lagged.Calendar HDDs'!F168</f>
        <v>12</v>
      </c>
      <c r="E233" s="634">
        <f>'[10]Lagged.Calendar HDDs'!G168</f>
        <v>21</v>
      </c>
      <c r="F233" s="634">
        <f>'[10]Lagged.Calendar HDDs'!H168</f>
        <v>19</v>
      </c>
      <c r="G233" s="634">
        <f>'[10]Lagged.Calendar HDDs'!I168</f>
        <v>22</v>
      </c>
      <c r="H233" s="706">
        <f t="shared" si="26"/>
        <v>20</v>
      </c>
      <c r="J233" s="699">
        <f t="shared" si="28"/>
        <v>42024</v>
      </c>
      <c r="K233" s="630">
        <f>'[10]10yr Lagged Norms'!E183</f>
        <v>31.3</v>
      </c>
      <c r="L233" s="630">
        <f>'[10]10yr Lagged Norms'!F183</f>
        <v>23.5</v>
      </c>
      <c r="M233" s="630">
        <f>'[10]10yr Lagged Norms'!G183</f>
        <v>31.2</v>
      </c>
      <c r="N233" s="630">
        <f>'[10]10yr Lagged Norms'!H183</f>
        <v>29.4</v>
      </c>
      <c r="O233" s="630">
        <f>'[10]10yr Lagged Norms'!I183</f>
        <v>28.1</v>
      </c>
      <c r="P233" s="707">
        <f t="shared" si="27"/>
        <v>28</v>
      </c>
    </row>
    <row r="234" spans="2:16" x14ac:dyDescent="0.2">
      <c r="B234" s="708">
        <f t="shared" si="29"/>
        <v>42025</v>
      </c>
      <c r="C234" s="634">
        <f>'[10]Lagged.Calendar HDDs'!E169</f>
        <v>24</v>
      </c>
      <c r="D234" s="634">
        <f>'[10]Lagged.Calendar HDDs'!F169</f>
        <v>19</v>
      </c>
      <c r="E234" s="634">
        <f>'[10]Lagged.Calendar HDDs'!G169</f>
        <v>24</v>
      </c>
      <c r="F234" s="634">
        <f>'[10]Lagged.Calendar HDDs'!H169</f>
        <v>20</v>
      </c>
      <c r="G234" s="634">
        <f>'[10]Lagged.Calendar HDDs'!I169</f>
        <v>23</v>
      </c>
      <c r="H234" s="706">
        <f t="shared" si="26"/>
        <v>22</v>
      </c>
      <c r="J234" s="699">
        <f t="shared" si="28"/>
        <v>42025</v>
      </c>
      <c r="K234" s="630">
        <f>'[10]10yr Lagged Norms'!E184</f>
        <v>34.9</v>
      </c>
      <c r="L234" s="630">
        <f>'[10]10yr Lagged Norms'!F184</f>
        <v>26.8</v>
      </c>
      <c r="M234" s="630">
        <f>'[10]10yr Lagged Norms'!G184</f>
        <v>35.1</v>
      </c>
      <c r="N234" s="630">
        <f>'[10]10yr Lagged Norms'!H184</f>
        <v>33.299999999999997</v>
      </c>
      <c r="O234" s="630">
        <f>'[10]10yr Lagged Norms'!I184</f>
        <v>31.5</v>
      </c>
      <c r="P234" s="707">
        <f t="shared" si="27"/>
        <v>32</v>
      </c>
    </row>
    <row r="235" spans="2:16" x14ac:dyDescent="0.2">
      <c r="B235" s="708">
        <f t="shared" si="29"/>
        <v>42026</v>
      </c>
      <c r="C235" s="634">
        <f>'[10]Lagged.Calendar HDDs'!E170</f>
        <v>31</v>
      </c>
      <c r="D235" s="634">
        <f>'[10]Lagged.Calendar HDDs'!F170</f>
        <v>26</v>
      </c>
      <c r="E235" s="634">
        <f>'[10]Lagged.Calendar HDDs'!G170</f>
        <v>33</v>
      </c>
      <c r="F235" s="634">
        <f>'[10]Lagged.Calendar HDDs'!H170</f>
        <v>29</v>
      </c>
      <c r="G235" s="634">
        <f>'[10]Lagged.Calendar HDDs'!I170</f>
        <v>31</v>
      </c>
      <c r="H235" s="706">
        <f t="shared" si="26"/>
        <v>30</v>
      </c>
      <c r="J235" s="699">
        <f t="shared" si="28"/>
        <v>42026</v>
      </c>
      <c r="K235" s="630">
        <f>'[10]10yr Lagged Norms'!E185</f>
        <v>33.799999999999997</v>
      </c>
      <c r="L235" s="630">
        <f>'[10]10yr Lagged Norms'!F185</f>
        <v>28</v>
      </c>
      <c r="M235" s="630">
        <f>'[10]10yr Lagged Norms'!G185</f>
        <v>35.5</v>
      </c>
      <c r="N235" s="630">
        <f>'[10]10yr Lagged Norms'!H185</f>
        <v>33.299999999999997</v>
      </c>
      <c r="O235" s="630">
        <f>'[10]10yr Lagged Norms'!I185</f>
        <v>31.1</v>
      </c>
      <c r="P235" s="707">
        <f t="shared" si="27"/>
        <v>32</v>
      </c>
    </row>
    <row r="236" spans="2:16" x14ac:dyDescent="0.2">
      <c r="B236" s="708">
        <f t="shared" si="29"/>
        <v>42027</v>
      </c>
      <c r="C236" s="634">
        <f>'[10]Lagged.Calendar HDDs'!E171</f>
        <v>31</v>
      </c>
      <c r="D236" s="634">
        <f>'[10]Lagged.Calendar HDDs'!F171</f>
        <v>29</v>
      </c>
      <c r="E236" s="634">
        <f>'[10]Lagged.Calendar HDDs'!G171</f>
        <v>32</v>
      </c>
      <c r="F236" s="634">
        <f>'[10]Lagged.Calendar HDDs'!H171</f>
        <v>29</v>
      </c>
      <c r="G236" s="634">
        <f>'[10]Lagged.Calendar HDDs'!I171</f>
        <v>32</v>
      </c>
      <c r="H236" s="706">
        <f t="shared" si="26"/>
        <v>31</v>
      </c>
      <c r="J236" s="699">
        <f t="shared" si="28"/>
        <v>42027</v>
      </c>
      <c r="K236" s="630">
        <f>'[10]10yr Lagged Norms'!E186</f>
        <v>31.5</v>
      </c>
      <c r="L236" s="630">
        <f>'[10]10yr Lagged Norms'!F186</f>
        <v>26.9</v>
      </c>
      <c r="M236" s="630">
        <f>'[10]10yr Lagged Norms'!G186</f>
        <v>32.9</v>
      </c>
      <c r="N236" s="630">
        <f>'[10]10yr Lagged Norms'!H186</f>
        <v>29.9</v>
      </c>
      <c r="O236" s="630">
        <f>'[10]10yr Lagged Norms'!I186</f>
        <v>29.7</v>
      </c>
      <c r="P236" s="707">
        <f t="shared" si="27"/>
        <v>30</v>
      </c>
    </row>
    <row r="237" spans="2:16" x14ac:dyDescent="0.2">
      <c r="B237" s="708">
        <f t="shared" si="29"/>
        <v>42028</v>
      </c>
      <c r="C237" s="634">
        <f>'[10]Lagged.Calendar HDDs'!E172</f>
        <v>28</v>
      </c>
      <c r="D237" s="634">
        <f>'[10]Lagged.Calendar HDDs'!F172</f>
        <v>26</v>
      </c>
      <c r="E237" s="634">
        <f>'[10]Lagged.Calendar HDDs'!G172</f>
        <v>36</v>
      </c>
      <c r="F237" s="634">
        <f>'[10]Lagged.Calendar HDDs'!H172</f>
        <v>29</v>
      </c>
      <c r="G237" s="634">
        <f>'[10]Lagged.Calendar HDDs'!I172</f>
        <v>28</v>
      </c>
      <c r="H237" s="706">
        <f t="shared" si="26"/>
        <v>29</v>
      </c>
      <c r="J237" s="699">
        <f t="shared" si="28"/>
        <v>42028</v>
      </c>
      <c r="K237" s="630">
        <f>'[10]10yr Lagged Norms'!E187</f>
        <v>33.4</v>
      </c>
      <c r="L237" s="630">
        <f>'[10]10yr Lagged Norms'!F187</f>
        <v>28.3</v>
      </c>
      <c r="M237" s="630">
        <f>'[10]10yr Lagged Norms'!G187</f>
        <v>35.6</v>
      </c>
      <c r="N237" s="630">
        <f>'[10]10yr Lagged Norms'!H187</f>
        <v>32.5</v>
      </c>
      <c r="O237" s="630">
        <f>'[10]10yr Lagged Norms'!I187</f>
        <v>32</v>
      </c>
      <c r="P237" s="707">
        <f t="shared" si="27"/>
        <v>32</v>
      </c>
    </row>
    <row r="238" spans="2:16" x14ac:dyDescent="0.2">
      <c r="B238" s="708">
        <f t="shared" si="29"/>
        <v>42029</v>
      </c>
      <c r="C238" s="634">
        <f>'[10]Lagged.Calendar HDDs'!E173</f>
        <v>26</v>
      </c>
      <c r="D238" s="634">
        <f>'[10]Lagged.Calendar HDDs'!F173</f>
        <v>21</v>
      </c>
      <c r="E238" s="634">
        <f>'[10]Lagged.Calendar HDDs'!G173</f>
        <v>27</v>
      </c>
      <c r="F238" s="634">
        <f>'[10]Lagged.Calendar HDDs'!H173</f>
        <v>24</v>
      </c>
      <c r="G238" s="634">
        <f>'[10]Lagged.Calendar HDDs'!I173</f>
        <v>25</v>
      </c>
      <c r="H238" s="706">
        <f t="shared" si="26"/>
        <v>25</v>
      </c>
      <c r="J238" s="699">
        <f t="shared" si="28"/>
        <v>42029</v>
      </c>
      <c r="K238" s="630">
        <f>'[10]10yr Lagged Norms'!E188</f>
        <v>34.5</v>
      </c>
      <c r="L238" s="630">
        <f>'[10]10yr Lagged Norms'!F188</f>
        <v>28.6</v>
      </c>
      <c r="M238" s="630">
        <f>'[10]10yr Lagged Norms'!G188</f>
        <v>35.299999999999997</v>
      </c>
      <c r="N238" s="630">
        <f>'[10]10yr Lagged Norms'!H188</f>
        <v>33.5</v>
      </c>
      <c r="O238" s="630">
        <f>'[10]10yr Lagged Norms'!I188</f>
        <v>33</v>
      </c>
      <c r="P238" s="707">
        <f t="shared" si="27"/>
        <v>33</v>
      </c>
    </row>
    <row r="239" spans="2:16" x14ac:dyDescent="0.2">
      <c r="B239" s="708">
        <f t="shared" si="29"/>
        <v>42030</v>
      </c>
      <c r="C239" s="634">
        <f>'[10]Lagged.Calendar HDDs'!E174</f>
        <v>33</v>
      </c>
      <c r="D239" s="634">
        <f>'[10]Lagged.Calendar HDDs'!F174</f>
        <v>26</v>
      </c>
      <c r="E239" s="634">
        <f>'[10]Lagged.Calendar HDDs'!G174</f>
        <v>33</v>
      </c>
      <c r="F239" s="634">
        <f>'[10]Lagged.Calendar HDDs'!H174</f>
        <v>33</v>
      </c>
      <c r="G239" s="634">
        <f>'[10]Lagged.Calendar HDDs'!I174</f>
        <v>31</v>
      </c>
      <c r="H239" s="706">
        <f t="shared" si="26"/>
        <v>31</v>
      </c>
      <c r="J239" s="699">
        <f t="shared" si="28"/>
        <v>42030</v>
      </c>
      <c r="K239" s="630">
        <f>'[10]10yr Lagged Norms'!E189</f>
        <v>32.799999999999997</v>
      </c>
      <c r="L239" s="630">
        <f>'[10]10yr Lagged Norms'!F189</f>
        <v>27.4</v>
      </c>
      <c r="M239" s="630">
        <f>'[10]10yr Lagged Norms'!G189</f>
        <v>33.5</v>
      </c>
      <c r="N239" s="630">
        <f>'[10]10yr Lagged Norms'!H189</f>
        <v>31.7</v>
      </c>
      <c r="O239" s="630">
        <f>'[10]10yr Lagged Norms'!I189</f>
        <v>30.5</v>
      </c>
      <c r="P239" s="707">
        <f t="shared" si="27"/>
        <v>31</v>
      </c>
    </row>
    <row r="240" spans="2:16" x14ac:dyDescent="0.2">
      <c r="B240" s="708">
        <f t="shared" si="29"/>
        <v>42031</v>
      </c>
      <c r="C240" s="634">
        <f>'[10]Lagged.Calendar HDDs'!E175</f>
        <v>31</v>
      </c>
      <c r="D240" s="634">
        <f>'[10]Lagged.Calendar HDDs'!F175</f>
        <v>28</v>
      </c>
      <c r="E240" s="634">
        <f>'[10]Lagged.Calendar HDDs'!G175</f>
        <v>39</v>
      </c>
      <c r="F240" s="634">
        <f>'[10]Lagged.Calendar HDDs'!H175</f>
        <v>34</v>
      </c>
      <c r="G240" s="634">
        <f>'[10]Lagged.Calendar HDDs'!I175</f>
        <v>28</v>
      </c>
      <c r="H240" s="706">
        <f t="shared" si="26"/>
        <v>31</v>
      </c>
      <c r="J240" s="699">
        <f t="shared" si="28"/>
        <v>42031</v>
      </c>
      <c r="K240" s="630">
        <f>'[10]10yr Lagged Norms'!E190</f>
        <v>31.9</v>
      </c>
      <c r="L240" s="630">
        <f>'[10]10yr Lagged Norms'!F190</f>
        <v>26.4</v>
      </c>
      <c r="M240" s="630">
        <f>'[10]10yr Lagged Norms'!G190</f>
        <v>32.1</v>
      </c>
      <c r="N240" s="630">
        <f>'[10]10yr Lagged Norms'!H190</f>
        <v>30</v>
      </c>
      <c r="O240" s="630">
        <f>'[10]10yr Lagged Norms'!I190</f>
        <v>29.1</v>
      </c>
      <c r="P240" s="707">
        <f t="shared" si="27"/>
        <v>30</v>
      </c>
    </row>
    <row r="241" spans="2:16" x14ac:dyDescent="0.2">
      <c r="B241" s="708">
        <f t="shared" si="29"/>
        <v>42032</v>
      </c>
      <c r="C241" s="634">
        <f>'[10]Lagged.Calendar HDDs'!E176</f>
        <v>29</v>
      </c>
      <c r="D241" s="634">
        <f>'[10]Lagged.Calendar HDDs'!F176</f>
        <v>24</v>
      </c>
      <c r="E241" s="634">
        <f>'[10]Lagged.Calendar HDDs'!G176</f>
        <v>40</v>
      </c>
      <c r="F241" s="634">
        <f>'[10]Lagged.Calendar HDDs'!H176</f>
        <v>34</v>
      </c>
      <c r="G241" s="634">
        <f>'[10]Lagged.Calendar HDDs'!I176</f>
        <v>28</v>
      </c>
      <c r="H241" s="706">
        <f t="shared" si="26"/>
        <v>29</v>
      </c>
      <c r="J241" s="699">
        <f t="shared" si="28"/>
        <v>42032</v>
      </c>
      <c r="K241" s="630">
        <f>'[10]10yr Lagged Norms'!E191</f>
        <v>31.5</v>
      </c>
      <c r="L241" s="630">
        <f>'[10]10yr Lagged Norms'!F191</f>
        <v>27.2</v>
      </c>
      <c r="M241" s="630">
        <f>'[10]10yr Lagged Norms'!G191</f>
        <v>33.4</v>
      </c>
      <c r="N241" s="630">
        <f>'[10]10yr Lagged Norms'!H191</f>
        <v>30.2</v>
      </c>
      <c r="O241" s="630">
        <f>'[10]10yr Lagged Norms'!I191</f>
        <v>29.5</v>
      </c>
      <c r="P241" s="707">
        <f t="shared" si="27"/>
        <v>30</v>
      </c>
    </row>
    <row r="242" spans="2:16" x14ac:dyDescent="0.2">
      <c r="B242" s="708">
        <f t="shared" si="29"/>
        <v>42033</v>
      </c>
      <c r="C242" s="634">
        <f>'[10]Lagged.Calendar HDDs'!E177</f>
        <v>20</v>
      </c>
      <c r="D242" s="634">
        <f>'[10]Lagged.Calendar HDDs'!F177</f>
        <v>11</v>
      </c>
      <c r="E242" s="634">
        <f>'[10]Lagged.Calendar HDDs'!G177</f>
        <v>22</v>
      </c>
      <c r="F242" s="634">
        <f>'[10]Lagged.Calendar HDDs'!H177</f>
        <v>20</v>
      </c>
      <c r="G242" s="634">
        <f>'[10]Lagged.Calendar HDDs'!I177</f>
        <v>18</v>
      </c>
      <c r="H242" s="706">
        <f t="shared" si="26"/>
        <v>18</v>
      </c>
      <c r="J242" s="699">
        <f t="shared" si="28"/>
        <v>42033</v>
      </c>
      <c r="K242" s="630">
        <f>'[10]10yr Lagged Norms'!E192</f>
        <v>28.9</v>
      </c>
      <c r="L242" s="630">
        <f>'[10]10yr Lagged Norms'!F192</f>
        <v>24.9</v>
      </c>
      <c r="M242" s="630">
        <f>'[10]10yr Lagged Norms'!G192</f>
        <v>30.4</v>
      </c>
      <c r="N242" s="630">
        <f>'[10]10yr Lagged Norms'!H192</f>
        <v>27.7</v>
      </c>
      <c r="O242" s="630">
        <f>'[10]10yr Lagged Norms'!I192</f>
        <v>26.6</v>
      </c>
      <c r="P242" s="707">
        <f t="shared" si="27"/>
        <v>27</v>
      </c>
    </row>
    <row r="243" spans="2:16" x14ac:dyDescent="0.2">
      <c r="B243" s="708">
        <f t="shared" si="29"/>
        <v>42034</v>
      </c>
      <c r="C243" s="634">
        <f>'[10]Lagged.Calendar HDDs'!E178</f>
        <v>31</v>
      </c>
      <c r="D243" s="634">
        <f>'[10]Lagged.Calendar HDDs'!F178</f>
        <v>26</v>
      </c>
      <c r="E243" s="634">
        <f>'[10]Lagged.Calendar HDDs'!G178</f>
        <v>36</v>
      </c>
      <c r="F243" s="634">
        <f>'[10]Lagged.Calendar HDDs'!H178</f>
        <v>30</v>
      </c>
      <c r="G243" s="634">
        <f>'[10]Lagged.Calendar HDDs'!I178</f>
        <v>29</v>
      </c>
      <c r="H243" s="706">
        <f t="shared" si="26"/>
        <v>30</v>
      </c>
      <c r="J243" s="699">
        <f t="shared" si="28"/>
        <v>42034</v>
      </c>
      <c r="K243" s="630">
        <f>'[10]10yr Lagged Norms'!E193</f>
        <v>32.6</v>
      </c>
      <c r="L243" s="630">
        <f>'[10]10yr Lagged Norms'!F193</f>
        <v>27.1</v>
      </c>
      <c r="M243" s="630">
        <f>'[10]10yr Lagged Norms'!G193</f>
        <v>33.9</v>
      </c>
      <c r="N243" s="630">
        <f>'[10]10yr Lagged Norms'!H193</f>
        <v>30.9</v>
      </c>
      <c r="O243" s="630">
        <f>'[10]10yr Lagged Norms'!I193</f>
        <v>30.5</v>
      </c>
      <c r="P243" s="707">
        <f t="shared" si="27"/>
        <v>31</v>
      </c>
    </row>
    <row r="244" spans="2:16" x14ac:dyDescent="0.2">
      <c r="B244" s="708">
        <f t="shared" si="29"/>
        <v>42035</v>
      </c>
      <c r="C244" s="634">
        <f>'[10]Lagged.Calendar HDDs'!E179</f>
        <v>31</v>
      </c>
      <c r="D244" s="634">
        <f>'[10]Lagged.Calendar HDDs'!F179</f>
        <v>30</v>
      </c>
      <c r="E244" s="634">
        <f>'[10]Lagged.Calendar HDDs'!G179</f>
        <v>35</v>
      </c>
      <c r="F244" s="634">
        <f>'[10]Lagged.Calendar HDDs'!H179</f>
        <v>33</v>
      </c>
      <c r="G244" s="634">
        <f>'[10]Lagged.Calendar HDDs'!I179</f>
        <v>30</v>
      </c>
      <c r="H244" s="706">
        <f t="shared" si="26"/>
        <v>31</v>
      </c>
      <c r="J244" s="699">
        <f t="shared" si="28"/>
        <v>42035</v>
      </c>
      <c r="K244" s="630">
        <f>'[10]10yr Lagged Norms'!E194</f>
        <v>33.700000000000003</v>
      </c>
      <c r="L244" s="630">
        <f>'[10]10yr Lagged Norms'!F194</f>
        <v>26.9</v>
      </c>
      <c r="M244" s="630">
        <f>'[10]10yr Lagged Norms'!G194</f>
        <v>35.200000000000003</v>
      </c>
      <c r="N244" s="630">
        <f>'[10]10yr Lagged Norms'!H194</f>
        <v>31.9</v>
      </c>
      <c r="O244" s="630">
        <f>'[10]10yr Lagged Norms'!I194</f>
        <v>30.4</v>
      </c>
      <c r="P244" s="707">
        <f t="shared" si="27"/>
        <v>31</v>
      </c>
    </row>
    <row r="245" spans="2:16" x14ac:dyDescent="0.2">
      <c r="B245" s="708">
        <f t="shared" si="29"/>
        <v>42036</v>
      </c>
      <c r="C245" s="634">
        <f>'[10]Lagged.Calendar HDDs'!E180</f>
        <v>24</v>
      </c>
      <c r="D245" s="634">
        <f>'[10]Lagged.Calendar HDDs'!F180</f>
        <v>16</v>
      </c>
      <c r="E245" s="634">
        <f>'[10]Lagged.Calendar HDDs'!G180</f>
        <v>24</v>
      </c>
      <c r="F245" s="634">
        <f>'[10]Lagged.Calendar HDDs'!H180</f>
        <v>21</v>
      </c>
      <c r="G245" s="634">
        <f>'[10]Lagged.Calendar HDDs'!I180</f>
        <v>22</v>
      </c>
      <c r="H245" s="706">
        <f t="shared" si="26"/>
        <v>21</v>
      </c>
      <c r="J245" s="699">
        <f t="shared" si="28"/>
        <v>42036</v>
      </c>
      <c r="K245" s="630">
        <f>'[10]10yr Lagged Norms'!E195</f>
        <v>27.6</v>
      </c>
      <c r="L245" s="630">
        <f>'[10]10yr Lagged Norms'!F195</f>
        <v>22.4</v>
      </c>
      <c r="M245" s="630">
        <f>'[10]10yr Lagged Norms'!G195</f>
        <v>27</v>
      </c>
      <c r="N245" s="630">
        <f>'[10]10yr Lagged Norms'!H195</f>
        <v>24.9</v>
      </c>
      <c r="O245" s="630">
        <f>'[10]10yr Lagged Norms'!I195</f>
        <v>26.1</v>
      </c>
      <c r="P245" s="707">
        <f t="shared" si="27"/>
        <v>26</v>
      </c>
    </row>
    <row r="246" spans="2:16" x14ac:dyDescent="0.2">
      <c r="B246" s="708">
        <f t="shared" si="29"/>
        <v>42037</v>
      </c>
      <c r="C246" s="634">
        <f>'[10]Lagged.Calendar HDDs'!E181</f>
        <v>38</v>
      </c>
      <c r="D246" s="634">
        <f>'[10]Lagged.Calendar HDDs'!F181</f>
        <v>30</v>
      </c>
      <c r="E246" s="634">
        <f>'[10]Lagged.Calendar HDDs'!G181</f>
        <v>32</v>
      </c>
      <c r="F246" s="634">
        <f>'[10]Lagged.Calendar HDDs'!H181</f>
        <v>31</v>
      </c>
      <c r="G246" s="634">
        <f>'[10]Lagged.Calendar HDDs'!I181</f>
        <v>37</v>
      </c>
      <c r="H246" s="706">
        <f t="shared" si="26"/>
        <v>35</v>
      </c>
      <c r="J246" s="699">
        <f t="shared" si="28"/>
        <v>42037</v>
      </c>
      <c r="K246" s="630">
        <f>'[10]10yr Lagged Norms'!E196</f>
        <v>31.7</v>
      </c>
      <c r="L246" s="630">
        <f>'[10]10yr Lagged Norms'!F196</f>
        <v>25.7</v>
      </c>
      <c r="M246" s="630">
        <f>'[10]10yr Lagged Norms'!G196</f>
        <v>29.2</v>
      </c>
      <c r="N246" s="630">
        <f>'[10]10yr Lagged Norms'!H196</f>
        <v>27.4</v>
      </c>
      <c r="O246" s="630">
        <f>'[10]10yr Lagged Norms'!I196</f>
        <v>30.5</v>
      </c>
      <c r="P246" s="707">
        <f t="shared" si="27"/>
        <v>29</v>
      </c>
    </row>
    <row r="247" spans="2:16" x14ac:dyDescent="0.2">
      <c r="B247" s="708">
        <f t="shared" si="29"/>
        <v>42038</v>
      </c>
      <c r="C247" s="634">
        <f>'[10]Lagged.Calendar HDDs'!E182</f>
        <v>33</v>
      </c>
      <c r="D247" s="634">
        <f>'[10]Lagged.Calendar HDDs'!F182</f>
        <v>33</v>
      </c>
      <c r="E247" s="634">
        <f>'[10]Lagged.Calendar HDDs'!G182</f>
        <v>36</v>
      </c>
      <c r="F247" s="634">
        <f>'[10]Lagged.Calendar HDDs'!H182</f>
        <v>33</v>
      </c>
      <c r="G247" s="634">
        <f>'[10]Lagged.Calendar HDDs'!I182</f>
        <v>34</v>
      </c>
      <c r="H247" s="706">
        <f t="shared" si="26"/>
        <v>34</v>
      </c>
      <c r="J247" s="699">
        <f t="shared" si="28"/>
        <v>42038</v>
      </c>
      <c r="K247" s="630">
        <f>'[10]10yr Lagged Norms'!E197</f>
        <v>33.4</v>
      </c>
      <c r="L247" s="630">
        <f>'[10]10yr Lagged Norms'!F197</f>
        <v>27.9</v>
      </c>
      <c r="M247" s="630">
        <f>'[10]10yr Lagged Norms'!G197</f>
        <v>34.200000000000003</v>
      </c>
      <c r="N247" s="630">
        <f>'[10]10yr Lagged Norms'!H197</f>
        <v>31</v>
      </c>
      <c r="O247" s="630">
        <f>'[10]10yr Lagged Norms'!I197</f>
        <v>31.3</v>
      </c>
      <c r="P247" s="707">
        <f t="shared" si="27"/>
        <v>31</v>
      </c>
    </row>
    <row r="248" spans="2:16" x14ac:dyDescent="0.2">
      <c r="B248" s="708">
        <f t="shared" si="29"/>
        <v>42039</v>
      </c>
      <c r="C248" s="634">
        <f>'[10]Lagged.Calendar HDDs'!E183</f>
        <v>28</v>
      </c>
      <c r="D248" s="634">
        <f>'[10]Lagged.Calendar HDDs'!F183</f>
        <v>24</v>
      </c>
      <c r="E248" s="634">
        <f>'[10]Lagged.Calendar HDDs'!G183</f>
        <v>25</v>
      </c>
      <c r="F248" s="634">
        <f>'[10]Lagged.Calendar HDDs'!H183</f>
        <v>24</v>
      </c>
      <c r="G248" s="634">
        <f>'[10]Lagged.Calendar HDDs'!I183</f>
        <v>25</v>
      </c>
      <c r="H248" s="706">
        <f t="shared" si="26"/>
        <v>25</v>
      </c>
      <c r="J248" s="699">
        <f t="shared" si="28"/>
        <v>42039</v>
      </c>
      <c r="K248" s="630">
        <f>'[10]10yr Lagged Norms'!E198</f>
        <v>31.8</v>
      </c>
      <c r="L248" s="630">
        <f>'[10]10yr Lagged Norms'!F198</f>
        <v>25.9</v>
      </c>
      <c r="M248" s="630">
        <f>'[10]10yr Lagged Norms'!G198</f>
        <v>32.9</v>
      </c>
      <c r="N248" s="630">
        <f>'[10]10yr Lagged Norms'!H198</f>
        <v>29.9</v>
      </c>
      <c r="O248" s="630">
        <f>'[10]10yr Lagged Norms'!I198</f>
        <v>28.7</v>
      </c>
      <c r="P248" s="707">
        <f t="shared" si="27"/>
        <v>29</v>
      </c>
    </row>
    <row r="249" spans="2:16" x14ac:dyDescent="0.2">
      <c r="B249" s="708">
        <f t="shared" si="29"/>
        <v>42040</v>
      </c>
      <c r="C249" s="634">
        <f>'[10]Lagged.Calendar HDDs'!E184</f>
        <v>42</v>
      </c>
      <c r="D249" s="634">
        <f>'[10]Lagged.Calendar HDDs'!F184</f>
        <v>36</v>
      </c>
      <c r="E249" s="634">
        <f>'[10]Lagged.Calendar HDDs'!G184</f>
        <v>42</v>
      </c>
      <c r="F249" s="634">
        <f>'[10]Lagged.Calendar HDDs'!H184</f>
        <v>42</v>
      </c>
      <c r="G249" s="634">
        <f>'[10]Lagged.Calendar HDDs'!I184</f>
        <v>40</v>
      </c>
      <c r="H249" s="706">
        <f t="shared" si="26"/>
        <v>40</v>
      </c>
      <c r="J249" s="699">
        <f t="shared" si="28"/>
        <v>42040</v>
      </c>
      <c r="K249" s="630">
        <f>'[10]10yr Lagged Norms'!E199</f>
        <v>33.5</v>
      </c>
      <c r="L249" s="630">
        <f>'[10]10yr Lagged Norms'!F199</f>
        <v>25.8</v>
      </c>
      <c r="M249" s="630">
        <f>'[10]10yr Lagged Norms'!G199</f>
        <v>34.200000000000003</v>
      </c>
      <c r="N249" s="630">
        <f>'[10]10yr Lagged Norms'!H199</f>
        <v>31.9</v>
      </c>
      <c r="O249" s="630">
        <f>'[10]10yr Lagged Norms'!I199</f>
        <v>30.4</v>
      </c>
      <c r="P249" s="707">
        <f t="shared" si="27"/>
        <v>31</v>
      </c>
    </row>
    <row r="250" spans="2:16" x14ac:dyDescent="0.2">
      <c r="B250" s="708">
        <f t="shared" si="29"/>
        <v>42041</v>
      </c>
      <c r="C250" s="634">
        <f>'[10]Lagged.Calendar HDDs'!E185</f>
        <v>34</v>
      </c>
      <c r="D250" s="634">
        <f>'[10]Lagged.Calendar HDDs'!F185</f>
        <v>30</v>
      </c>
      <c r="E250" s="634">
        <f>'[10]Lagged.Calendar HDDs'!G185</f>
        <v>39</v>
      </c>
      <c r="F250" s="634">
        <f>'[10]Lagged.Calendar HDDs'!H185</f>
        <v>34</v>
      </c>
      <c r="G250" s="634">
        <f>'[10]Lagged.Calendar HDDs'!I185</f>
        <v>32</v>
      </c>
      <c r="H250" s="706">
        <f t="shared" si="26"/>
        <v>33</v>
      </c>
      <c r="J250" s="699">
        <f t="shared" si="28"/>
        <v>42041</v>
      </c>
      <c r="K250" s="630">
        <f>'[10]10yr Lagged Norms'!E200</f>
        <v>32</v>
      </c>
      <c r="L250" s="630">
        <f>'[10]10yr Lagged Norms'!F200</f>
        <v>24.8</v>
      </c>
      <c r="M250" s="630">
        <f>'[10]10yr Lagged Norms'!G200</f>
        <v>32.9</v>
      </c>
      <c r="N250" s="630">
        <f>'[10]10yr Lagged Norms'!H200</f>
        <v>30.4</v>
      </c>
      <c r="O250" s="630">
        <f>'[10]10yr Lagged Norms'!I200</f>
        <v>28.9</v>
      </c>
      <c r="P250" s="707">
        <f t="shared" si="27"/>
        <v>29</v>
      </c>
    </row>
    <row r="251" spans="2:16" x14ac:dyDescent="0.2">
      <c r="B251" s="708">
        <f t="shared" si="29"/>
        <v>42042</v>
      </c>
      <c r="C251" s="634">
        <f>'[10]Lagged.Calendar HDDs'!E186</f>
        <v>19</v>
      </c>
      <c r="D251" s="634">
        <f>'[10]Lagged.Calendar HDDs'!F186</f>
        <v>18</v>
      </c>
      <c r="E251" s="634">
        <f>'[10]Lagged.Calendar HDDs'!G186</f>
        <v>19</v>
      </c>
      <c r="F251" s="634">
        <f>'[10]Lagged.Calendar HDDs'!H186</f>
        <v>16</v>
      </c>
      <c r="G251" s="634">
        <f>'[10]Lagged.Calendar HDDs'!I186</f>
        <v>17</v>
      </c>
      <c r="H251" s="706">
        <f t="shared" si="26"/>
        <v>18</v>
      </c>
      <c r="J251" s="699">
        <f t="shared" si="28"/>
        <v>42042</v>
      </c>
      <c r="K251" s="630">
        <f>'[10]10yr Lagged Norms'!E201</f>
        <v>30.7</v>
      </c>
      <c r="L251" s="630">
        <f>'[10]10yr Lagged Norms'!F201</f>
        <v>24.2</v>
      </c>
      <c r="M251" s="630">
        <f>'[10]10yr Lagged Norms'!G201</f>
        <v>30.5</v>
      </c>
      <c r="N251" s="630">
        <f>'[10]10yr Lagged Norms'!H201</f>
        <v>28.8</v>
      </c>
      <c r="O251" s="630">
        <f>'[10]10yr Lagged Norms'!I201</f>
        <v>28.6</v>
      </c>
      <c r="P251" s="707">
        <f t="shared" si="27"/>
        <v>28</v>
      </c>
    </row>
    <row r="252" spans="2:16" x14ac:dyDescent="0.2">
      <c r="B252" s="708">
        <f t="shared" si="29"/>
        <v>42043</v>
      </c>
      <c r="C252" s="634">
        <f>'[10]Lagged.Calendar HDDs'!E187</f>
        <v>13</v>
      </c>
      <c r="D252" s="634">
        <f>'[10]Lagged.Calendar HDDs'!F187</f>
        <v>9</v>
      </c>
      <c r="E252" s="634">
        <f>'[10]Lagged.Calendar HDDs'!G187</f>
        <v>13</v>
      </c>
      <c r="F252" s="634">
        <f>'[10]Lagged.Calendar HDDs'!H187</f>
        <v>10</v>
      </c>
      <c r="G252" s="634">
        <f>'[10]Lagged.Calendar HDDs'!I187</f>
        <v>11</v>
      </c>
      <c r="H252" s="706">
        <f t="shared" si="26"/>
        <v>11</v>
      </c>
      <c r="J252" s="699">
        <f t="shared" si="28"/>
        <v>42043</v>
      </c>
      <c r="K252" s="630">
        <f>'[10]10yr Lagged Norms'!E202</f>
        <v>31</v>
      </c>
      <c r="L252" s="630">
        <f>'[10]10yr Lagged Norms'!F202</f>
        <v>24.6</v>
      </c>
      <c r="M252" s="630">
        <f>'[10]10yr Lagged Norms'!G202</f>
        <v>31.3</v>
      </c>
      <c r="N252" s="630">
        <f>'[10]10yr Lagged Norms'!H202</f>
        <v>28.5</v>
      </c>
      <c r="O252" s="630">
        <f>'[10]10yr Lagged Norms'!I202</f>
        <v>27.9</v>
      </c>
      <c r="P252" s="707">
        <f t="shared" si="27"/>
        <v>28</v>
      </c>
    </row>
    <row r="253" spans="2:16" x14ac:dyDescent="0.2">
      <c r="B253" s="708">
        <f t="shared" si="29"/>
        <v>42044</v>
      </c>
      <c r="C253" s="634">
        <f>'[10]Lagged.Calendar HDDs'!E188</f>
        <v>26</v>
      </c>
      <c r="D253" s="634">
        <f>'[10]Lagged.Calendar HDDs'!F188</f>
        <v>19</v>
      </c>
      <c r="E253" s="634">
        <f>'[10]Lagged.Calendar HDDs'!G188</f>
        <v>26</v>
      </c>
      <c r="F253" s="634">
        <f>'[10]Lagged.Calendar HDDs'!H188</f>
        <v>23</v>
      </c>
      <c r="G253" s="634">
        <f>'[10]Lagged.Calendar HDDs'!I188</f>
        <v>23</v>
      </c>
      <c r="H253" s="706">
        <f t="shared" si="26"/>
        <v>23</v>
      </c>
      <c r="J253" s="699">
        <f t="shared" si="28"/>
        <v>42044</v>
      </c>
      <c r="K253" s="630">
        <f>'[10]10yr Lagged Norms'!E203</f>
        <v>32.799999999999997</v>
      </c>
      <c r="L253" s="630">
        <f>'[10]10yr Lagged Norms'!F203</f>
        <v>26.6</v>
      </c>
      <c r="M253" s="630">
        <f>'[10]10yr Lagged Norms'!G203</f>
        <v>32.700000000000003</v>
      </c>
      <c r="N253" s="630">
        <f>'[10]10yr Lagged Norms'!H203</f>
        <v>30.8</v>
      </c>
      <c r="O253" s="630">
        <f>'[10]10yr Lagged Norms'!I203</f>
        <v>30.6</v>
      </c>
      <c r="P253" s="707">
        <f t="shared" si="27"/>
        <v>31</v>
      </c>
    </row>
    <row r="254" spans="2:16" x14ac:dyDescent="0.2">
      <c r="B254" s="708">
        <f t="shared" si="29"/>
        <v>42045</v>
      </c>
      <c r="C254" s="634">
        <f>'[10]Lagged.Calendar HDDs'!E189</f>
        <v>28</v>
      </c>
      <c r="D254" s="634">
        <f>'[10]Lagged.Calendar HDDs'!F189</f>
        <v>28</v>
      </c>
      <c r="E254" s="634">
        <f>'[10]Lagged.Calendar HDDs'!G189</f>
        <v>37</v>
      </c>
      <c r="F254" s="634">
        <f>'[10]Lagged.Calendar HDDs'!H189</f>
        <v>29</v>
      </c>
      <c r="G254" s="634">
        <f>'[10]Lagged.Calendar HDDs'!I189</f>
        <v>29</v>
      </c>
      <c r="H254" s="706">
        <f t="shared" si="26"/>
        <v>30</v>
      </c>
      <c r="J254" s="699">
        <f t="shared" si="28"/>
        <v>42045</v>
      </c>
      <c r="K254" s="630">
        <f>'[10]10yr Lagged Norms'!E204</f>
        <v>33.4</v>
      </c>
      <c r="L254" s="630">
        <f>'[10]10yr Lagged Norms'!F204</f>
        <v>28.4</v>
      </c>
      <c r="M254" s="630">
        <f>'[10]10yr Lagged Norms'!G204</f>
        <v>35.299999999999997</v>
      </c>
      <c r="N254" s="630">
        <f>'[10]10yr Lagged Norms'!H204</f>
        <v>32.1</v>
      </c>
      <c r="O254" s="630">
        <f>'[10]10yr Lagged Norms'!I204</f>
        <v>32.4</v>
      </c>
      <c r="P254" s="707">
        <f t="shared" si="27"/>
        <v>32</v>
      </c>
    </row>
    <row r="255" spans="2:16" x14ac:dyDescent="0.2">
      <c r="B255" s="708">
        <f t="shared" si="29"/>
        <v>42046</v>
      </c>
      <c r="C255" s="634">
        <f>'[10]Lagged.Calendar HDDs'!E190</f>
        <v>26</v>
      </c>
      <c r="D255" s="634">
        <f>'[10]Lagged.Calendar HDDs'!F190</f>
        <v>26</v>
      </c>
      <c r="E255" s="634">
        <f>'[10]Lagged.Calendar HDDs'!G190</f>
        <v>32</v>
      </c>
      <c r="F255" s="634">
        <f>'[10]Lagged.Calendar HDDs'!H190</f>
        <v>26</v>
      </c>
      <c r="G255" s="634">
        <f>'[10]Lagged.Calendar HDDs'!I190</f>
        <v>26</v>
      </c>
      <c r="H255" s="706">
        <f t="shared" si="26"/>
        <v>27</v>
      </c>
      <c r="J255" s="699">
        <f t="shared" si="28"/>
        <v>42046</v>
      </c>
      <c r="K255" s="630">
        <f>'[10]10yr Lagged Norms'!E205</f>
        <v>35.1</v>
      </c>
      <c r="L255" s="630">
        <f>'[10]10yr Lagged Norms'!F205</f>
        <v>28.9</v>
      </c>
      <c r="M255" s="630">
        <f>'[10]10yr Lagged Norms'!G205</f>
        <v>36.1</v>
      </c>
      <c r="N255" s="630">
        <f>'[10]10yr Lagged Norms'!H205</f>
        <v>32.200000000000003</v>
      </c>
      <c r="O255" s="630">
        <f>'[10]10yr Lagged Norms'!I205</f>
        <v>33.4</v>
      </c>
      <c r="P255" s="707">
        <f t="shared" si="27"/>
        <v>33</v>
      </c>
    </row>
    <row r="256" spans="2:16" x14ac:dyDescent="0.2">
      <c r="B256" s="708">
        <f t="shared" si="29"/>
        <v>42047</v>
      </c>
      <c r="C256" s="634">
        <f>'[10]Lagged.Calendar HDDs'!E191</f>
        <v>39</v>
      </c>
      <c r="D256" s="634">
        <f>'[10]Lagged.Calendar HDDs'!F191</f>
        <v>35</v>
      </c>
      <c r="E256" s="634">
        <f>'[10]Lagged.Calendar HDDs'!G191</f>
        <v>38</v>
      </c>
      <c r="F256" s="634">
        <f>'[10]Lagged.Calendar HDDs'!H191</f>
        <v>38</v>
      </c>
      <c r="G256" s="634">
        <f>'[10]Lagged.Calendar HDDs'!I191</f>
        <v>40</v>
      </c>
      <c r="H256" s="706">
        <f t="shared" si="26"/>
        <v>38</v>
      </c>
      <c r="J256" s="699">
        <f t="shared" si="28"/>
        <v>42047</v>
      </c>
      <c r="K256" s="630">
        <f>'[10]10yr Lagged Norms'!E206</f>
        <v>33.299999999999997</v>
      </c>
      <c r="L256" s="630">
        <f>'[10]10yr Lagged Norms'!F206</f>
        <v>27.8</v>
      </c>
      <c r="M256" s="630">
        <f>'[10]10yr Lagged Norms'!G206</f>
        <v>34.5</v>
      </c>
      <c r="N256" s="630">
        <f>'[10]10yr Lagged Norms'!H206</f>
        <v>32.4</v>
      </c>
      <c r="O256" s="630">
        <f>'[10]10yr Lagged Norms'!I206</f>
        <v>33.6</v>
      </c>
      <c r="P256" s="707">
        <f t="shared" si="27"/>
        <v>32</v>
      </c>
    </row>
    <row r="257" spans="2:16" x14ac:dyDescent="0.2">
      <c r="B257" s="708">
        <f t="shared" si="29"/>
        <v>42048</v>
      </c>
      <c r="C257" s="634">
        <f>'[10]Lagged.Calendar HDDs'!E192</f>
        <v>38</v>
      </c>
      <c r="D257" s="634">
        <f>'[10]Lagged.Calendar HDDs'!F192</f>
        <v>37</v>
      </c>
      <c r="E257" s="634">
        <f>'[10]Lagged.Calendar HDDs'!G192</f>
        <v>42</v>
      </c>
      <c r="F257" s="634">
        <f>'[10]Lagged.Calendar HDDs'!H192</f>
        <v>39</v>
      </c>
      <c r="G257" s="634">
        <f>'[10]Lagged.Calendar HDDs'!I192</f>
        <v>40</v>
      </c>
      <c r="H257" s="706">
        <f t="shared" si="26"/>
        <v>39</v>
      </c>
      <c r="J257" s="699">
        <f t="shared" si="28"/>
        <v>42048</v>
      </c>
      <c r="K257" s="630">
        <f>'[10]10yr Lagged Norms'!E207</f>
        <v>33.200000000000003</v>
      </c>
      <c r="L257" s="630">
        <f>'[10]10yr Lagged Norms'!F207</f>
        <v>28.5</v>
      </c>
      <c r="M257" s="630">
        <f>'[10]10yr Lagged Norms'!G207</f>
        <v>34.6</v>
      </c>
      <c r="N257" s="630">
        <f>'[10]10yr Lagged Norms'!H207</f>
        <v>32.700000000000003</v>
      </c>
      <c r="O257" s="630">
        <f>'[10]10yr Lagged Norms'!I207</f>
        <v>31.9</v>
      </c>
      <c r="P257" s="707">
        <f t="shared" si="27"/>
        <v>32</v>
      </c>
    </row>
    <row r="258" spans="2:16" x14ac:dyDescent="0.2">
      <c r="B258" s="708">
        <f t="shared" si="29"/>
        <v>42049</v>
      </c>
      <c r="C258" s="634">
        <f>'[10]Lagged.Calendar HDDs'!E193</f>
        <v>41</v>
      </c>
      <c r="D258" s="634">
        <f>'[10]Lagged.Calendar HDDs'!F193</f>
        <v>31</v>
      </c>
      <c r="E258" s="634">
        <f>'[10]Lagged.Calendar HDDs'!G193</f>
        <v>43</v>
      </c>
      <c r="F258" s="634">
        <f>'[10]Lagged.Calendar HDDs'!H193</f>
        <v>40</v>
      </c>
      <c r="G258" s="634">
        <f>'[10]Lagged.Calendar HDDs'!I193</f>
        <v>35</v>
      </c>
      <c r="H258" s="706">
        <f t="shared" si="26"/>
        <v>37</v>
      </c>
      <c r="J258" s="699">
        <f t="shared" si="28"/>
        <v>42049</v>
      </c>
      <c r="K258" s="630">
        <f>'[10]10yr Lagged Norms'!E208</f>
        <v>31.6</v>
      </c>
      <c r="L258" s="630">
        <f>'[10]10yr Lagged Norms'!F208</f>
        <v>25.2</v>
      </c>
      <c r="M258" s="630">
        <f>'[10]10yr Lagged Norms'!G208</f>
        <v>31.4</v>
      </c>
      <c r="N258" s="630">
        <f>'[10]10yr Lagged Norms'!H208</f>
        <v>29.4</v>
      </c>
      <c r="O258" s="630">
        <f>'[10]10yr Lagged Norms'!I208</f>
        <v>27.8</v>
      </c>
      <c r="P258" s="707">
        <f t="shared" si="27"/>
        <v>29</v>
      </c>
    </row>
    <row r="259" spans="2:16" x14ac:dyDescent="0.2">
      <c r="B259" s="708">
        <f t="shared" si="29"/>
        <v>42050</v>
      </c>
      <c r="C259" s="634">
        <f>'[10]Lagged.Calendar HDDs'!E194</f>
        <v>49</v>
      </c>
      <c r="D259" s="634">
        <f>'[10]Lagged.Calendar HDDs'!F194</f>
        <v>45</v>
      </c>
      <c r="E259" s="634">
        <f>'[10]Lagged.Calendar HDDs'!G194</f>
        <v>52</v>
      </c>
      <c r="F259" s="634">
        <f>'[10]Lagged.Calendar HDDs'!H194</f>
        <v>49</v>
      </c>
      <c r="G259" s="634">
        <f>'[10]Lagged.Calendar HDDs'!I194</f>
        <v>47</v>
      </c>
      <c r="H259" s="706">
        <f t="shared" si="26"/>
        <v>48</v>
      </c>
      <c r="J259" s="699">
        <f t="shared" si="28"/>
        <v>42050</v>
      </c>
      <c r="K259" s="630">
        <f>'[10]10yr Lagged Norms'!E209</f>
        <v>34</v>
      </c>
      <c r="L259" s="630">
        <f>'[10]10yr Lagged Norms'!F209</f>
        <v>26.7</v>
      </c>
      <c r="M259" s="630">
        <f>'[10]10yr Lagged Norms'!G209</f>
        <v>33.5</v>
      </c>
      <c r="N259" s="630">
        <f>'[10]10yr Lagged Norms'!H209</f>
        <v>31.2</v>
      </c>
      <c r="O259" s="630">
        <f>'[10]10yr Lagged Norms'!I209</f>
        <v>30.8</v>
      </c>
      <c r="P259" s="707">
        <f t="shared" si="27"/>
        <v>31</v>
      </c>
    </row>
    <row r="260" spans="2:16" x14ac:dyDescent="0.2">
      <c r="B260" s="708">
        <f t="shared" si="29"/>
        <v>42051</v>
      </c>
      <c r="C260" s="634">
        <f>'[10]Lagged.Calendar HDDs'!E195</f>
        <v>49</v>
      </c>
      <c r="D260" s="634">
        <f>'[10]Lagged.Calendar HDDs'!F195</f>
        <v>41</v>
      </c>
      <c r="E260" s="634">
        <f>'[10]Lagged.Calendar HDDs'!G195</f>
        <v>52</v>
      </c>
      <c r="F260" s="634">
        <f>'[10]Lagged.Calendar HDDs'!H195</f>
        <v>50</v>
      </c>
      <c r="G260" s="634">
        <f>'[10]Lagged.Calendar HDDs'!I195</f>
        <v>49</v>
      </c>
      <c r="H260" s="706">
        <f t="shared" si="26"/>
        <v>48</v>
      </c>
      <c r="J260" s="699">
        <f t="shared" si="28"/>
        <v>42051</v>
      </c>
      <c r="K260" s="630">
        <f>'[10]10yr Lagged Norms'!E210</f>
        <v>31.5</v>
      </c>
      <c r="L260" s="630">
        <f>'[10]10yr Lagged Norms'!F210</f>
        <v>24.6</v>
      </c>
      <c r="M260" s="630">
        <f>'[10]10yr Lagged Norms'!G210</f>
        <v>31.6</v>
      </c>
      <c r="N260" s="630">
        <f>'[10]10yr Lagged Norms'!H210</f>
        <v>29.7</v>
      </c>
      <c r="O260" s="630">
        <f>'[10]10yr Lagged Norms'!I210</f>
        <v>29.3</v>
      </c>
      <c r="P260" s="707">
        <f t="shared" si="27"/>
        <v>29</v>
      </c>
    </row>
    <row r="261" spans="2:16" x14ac:dyDescent="0.2">
      <c r="B261" s="708">
        <f t="shared" si="29"/>
        <v>42052</v>
      </c>
      <c r="C261" s="634">
        <f>'[10]Lagged.Calendar HDDs'!E196</f>
        <v>52</v>
      </c>
      <c r="D261" s="634">
        <f>'[10]Lagged.Calendar HDDs'!F196</f>
        <v>44</v>
      </c>
      <c r="E261" s="634">
        <f>'[10]Lagged.Calendar HDDs'!G196</f>
        <v>55</v>
      </c>
      <c r="F261" s="634">
        <f>'[10]Lagged.Calendar HDDs'!H196</f>
        <v>50</v>
      </c>
      <c r="G261" s="634">
        <f>'[10]Lagged.Calendar HDDs'!I196</f>
        <v>53</v>
      </c>
      <c r="H261" s="706">
        <f t="shared" si="26"/>
        <v>51</v>
      </c>
      <c r="J261" s="699">
        <f t="shared" si="28"/>
        <v>42052</v>
      </c>
      <c r="K261" s="630">
        <f>'[10]10yr Lagged Norms'!E211</f>
        <v>31.1</v>
      </c>
      <c r="L261" s="630">
        <f>'[10]10yr Lagged Norms'!F211</f>
        <v>24</v>
      </c>
      <c r="M261" s="630">
        <f>'[10]10yr Lagged Norms'!G211</f>
        <v>29</v>
      </c>
      <c r="N261" s="630">
        <f>'[10]10yr Lagged Norms'!H211</f>
        <v>27.9</v>
      </c>
      <c r="O261" s="630">
        <f>'[10]10yr Lagged Norms'!I211</f>
        <v>28.4</v>
      </c>
      <c r="P261" s="707">
        <f t="shared" si="27"/>
        <v>28</v>
      </c>
    </row>
    <row r="262" spans="2:16" x14ac:dyDescent="0.2">
      <c r="B262" s="708">
        <f t="shared" si="29"/>
        <v>42053</v>
      </c>
      <c r="C262" s="634">
        <f>'[10]Lagged.Calendar HDDs'!E197</f>
        <v>50</v>
      </c>
      <c r="D262" s="634">
        <f>'[10]Lagged.Calendar HDDs'!F197</f>
        <v>47</v>
      </c>
      <c r="E262" s="634">
        <f>'[10]Lagged.Calendar HDDs'!G197</f>
        <v>54</v>
      </c>
      <c r="F262" s="634">
        <f>'[10]Lagged.Calendar HDDs'!H197</f>
        <v>51</v>
      </c>
      <c r="G262" s="634">
        <f>'[10]Lagged.Calendar HDDs'!I197</f>
        <v>51</v>
      </c>
      <c r="H262" s="706">
        <f t="shared" si="26"/>
        <v>50</v>
      </c>
      <c r="J262" s="699">
        <f t="shared" si="28"/>
        <v>42053</v>
      </c>
      <c r="K262" s="630">
        <f>'[10]10yr Lagged Norms'!E212</f>
        <v>30.3</v>
      </c>
      <c r="L262" s="630">
        <f>'[10]10yr Lagged Norms'!F212</f>
        <v>23.5</v>
      </c>
      <c r="M262" s="630">
        <f>'[10]10yr Lagged Norms'!G212</f>
        <v>29.9</v>
      </c>
      <c r="N262" s="630">
        <f>'[10]10yr Lagged Norms'!H212</f>
        <v>27.9</v>
      </c>
      <c r="O262" s="630">
        <f>'[10]10yr Lagged Norms'!I212</f>
        <v>27.6</v>
      </c>
      <c r="P262" s="707">
        <f t="shared" si="27"/>
        <v>28</v>
      </c>
    </row>
    <row r="263" spans="2:16" x14ac:dyDescent="0.2">
      <c r="B263" s="708">
        <f t="shared" si="29"/>
        <v>42054</v>
      </c>
      <c r="C263" s="634">
        <f>'[10]Lagged.Calendar HDDs'!E198</f>
        <v>62</v>
      </c>
      <c r="D263" s="634">
        <f>'[10]Lagged.Calendar HDDs'!F198</f>
        <v>52</v>
      </c>
      <c r="E263" s="634">
        <f>'[10]Lagged.Calendar HDDs'!G198</f>
        <v>65</v>
      </c>
      <c r="F263" s="634">
        <f>'[10]Lagged.Calendar HDDs'!H198</f>
        <v>61</v>
      </c>
      <c r="G263" s="634">
        <f>'[10]Lagged.Calendar HDDs'!I198</f>
        <v>61</v>
      </c>
      <c r="H263" s="706">
        <f t="shared" si="26"/>
        <v>60</v>
      </c>
      <c r="J263" s="699">
        <f t="shared" si="28"/>
        <v>42054</v>
      </c>
      <c r="K263" s="630">
        <f>'[10]10yr Lagged Norms'!E213</f>
        <v>35.4</v>
      </c>
      <c r="L263" s="630">
        <f>'[10]10yr Lagged Norms'!F213</f>
        <v>27.5</v>
      </c>
      <c r="M263" s="630">
        <f>'[10]10yr Lagged Norms'!G213</f>
        <v>35.5</v>
      </c>
      <c r="N263" s="630">
        <f>'[10]10yr Lagged Norms'!H213</f>
        <v>32.799999999999997</v>
      </c>
      <c r="O263" s="630">
        <f>'[10]10yr Lagged Norms'!I213</f>
        <v>31.6</v>
      </c>
      <c r="P263" s="707">
        <f t="shared" si="27"/>
        <v>32</v>
      </c>
    </row>
    <row r="264" spans="2:16" x14ac:dyDescent="0.2">
      <c r="B264" s="708">
        <f t="shared" si="29"/>
        <v>42055</v>
      </c>
      <c r="C264" s="634">
        <f>'[10]Lagged.Calendar HDDs'!E199</f>
        <v>52</v>
      </c>
      <c r="D264" s="634">
        <f>'[10]Lagged.Calendar HDDs'!F199</f>
        <v>44</v>
      </c>
      <c r="E264" s="634">
        <f>'[10]Lagged.Calendar HDDs'!G199</f>
        <v>61</v>
      </c>
      <c r="F264" s="634">
        <f>'[10]Lagged.Calendar HDDs'!H199</f>
        <v>55</v>
      </c>
      <c r="G264" s="634">
        <f>'[10]Lagged.Calendar HDDs'!I199</f>
        <v>44</v>
      </c>
      <c r="H264" s="706">
        <f t="shared" si="26"/>
        <v>49</v>
      </c>
      <c r="J264" s="699">
        <f t="shared" si="28"/>
        <v>42055</v>
      </c>
      <c r="K264" s="630">
        <f>'[10]10yr Lagged Norms'!E214</f>
        <v>29.1</v>
      </c>
      <c r="L264" s="630">
        <f>'[10]10yr Lagged Norms'!F214</f>
        <v>22.8</v>
      </c>
      <c r="M264" s="630">
        <f>'[10]10yr Lagged Norms'!G214</f>
        <v>31.7</v>
      </c>
      <c r="N264" s="630">
        <f>'[10]10yr Lagged Norms'!H214</f>
        <v>28.3</v>
      </c>
      <c r="O264" s="630">
        <f>'[10]10yr Lagged Norms'!I214</f>
        <v>25.5</v>
      </c>
      <c r="P264" s="707">
        <f t="shared" si="27"/>
        <v>27</v>
      </c>
    </row>
    <row r="265" spans="2:16" x14ac:dyDescent="0.2">
      <c r="B265" s="708">
        <f t="shared" si="29"/>
        <v>42056</v>
      </c>
      <c r="C265" s="634">
        <f>'[10]Lagged.Calendar HDDs'!E200</f>
        <v>33</v>
      </c>
      <c r="D265" s="634">
        <f>'[10]Lagged.Calendar HDDs'!F200</f>
        <v>26</v>
      </c>
      <c r="E265" s="634">
        <f>'[10]Lagged.Calendar HDDs'!G200</f>
        <v>34</v>
      </c>
      <c r="F265" s="634">
        <f>'[10]Lagged.Calendar HDDs'!H200</f>
        <v>34</v>
      </c>
      <c r="G265" s="634">
        <f>'[10]Lagged.Calendar HDDs'!I200</f>
        <v>32</v>
      </c>
      <c r="H265" s="706">
        <f t="shared" si="26"/>
        <v>31</v>
      </c>
      <c r="J265" s="699">
        <f t="shared" si="28"/>
        <v>42056</v>
      </c>
      <c r="K265" s="630">
        <f>'[10]10yr Lagged Norms'!E215</f>
        <v>25.9</v>
      </c>
      <c r="L265" s="630">
        <f>'[10]10yr Lagged Norms'!F215</f>
        <v>18.3</v>
      </c>
      <c r="M265" s="630">
        <f>'[10]10yr Lagged Norms'!G215</f>
        <v>25.8</v>
      </c>
      <c r="N265" s="630">
        <f>'[10]10yr Lagged Norms'!H215</f>
        <v>25</v>
      </c>
      <c r="O265" s="630">
        <f>'[10]10yr Lagged Norms'!I215</f>
        <v>23.3</v>
      </c>
      <c r="P265" s="707">
        <f t="shared" si="27"/>
        <v>23</v>
      </c>
    </row>
    <row r="266" spans="2:16" x14ac:dyDescent="0.2">
      <c r="B266" s="708">
        <f t="shared" si="29"/>
        <v>42057</v>
      </c>
      <c r="C266" s="634">
        <f>'[10]Lagged.Calendar HDDs'!E201</f>
        <v>39</v>
      </c>
      <c r="D266" s="634">
        <f>'[10]Lagged.Calendar HDDs'!F201</f>
        <v>28</v>
      </c>
      <c r="E266" s="634">
        <f>'[10]Lagged.Calendar HDDs'!G201</f>
        <v>32</v>
      </c>
      <c r="F266" s="634">
        <f>'[10]Lagged.Calendar HDDs'!H201</f>
        <v>36</v>
      </c>
      <c r="G266" s="634">
        <f>'[10]Lagged.Calendar HDDs'!I201</f>
        <v>37</v>
      </c>
      <c r="H266" s="706">
        <f t="shared" si="26"/>
        <v>35</v>
      </c>
      <c r="J266" s="699">
        <f t="shared" si="28"/>
        <v>42057</v>
      </c>
      <c r="K266" s="630">
        <f>'[10]10yr Lagged Norms'!E216</f>
        <v>27.6</v>
      </c>
      <c r="L266" s="630">
        <f>'[10]10yr Lagged Norms'!F216</f>
        <v>20.5</v>
      </c>
      <c r="M266" s="630">
        <f>'[10]10yr Lagged Norms'!G216</f>
        <v>25.7</v>
      </c>
      <c r="N266" s="630">
        <f>'[10]10yr Lagged Norms'!H216</f>
        <v>24.9</v>
      </c>
      <c r="O266" s="630">
        <f>'[10]10yr Lagged Norms'!I216</f>
        <v>25.3</v>
      </c>
      <c r="P266" s="707">
        <f t="shared" si="27"/>
        <v>25</v>
      </c>
    </row>
    <row r="267" spans="2:16" x14ac:dyDescent="0.2">
      <c r="B267" s="708">
        <f t="shared" si="29"/>
        <v>42058</v>
      </c>
      <c r="C267" s="634">
        <f>'[10]Lagged.Calendar HDDs'!E202</f>
        <v>49</v>
      </c>
      <c r="D267" s="634">
        <f>'[10]Lagged.Calendar HDDs'!F202</f>
        <v>39</v>
      </c>
      <c r="E267" s="634">
        <f>'[10]Lagged.Calendar HDDs'!G202</f>
        <v>48</v>
      </c>
      <c r="F267" s="634">
        <f>'[10]Lagged.Calendar HDDs'!H202</f>
        <v>46</v>
      </c>
      <c r="G267" s="634">
        <f>'[10]Lagged.Calendar HDDs'!I202</f>
        <v>47</v>
      </c>
      <c r="H267" s="706">
        <f t="shared" si="26"/>
        <v>46</v>
      </c>
      <c r="J267" s="699">
        <f t="shared" si="28"/>
        <v>42058</v>
      </c>
      <c r="K267" s="630">
        <f>'[10]10yr Lagged Norms'!E217</f>
        <v>30.6</v>
      </c>
      <c r="L267" s="630">
        <f>'[10]10yr Lagged Norms'!F217</f>
        <v>22.9</v>
      </c>
      <c r="M267" s="630">
        <f>'[10]10yr Lagged Norms'!G217</f>
        <v>30</v>
      </c>
      <c r="N267" s="630">
        <f>'[10]10yr Lagged Norms'!H217</f>
        <v>28.1</v>
      </c>
      <c r="O267" s="630">
        <f>'[10]10yr Lagged Norms'!I217</f>
        <v>28.1</v>
      </c>
      <c r="P267" s="707">
        <f t="shared" si="27"/>
        <v>28</v>
      </c>
    </row>
    <row r="268" spans="2:16" x14ac:dyDescent="0.2">
      <c r="B268" s="708">
        <f t="shared" si="29"/>
        <v>42059</v>
      </c>
      <c r="C268" s="634">
        <f>'[10]Lagged.Calendar HDDs'!E203</f>
        <v>43</v>
      </c>
      <c r="D268" s="634">
        <f>'[10]Lagged.Calendar HDDs'!F203</f>
        <v>36</v>
      </c>
      <c r="E268" s="634">
        <f>'[10]Lagged.Calendar HDDs'!G203</f>
        <v>48</v>
      </c>
      <c r="F268" s="634">
        <f>'[10]Lagged.Calendar HDDs'!H203</f>
        <v>44</v>
      </c>
      <c r="G268" s="634">
        <f>'[10]Lagged.Calendar HDDs'!I203</f>
        <v>42</v>
      </c>
      <c r="H268" s="706">
        <f t="shared" ref="H268:H331" si="30">IFERROR(ROUND((C268*C$70)+(D268*D$70)+(E268*E$70)+(F268*F$70)+(G268*G$70),0),0)</f>
        <v>42</v>
      </c>
      <c r="J268" s="699">
        <f t="shared" si="28"/>
        <v>42059</v>
      </c>
      <c r="K268" s="630">
        <f>'[10]10yr Lagged Norms'!E218</f>
        <v>29.2</v>
      </c>
      <c r="L268" s="630">
        <f>'[10]10yr Lagged Norms'!F218</f>
        <v>22.7</v>
      </c>
      <c r="M268" s="630">
        <f>'[10]10yr Lagged Norms'!G218</f>
        <v>30.9</v>
      </c>
      <c r="N268" s="630">
        <f>'[10]10yr Lagged Norms'!H218</f>
        <v>28.8</v>
      </c>
      <c r="O268" s="630">
        <f>'[10]10yr Lagged Norms'!I218</f>
        <v>27</v>
      </c>
      <c r="P268" s="707">
        <f t="shared" ref="P268:P331" si="31">IFERROR(ROUND((K268*C$70)+(L268*D$70)+(M268*E$70)+(N268*F$70)+(O268*G$70),0),0)</f>
        <v>27</v>
      </c>
    </row>
    <row r="269" spans="2:16" x14ac:dyDescent="0.2">
      <c r="B269" s="708">
        <f t="shared" si="29"/>
        <v>42060</v>
      </c>
      <c r="C269" s="634">
        <f>'[10]Lagged.Calendar HDDs'!E204</f>
        <v>37</v>
      </c>
      <c r="D269" s="634">
        <f>'[10]Lagged.Calendar HDDs'!F204</f>
        <v>36</v>
      </c>
      <c r="E269" s="634">
        <f>'[10]Lagged.Calendar HDDs'!G204</f>
        <v>36</v>
      </c>
      <c r="F269" s="634">
        <f>'[10]Lagged.Calendar HDDs'!H204</f>
        <v>34</v>
      </c>
      <c r="G269" s="634">
        <f>'[10]Lagged.Calendar HDDs'!I204</f>
        <v>38</v>
      </c>
      <c r="H269" s="706">
        <f t="shared" si="30"/>
        <v>37</v>
      </c>
      <c r="J269" s="699">
        <f t="shared" ref="J269:J332" si="32">B269</f>
        <v>42060</v>
      </c>
      <c r="K269" s="630">
        <f>'[10]10yr Lagged Norms'!E219</f>
        <v>28.3</v>
      </c>
      <c r="L269" s="630">
        <f>'[10]10yr Lagged Norms'!F219</f>
        <v>21.8</v>
      </c>
      <c r="M269" s="630">
        <f>'[10]10yr Lagged Norms'!G219</f>
        <v>27.8</v>
      </c>
      <c r="N269" s="630">
        <f>'[10]10yr Lagged Norms'!H219</f>
        <v>26.5</v>
      </c>
      <c r="O269" s="630">
        <f>'[10]10yr Lagged Norms'!I219</f>
        <v>25.8</v>
      </c>
      <c r="P269" s="707">
        <f t="shared" si="31"/>
        <v>26</v>
      </c>
    </row>
    <row r="270" spans="2:16" x14ac:dyDescent="0.2">
      <c r="B270" s="708">
        <f t="shared" ref="B270:B333" si="33">B269+1</f>
        <v>42061</v>
      </c>
      <c r="C270" s="634">
        <f>'[10]Lagged.Calendar HDDs'!E205</f>
        <v>41</v>
      </c>
      <c r="D270" s="634">
        <f>'[10]Lagged.Calendar HDDs'!F205</f>
        <v>29</v>
      </c>
      <c r="E270" s="634">
        <f>'[10]Lagged.Calendar HDDs'!G205</f>
        <v>41</v>
      </c>
      <c r="F270" s="634">
        <f>'[10]Lagged.Calendar HDDs'!H205</f>
        <v>39</v>
      </c>
      <c r="G270" s="634">
        <f>'[10]Lagged.Calendar HDDs'!I205</f>
        <v>40</v>
      </c>
      <c r="H270" s="706">
        <f t="shared" si="30"/>
        <v>38</v>
      </c>
      <c r="J270" s="699">
        <f t="shared" si="32"/>
        <v>42061</v>
      </c>
      <c r="K270" s="630">
        <f>'[10]10yr Lagged Norms'!E220</f>
        <v>28.9</v>
      </c>
      <c r="L270" s="630">
        <f>'[10]10yr Lagged Norms'!F220</f>
        <v>23.6</v>
      </c>
      <c r="M270" s="630">
        <f>'[10]10yr Lagged Norms'!G220</f>
        <v>29.6</v>
      </c>
      <c r="N270" s="630">
        <f>'[10]10yr Lagged Norms'!H220</f>
        <v>28</v>
      </c>
      <c r="O270" s="630">
        <f>'[10]10yr Lagged Norms'!I220</f>
        <v>26.2</v>
      </c>
      <c r="P270" s="707">
        <f t="shared" si="31"/>
        <v>27</v>
      </c>
    </row>
    <row r="271" spans="2:16" x14ac:dyDescent="0.2">
      <c r="B271" s="708">
        <f t="shared" si="33"/>
        <v>42062</v>
      </c>
      <c r="C271" s="634">
        <f>'[10]Lagged.Calendar HDDs'!E206</f>
        <v>46</v>
      </c>
      <c r="D271" s="634">
        <f>'[10]Lagged.Calendar HDDs'!F206</f>
        <v>39</v>
      </c>
      <c r="E271" s="634">
        <f>'[10]Lagged.Calendar HDDs'!G206</f>
        <v>50</v>
      </c>
      <c r="F271" s="634">
        <f>'[10]Lagged.Calendar HDDs'!H206</f>
        <v>45</v>
      </c>
      <c r="G271" s="634">
        <f>'[10]Lagged.Calendar HDDs'!I206</f>
        <v>46</v>
      </c>
      <c r="H271" s="706">
        <f t="shared" si="30"/>
        <v>45</v>
      </c>
      <c r="J271" s="699">
        <f t="shared" si="32"/>
        <v>42062</v>
      </c>
      <c r="K271" s="630">
        <f>'[10]10yr Lagged Norms'!E221</f>
        <v>28.5</v>
      </c>
      <c r="L271" s="630">
        <f>'[10]10yr Lagged Norms'!F221</f>
        <v>22.6</v>
      </c>
      <c r="M271" s="630">
        <f>'[10]10yr Lagged Norms'!G221</f>
        <v>29.8</v>
      </c>
      <c r="N271" s="630">
        <f>'[10]10yr Lagged Norms'!H221</f>
        <v>27</v>
      </c>
      <c r="O271" s="630">
        <f>'[10]10yr Lagged Norms'!I221</f>
        <v>25.2</v>
      </c>
      <c r="P271" s="707">
        <f t="shared" si="31"/>
        <v>26</v>
      </c>
    </row>
    <row r="272" spans="2:16" x14ac:dyDescent="0.2">
      <c r="B272" s="708">
        <f t="shared" si="33"/>
        <v>42063</v>
      </c>
      <c r="C272" s="634">
        <f>'[10]Lagged.Calendar HDDs'!E207</f>
        <v>38</v>
      </c>
      <c r="D272" s="634">
        <f>'[10]Lagged.Calendar HDDs'!F207</f>
        <v>27</v>
      </c>
      <c r="E272" s="634">
        <f>'[10]Lagged.Calendar HDDs'!G207</f>
        <v>40</v>
      </c>
      <c r="F272" s="634">
        <f>'[10]Lagged.Calendar HDDs'!H207</f>
        <v>38</v>
      </c>
      <c r="G272" s="634">
        <f>'[10]Lagged.Calendar HDDs'!I207</f>
        <v>38</v>
      </c>
      <c r="H272" s="706">
        <f t="shared" si="30"/>
        <v>36</v>
      </c>
      <c r="J272" s="699">
        <f t="shared" si="32"/>
        <v>42063</v>
      </c>
      <c r="K272" s="630">
        <f>'[10]10yr Lagged Norms'!E222</f>
        <v>25.7</v>
      </c>
      <c r="L272" s="630">
        <f>'[10]10yr Lagged Norms'!F222</f>
        <v>20.5</v>
      </c>
      <c r="M272" s="630">
        <f>'[10]10yr Lagged Norms'!G222</f>
        <v>28</v>
      </c>
      <c r="N272" s="630">
        <f>'[10]10yr Lagged Norms'!H222</f>
        <v>25.4</v>
      </c>
      <c r="O272" s="630">
        <f>'[10]10yr Lagged Norms'!I222</f>
        <v>22.9</v>
      </c>
      <c r="P272" s="707">
        <f t="shared" si="31"/>
        <v>24</v>
      </c>
    </row>
    <row r="273" spans="2:16" x14ac:dyDescent="0.2">
      <c r="B273" s="708">
        <f t="shared" si="33"/>
        <v>42064</v>
      </c>
      <c r="C273" s="634">
        <f>'[10]Lagged.Calendar HDDs'!E208</f>
        <v>31</v>
      </c>
      <c r="D273" s="634">
        <f>'[10]Lagged.Calendar HDDs'!F208</f>
        <v>20</v>
      </c>
      <c r="E273" s="634">
        <f>'[10]Lagged.Calendar HDDs'!G208</f>
        <v>29</v>
      </c>
      <c r="F273" s="634">
        <f>'[10]Lagged.Calendar HDDs'!H208</f>
        <v>29</v>
      </c>
      <c r="G273" s="634">
        <f>'[10]Lagged.Calendar HDDs'!I208</f>
        <v>29</v>
      </c>
      <c r="H273" s="706">
        <f t="shared" si="30"/>
        <v>27</v>
      </c>
      <c r="J273" s="699">
        <f t="shared" si="32"/>
        <v>42064</v>
      </c>
      <c r="K273" s="630">
        <f>'[10]10yr Lagged Norms'!E223</f>
        <v>23</v>
      </c>
      <c r="L273" s="630">
        <f>'[10]10yr Lagged Norms'!F223</f>
        <v>17.899999999999999</v>
      </c>
      <c r="M273" s="630">
        <f>'[10]10yr Lagged Norms'!G223</f>
        <v>22.4</v>
      </c>
      <c r="N273" s="630">
        <f>'[10]10yr Lagged Norms'!H223</f>
        <v>20.6</v>
      </c>
      <c r="O273" s="630">
        <f>'[10]10yr Lagged Norms'!I223</f>
        <v>20.6</v>
      </c>
      <c r="P273" s="707">
        <f t="shared" si="31"/>
        <v>21</v>
      </c>
    </row>
    <row r="274" spans="2:16" x14ac:dyDescent="0.2">
      <c r="B274" s="708">
        <f t="shared" si="33"/>
        <v>42065</v>
      </c>
      <c r="C274" s="634">
        <f>'[10]Lagged.Calendar HDDs'!E209</f>
        <v>33</v>
      </c>
      <c r="D274" s="634">
        <f>'[10]Lagged.Calendar HDDs'!F209</f>
        <v>24</v>
      </c>
      <c r="E274" s="634">
        <f>'[10]Lagged.Calendar HDDs'!G209</f>
        <v>34</v>
      </c>
      <c r="F274" s="634">
        <f>'[10]Lagged.Calendar HDDs'!H209</f>
        <v>32</v>
      </c>
      <c r="G274" s="634">
        <f>'[10]Lagged.Calendar HDDs'!I209</f>
        <v>32</v>
      </c>
      <c r="H274" s="706">
        <f t="shared" si="30"/>
        <v>31</v>
      </c>
      <c r="J274" s="699">
        <f t="shared" si="32"/>
        <v>42065</v>
      </c>
      <c r="K274" s="630">
        <f>'[10]10yr Lagged Norms'!E224</f>
        <v>25</v>
      </c>
      <c r="L274" s="630">
        <f>'[10]10yr Lagged Norms'!F224</f>
        <v>18.899999999999999</v>
      </c>
      <c r="M274" s="630">
        <f>'[10]10yr Lagged Norms'!G224</f>
        <v>24.7</v>
      </c>
      <c r="N274" s="630">
        <f>'[10]10yr Lagged Norms'!H224</f>
        <v>23.2</v>
      </c>
      <c r="O274" s="630">
        <f>'[10]10yr Lagged Norms'!I224</f>
        <v>22.5</v>
      </c>
      <c r="P274" s="707">
        <f t="shared" si="31"/>
        <v>23</v>
      </c>
    </row>
    <row r="275" spans="2:16" x14ac:dyDescent="0.2">
      <c r="B275" s="708">
        <f t="shared" si="33"/>
        <v>42066</v>
      </c>
      <c r="C275" s="634">
        <f>'[10]Lagged.Calendar HDDs'!E210</f>
        <v>22</v>
      </c>
      <c r="D275" s="634">
        <f>'[10]Lagged.Calendar HDDs'!F210</f>
        <v>11</v>
      </c>
      <c r="E275" s="634">
        <f>'[10]Lagged.Calendar HDDs'!G210</f>
        <v>21</v>
      </c>
      <c r="F275" s="634">
        <f>'[10]Lagged.Calendar HDDs'!H210</f>
        <v>18</v>
      </c>
      <c r="G275" s="634">
        <f>'[10]Lagged.Calendar HDDs'!I210</f>
        <v>20</v>
      </c>
      <c r="H275" s="706">
        <f t="shared" si="30"/>
        <v>18</v>
      </c>
      <c r="J275" s="699">
        <f t="shared" si="32"/>
        <v>42066</v>
      </c>
      <c r="K275" s="630">
        <f>'[10]10yr Lagged Norms'!E225</f>
        <v>28.8</v>
      </c>
      <c r="L275" s="630">
        <f>'[10]10yr Lagged Norms'!F225</f>
        <v>23.1</v>
      </c>
      <c r="M275" s="630">
        <f>'[10]10yr Lagged Norms'!G225</f>
        <v>28.7</v>
      </c>
      <c r="N275" s="630">
        <f>'[10]10yr Lagged Norms'!H225</f>
        <v>26.5</v>
      </c>
      <c r="O275" s="630">
        <f>'[10]10yr Lagged Norms'!I225</f>
        <v>27.2</v>
      </c>
      <c r="P275" s="707">
        <f t="shared" si="31"/>
        <v>27</v>
      </c>
    </row>
    <row r="276" spans="2:16" x14ac:dyDescent="0.2">
      <c r="B276" s="708">
        <f t="shared" si="33"/>
        <v>42067</v>
      </c>
      <c r="C276" s="634">
        <f>'[10]Lagged.Calendar HDDs'!E211</f>
        <v>33</v>
      </c>
      <c r="D276" s="634">
        <f>'[10]Lagged.Calendar HDDs'!F211</f>
        <v>19</v>
      </c>
      <c r="E276" s="634">
        <f>'[10]Lagged.Calendar HDDs'!G211</f>
        <v>27</v>
      </c>
      <c r="F276" s="634">
        <f>'[10]Lagged.Calendar HDDs'!H211</f>
        <v>30</v>
      </c>
      <c r="G276" s="634">
        <f>'[10]Lagged.Calendar HDDs'!I211</f>
        <v>32</v>
      </c>
      <c r="H276" s="706">
        <f t="shared" si="30"/>
        <v>28</v>
      </c>
      <c r="J276" s="699">
        <f t="shared" si="32"/>
        <v>42067</v>
      </c>
      <c r="K276" s="630">
        <f>'[10]10yr Lagged Norms'!E226</f>
        <v>28.4</v>
      </c>
      <c r="L276" s="630">
        <f>'[10]10yr Lagged Norms'!F226</f>
        <v>21.4</v>
      </c>
      <c r="M276" s="630">
        <f>'[10]10yr Lagged Norms'!G226</f>
        <v>29.2</v>
      </c>
      <c r="N276" s="630">
        <f>'[10]10yr Lagged Norms'!H226</f>
        <v>27</v>
      </c>
      <c r="O276" s="630">
        <f>'[10]10yr Lagged Norms'!I226</f>
        <v>26.5</v>
      </c>
      <c r="P276" s="707">
        <f t="shared" si="31"/>
        <v>26</v>
      </c>
    </row>
    <row r="277" spans="2:16" x14ac:dyDescent="0.2">
      <c r="B277" s="708">
        <f t="shared" si="33"/>
        <v>42068</v>
      </c>
      <c r="C277" s="634">
        <f>'[10]Lagged.Calendar HDDs'!E212</f>
        <v>49</v>
      </c>
      <c r="D277" s="634">
        <f>'[10]Lagged.Calendar HDDs'!F212</f>
        <v>44</v>
      </c>
      <c r="E277" s="634">
        <f>'[10]Lagged.Calendar HDDs'!G212</f>
        <v>48</v>
      </c>
      <c r="F277" s="634">
        <f>'[10]Lagged.Calendar HDDs'!H212</f>
        <v>43</v>
      </c>
      <c r="G277" s="634">
        <f>'[10]Lagged.Calendar HDDs'!I212</f>
        <v>49</v>
      </c>
      <c r="H277" s="706">
        <f t="shared" si="30"/>
        <v>47</v>
      </c>
      <c r="J277" s="699">
        <f t="shared" si="32"/>
        <v>42068</v>
      </c>
      <c r="K277" s="630">
        <f>'[10]10yr Lagged Norms'!E227</f>
        <v>26.9</v>
      </c>
      <c r="L277" s="630">
        <f>'[10]10yr Lagged Norms'!F227</f>
        <v>23.3</v>
      </c>
      <c r="M277" s="630">
        <f>'[10]10yr Lagged Norms'!G227</f>
        <v>29.8</v>
      </c>
      <c r="N277" s="630">
        <f>'[10]10yr Lagged Norms'!H227</f>
        <v>26.1</v>
      </c>
      <c r="O277" s="630">
        <f>'[10]10yr Lagged Norms'!I227</f>
        <v>24.5</v>
      </c>
      <c r="P277" s="707">
        <f t="shared" si="31"/>
        <v>26</v>
      </c>
    </row>
    <row r="278" spans="2:16" x14ac:dyDescent="0.2">
      <c r="B278" s="708">
        <f t="shared" si="33"/>
        <v>42069</v>
      </c>
      <c r="C278" s="634">
        <f>'[10]Lagged.Calendar HDDs'!E213</f>
        <v>49</v>
      </c>
      <c r="D278" s="634">
        <f>'[10]Lagged.Calendar HDDs'!F213</f>
        <v>42</v>
      </c>
      <c r="E278" s="634">
        <f>'[10]Lagged.Calendar HDDs'!G213</f>
        <v>53</v>
      </c>
      <c r="F278" s="634">
        <f>'[10]Lagged.Calendar HDDs'!H213</f>
        <v>45</v>
      </c>
      <c r="G278" s="634">
        <f>'[10]Lagged.Calendar HDDs'!I213</f>
        <v>53</v>
      </c>
      <c r="H278" s="706">
        <f t="shared" si="30"/>
        <v>49</v>
      </c>
      <c r="J278" s="699">
        <f t="shared" si="32"/>
        <v>42069</v>
      </c>
      <c r="K278" s="630">
        <f>'[10]10yr Lagged Norms'!E228</f>
        <v>25.9</v>
      </c>
      <c r="L278" s="630">
        <f>'[10]10yr Lagged Norms'!F228</f>
        <v>22</v>
      </c>
      <c r="M278" s="630">
        <f>'[10]10yr Lagged Norms'!G228</f>
        <v>29</v>
      </c>
      <c r="N278" s="630">
        <f>'[10]10yr Lagged Norms'!H228</f>
        <v>25.1</v>
      </c>
      <c r="O278" s="630">
        <f>'[10]10yr Lagged Norms'!I228</f>
        <v>24.2</v>
      </c>
      <c r="P278" s="707">
        <f t="shared" si="31"/>
        <v>25</v>
      </c>
    </row>
    <row r="279" spans="2:16" x14ac:dyDescent="0.2">
      <c r="B279" s="708">
        <f t="shared" si="33"/>
        <v>42070</v>
      </c>
      <c r="C279" s="634">
        <f>'[10]Lagged.Calendar HDDs'!E214</f>
        <v>28</v>
      </c>
      <c r="D279" s="634">
        <f>'[10]Lagged.Calendar HDDs'!F214</f>
        <v>23</v>
      </c>
      <c r="E279" s="634">
        <f>'[10]Lagged.Calendar HDDs'!G214</f>
        <v>32</v>
      </c>
      <c r="F279" s="634">
        <f>'[10]Lagged.Calendar HDDs'!H214</f>
        <v>28</v>
      </c>
      <c r="G279" s="634">
        <f>'[10]Lagged.Calendar HDDs'!I214</f>
        <v>31</v>
      </c>
      <c r="H279" s="706">
        <f t="shared" si="30"/>
        <v>28</v>
      </c>
      <c r="J279" s="699">
        <f t="shared" si="32"/>
        <v>42070</v>
      </c>
      <c r="K279" s="630">
        <f>'[10]10yr Lagged Norms'!E229</f>
        <v>21</v>
      </c>
      <c r="L279" s="630">
        <f>'[10]10yr Lagged Norms'!F229</f>
        <v>18.100000000000001</v>
      </c>
      <c r="M279" s="630">
        <f>'[10]10yr Lagged Norms'!G229</f>
        <v>22.9</v>
      </c>
      <c r="N279" s="630">
        <f>'[10]10yr Lagged Norms'!H229</f>
        <v>20.100000000000001</v>
      </c>
      <c r="O279" s="630">
        <f>'[10]10yr Lagged Norms'!I229</f>
        <v>20.100000000000001</v>
      </c>
      <c r="P279" s="707">
        <f t="shared" si="31"/>
        <v>20</v>
      </c>
    </row>
    <row r="280" spans="2:16" x14ac:dyDescent="0.2">
      <c r="B280" s="708">
        <f t="shared" si="33"/>
        <v>42071</v>
      </c>
      <c r="C280" s="634">
        <f>'[10]Lagged.Calendar HDDs'!E215</f>
        <v>25</v>
      </c>
      <c r="D280" s="634">
        <f>'[10]Lagged.Calendar HDDs'!F215</f>
        <v>17</v>
      </c>
      <c r="E280" s="634">
        <f>'[10]Lagged.Calendar HDDs'!G215</f>
        <v>24</v>
      </c>
      <c r="F280" s="634">
        <f>'[10]Lagged.Calendar HDDs'!H215</f>
        <v>21</v>
      </c>
      <c r="G280" s="634">
        <f>'[10]Lagged.Calendar HDDs'!I215</f>
        <v>27</v>
      </c>
      <c r="H280" s="706">
        <f t="shared" si="30"/>
        <v>24</v>
      </c>
      <c r="J280" s="699">
        <f t="shared" si="32"/>
        <v>42071</v>
      </c>
      <c r="K280" s="630">
        <f>'[10]10yr Lagged Norms'!E230</f>
        <v>19.7</v>
      </c>
      <c r="L280" s="630">
        <f>'[10]10yr Lagged Norms'!F230</f>
        <v>14.4</v>
      </c>
      <c r="M280" s="630">
        <f>'[10]10yr Lagged Norms'!G230</f>
        <v>20.5</v>
      </c>
      <c r="N280" s="630">
        <f>'[10]10yr Lagged Norms'!H230</f>
        <v>17.899999999999999</v>
      </c>
      <c r="O280" s="630">
        <f>'[10]10yr Lagged Norms'!I230</f>
        <v>18.100000000000001</v>
      </c>
      <c r="P280" s="707">
        <f t="shared" si="31"/>
        <v>18</v>
      </c>
    </row>
    <row r="281" spans="2:16" x14ac:dyDescent="0.2">
      <c r="B281" s="708">
        <f t="shared" si="33"/>
        <v>42072</v>
      </c>
      <c r="C281" s="634">
        <f>'[10]Lagged.Calendar HDDs'!E216</f>
        <v>22</v>
      </c>
      <c r="D281" s="634">
        <f>'[10]Lagged.Calendar HDDs'!F216</f>
        <v>13</v>
      </c>
      <c r="E281" s="634">
        <f>'[10]Lagged.Calendar HDDs'!G216</f>
        <v>18</v>
      </c>
      <c r="F281" s="634">
        <f>'[10]Lagged.Calendar HDDs'!H216</f>
        <v>17</v>
      </c>
      <c r="G281" s="634">
        <f>'[10]Lagged.Calendar HDDs'!I216</f>
        <v>19</v>
      </c>
      <c r="H281" s="706">
        <f t="shared" si="30"/>
        <v>18</v>
      </c>
      <c r="J281" s="699">
        <f t="shared" si="32"/>
        <v>42072</v>
      </c>
      <c r="K281" s="630">
        <f>'[10]10yr Lagged Norms'!E231</f>
        <v>18.7</v>
      </c>
      <c r="L281" s="630">
        <f>'[10]10yr Lagged Norms'!F231</f>
        <v>12.1</v>
      </c>
      <c r="M281" s="630">
        <f>'[10]10yr Lagged Norms'!G231</f>
        <v>18</v>
      </c>
      <c r="N281" s="630">
        <f>'[10]10yr Lagged Norms'!H231</f>
        <v>16.7</v>
      </c>
      <c r="O281" s="630">
        <f>'[10]10yr Lagged Norms'!I231</f>
        <v>15</v>
      </c>
      <c r="P281" s="707">
        <f t="shared" si="31"/>
        <v>16</v>
      </c>
    </row>
    <row r="282" spans="2:16" x14ac:dyDescent="0.2">
      <c r="B282" s="708">
        <f t="shared" si="33"/>
        <v>42073</v>
      </c>
      <c r="C282" s="634">
        <f>'[10]Lagged.Calendar HDDs'!E217</f>
        <v>15</v>
      </c>
      <c r="D282" s="634">
        <f>'[10]Lagged.Calendar HDDs'!F217</f>
        <v>5</v>
      </c>
      <c r="E282" s="634">
        <f>'[10]Lagged.Calendar HDDs'!G217</f>
        <v>12</v>
      </c>
      <c r="F282" s="634">
        <f>'[10]Lagged.Calendar HDDs'!H217</f>
        <v>14</v>
      </c>
      <c r="G282" s="634">
        <f>'[10]Lagged.Calendar HDDs'!I217</f>
        <v>13</v>
      </c>
      <c r="H282" s="706">
        <f t="shared" si="30"/>
        <v>12</v>
      </c>
      <c r="J282" s="699">
        <f t="shared" si="32"/>
        <v>42073</v>
      </c>
      <c r="K282" s="630">
        <f>'[10]10yr Lagged Norms'!E232</f>
        <v>13</v>
      </c>
      <c r="L282" s="630">
        <f>'[10]10yr Lagged Norms'!F232</f>
        <v>8.3000000000000007</v>
      </c>
      <c r="M282" s="630">
        <f>'[10]10yr Lagged Norms'!G232</f>
        <v>13.6</v>
      </c>
      <c r="N282" s="630">
        <f>'[10]10yr Lagged Norms'!H232</f>
        <v>11.6</v>
      </c>
      <c r="O282" s="630">
        <f>'[10]10yr Lagged Norms'!I232</f>
        <v>11.8</v>
      </c>
      <c r="P282" s="707">
        <f t="shared" si="31"/>
        <v>12</v>
      </c>
    </row>
    <row r="283" spans="2:16" x14ac:dyDescent="0.2">
      <c r="B283" s="708">
        <f t="shared" si="33"/>
        <v>42074</v>
      </c>
      <c r="C283" s="634">
        <f>'[10]Lagged.Calendar HDDs'!E218</f>
        <v>12</v>
      </c>
      <c r="D283" s="634">
        <f>'[10]Lagged.Calendar HDDs'!F218</f>
        <v>13</v>
      </c>
      <c r="E283" s="634">
        <f>'[10]Lagged.Calendar HDDs'!G218</f>
        <v>10</v>
      </c>
      <c r="F283" s="634">
        <f>'[10]Lagged.Calendar HDDs'!H218</f>
        <v>7</v>
      </c>
      <c r="G283" s="634">
        <f>'[10]Lagged.Calendar HDDs'!I218</f>
        <v>11</v>
      </c>
      <c r="H283" s="706">
        <f t="shared" si="30"/>
        <v>11</v>
      </c>
      <c r="J283" s="699">
        <f t="shared" si="32"/>
        <v>42074</v>
      </c>
      <c r="K283" s="630">
        <f>'[10]10yr Lagged Norms'!E233</f>
        <v>15.7</v>
      </c>
      <c r="L283" s="630">
        <f>'[10]10yr Lagged Norms'!F233</f>
        <v>10.4</v>
      </c>
      <c r="M283" s="630">
        <f>'[10]10yr Lagged Norms'!G233</f>
        <v>14.8</v>
      </c>
      <c r="N283" s="630">
        <f>'[10]10yr Lagged Norms'!H233</f>
        <v>12.9</v>
      </c>
      <c r="O283" s="630">
        <f>'[10]10yr Lagged Norms'!I233</f>
        <v>13.5</v>
      </c>
      <c r="P283" s="707">
        <f t="shared" si="31"/>
        <v>13</v>
      </c>
    </row>
    <row r="284" spans="2:16" x14ac:dyDescent="0.2">
      <c r="B284" s="708">
        <f t="shared" si="33"/>
        <v>42075</v>
      </c>
      <c r="C284" s="634">
        <f>'[10]Lagged.Calendar HDDs'!E219</f>
        <v>11</v>
      </c>
      <c r="D284" s="634">
        <f>'[10]Lagged.Calendar HDDs'!F219</f>
        <v>9</v>
      </c>
      <c r="E284" s="634">
        <f>'[10]Lagged.Calendar HDDs'!G219</f>
        <v>13</v>
      </c>
      <c r="F284" s="634">
        <f>'[10]Lagged.Calendar HDDs'!H219</f>
        <v>11</v>
      </c>
      <c r="G284" s="634">
        <f>'[10]Lagged.Calendar HDDs'!I219</f>
        <v>12</v>
      </c>
      <c r="H284" s="706">
        <f t="shared" si="30"/>
        <v>11</v>
      </c>
      <c r="J284" s="699">
        <f t="shared" si="32"/>
        <v>42075</v>
      </c>
      <c r="K284" s="630">
        <f>'[10]10yr Lagged Norms'!E234</f>
        <v>13.9</v>
      </c>
      <c r="L284" s="630">
        <f>'[10]10yr Lagged Norms'!F234</f>
        <v>11</v>
      </c>
      <c r="M284" s="630">
        <f>'[10]10yr Lagged Norms'!G234</f>
        <v>15.3</v>
      </c>
      <c r="N284" s="630">
        <f>'[10]10yr Lagged Norms'!H234</f>
        <v>13</v>
      </c>
      <c r="O284" s="630">
        <f>'[10]10yr Lagged Norms'!I234</f>
        <v>12.9</v>
      </c>
      <c r="P284" s="707">
        <f t="shared" si="31"/>
        <v>13</v>
      </c>
    </row>
    <row r="285" spans="2:16" x14ac:dyDescent="0.2">
      <c r="B285" s="708">
        <f t="shared" si="33"/>
        <v>42076</v>
      </c>
      <c r="C285" s="634">
        <f>'[10]Lagged.Calendar HDDs'!E220</f>
        <v>11</v>
      </c>
      <c r="D285" s="634">
        <f>'[10]Lagged.Calendar HDDs'!F220</f>
        <v>8</v>
      </c>
      <c r="E285" s="634">
        <f>'[10]Lagged.Calendar HDDs'!G220</f>
        <v>12</v>
      </c>
      <c r="F285" s="634">
        <f>'[10]Lagged.Calendar HDDs'!H220</f>
        <v>9</v>
      </c>
      <c r="G285" s="634">
        <f>'[10]Lagged.Calendar HDDs'!I220</f>
        <v>8</v>
      </c>
      <c r="H285" s="706">
        <f t="shared" si="30"/>
        <v>9</v>
      </c>
      <c r="J285" s="699">
        <f t="shared" si="32"/>
        <v>42076</v>
      </c>
      <c r="K285" s="630">
        <f>'[10]10yr Lagged Norms'!E235</f>
        <v>15.6</v>
      </c>
      <c r="L285" s="630">
        <f>'[10]10yr Lagged Norms'!F235</f>
        <v>12.4</v>
      </c>
      <c r="M285" s="630">
        <f>'[10]10yr Lagged Norms'!G235</f>
        <v>16.100000000000001</v>
      </c>
      <c r="N285" s="630">
        <f>'[10]10yr Lagged Norms'!H235</f>
        <v>14.4</v>
      </c>
      <c r="O285" s="630">
        <f>'[10]10yr Lagged Norms'!I235</f>
        <v>13.3</v>
      </c>
      <c r="P285" s="707">
        <f t="shared" si="31"/>
        <v>14</v>
      </c>
    </row>
    <row r="286" spans="2:16" x14ac:dyDescent="0.2">
      <c r="B286" s="708">
        <f t="shared" si="33"/>
        <v>42077</v>
      </c>
      <c r="C286" s="634">
        <f>'[10]Lagged.Calendar HDDs'!E221</f>
        <v>10</v>
      </c>
      <c r="D286" s="634">
        <f>'[10]Lagged.Calendar HDDs'!F221</f>
        <v>8</v>
      </c>
      <c r="E286" s="634">
        <f>'[10]Lagged.Calendar HDDs'!G221</f>
        <v>11</v>
      </c>
      <c r="F286" s="634">
        <f>'[10]Lagged.Calendar HDDs'!H221</f>
        <v>7</v>
      </c>
      <c r="G286" s="634">
        <f>'[10]Lagged.Calendar HDDs'!I221</f>
        <v>11</v>
      </c>
      <c r="H286" s="706">
        <f t="shared" si="30"/>
        <v>10</v>
      </c>
      <c r="J286" s="699">
        <f t="shared" si="32"/>
        <v>42077</v>
      </c>
      <c r="K286" s="630">
        <f>'[10]10yr Lagged Norms'!E236</f>
        <v>15.7</v>
      </c>
      <c r="L286" s="630">
        <f>'[10]10yr Lagged Norms'!F236</f>
        <v>12.8</v>
      </c>
      <c r="M286" s="630">
        <f>'[10]10yr Lagged Norms'!G236</f>
        <v>17.399999999999999</v>
      </c>
      <c r="N286" s="630">
        <f>'[10]10yr Lagged Norms'!H236</f>
        <v>15.6</v>
      </c>
      <c r="O286" s="630">
        <f>'[10]10yr Lagged Norms'!I236</f>
        <v>14.4</v>
      </c>
      <c r="P286" s="707">
        <f t="shared" si="31"/>
        <v>15</v>
      </c>
    </row>
    <row r="287" spans="2:16" x14ac:dyDescent="0.2">
      <c r="B287" s="708">
        <f t="shared" si="33"/>
        <v>42078</v>
      </c>
      <c r="C287" s="634">
        <f>'[10]Lagged.Calendar HDDs'!E222</f>
        <v>14</v>
      </c>
      <c r="D287" s="634">
        <f>'[10]Lagged.Calendar HDDs'!F222</f>
        <v>7</v>
      </c>
      <c r="E287" s="634">
        <f>'[10]Lagged.Calendar HDDs'!G222</f>
        <v>12</v>
      </c>
      <c r="F287" s="634">
        <f>'[10]Lagged.Calendar HDDs'!H222</f>
        <v>10</v>
      </c>
      <c r="G287" s="634">
        <f>'[10]Lagged.Calendar HDDs'!I222</f>
        <v>11</v>
      </c>
      <c r="H287" s="706">
        <f t="shared" si="30"/>
        <v>11</v>
      </c>
      <c r="J287" s="699">
        <f t="shared" si="32"/>
        <v>42078</v>
      </c>
      <c r="K287" s="630">
        <f>'[10]10yr Lagged Norms'!E237</f>
        <v>15.6</v>
      </c>
      <c r="L287" s="630">
        <f>'[10]10yr Lagged Norms'!F237</f>
        <v>10.6</v>
      </c>
      <c r="M287" s="630">
        <f>'[10]10yr Lagged Norms'!G237</f>
        <v>16.399999999999999</v>
      </c>
      <c r="N287" s="630">
        <f>'[10]10yr Lagged Norms'!H237</f>
        <v>14</v>
      </c>
      <c r="O287" s="630">
        <f>'[10]10yr Lagged Norms'!I237</f>
        <v>13.5</v>
      </c>
      <c r="P287" s="707">
        <f t="shared" si="31"/>
        <v>14</v>
      </c>
    </row>
    <row r="288" spans="2:16" x14ac:dyDescent="0.2">
      <c r="B288" s="708">
        <f t="shared" si="33"/>
        <v>42079</v>
      </c>
      <c r="C288" s="634">
        <f>'[10]Lagged.Calendar HDDs'!E223</f>
        <v>5</v>
      </c>
      <c r="D288" s="634">
        <f>'[10]Lagged.Calendar HDDs'!F223</f>
        <v>6</v>
      </c>
      <c r="E288" s="634">
        <f>'[10]Lagged.Calendar HDDs'!G223</f>
        <v>5</v>
      </c>
      <c r="F288" s="634">
        <f>'[10]Lagged.Calendar HDDs'!H223</f>
        <v>0</v>
      </c>
      <c r="G288" s="634">
        <f>'[10]Lagged.Calendar HDDs'!I223</f>
        <v>9</v>
      </c>
      <c r="H288" s="706">
        <f t="shared" si="30"/>
        <v>6</v>
      </c>
      <c r="J288" s="699">
        <f t="shared" si="32"/>
        <v>42079</v>
      </c>
      <c r="K288" s="630">
        <f>'[10]10yr Lagged Norms'!E238</f>
        <v>13.5</v>
      </c>
      <c r="L288" s="630">
        <f>'[10]10yr Lagged Norms'!F238</f>
        <v>10.9</v>
      </c>
      <c r="M288" s="630">
        <f>'[10]10yr Lagged Norms'!G238</f>
        <v>15.7</v>
      </c>
      <c r="N288" s="630">
        <f>'[10]10yr Lagged Norms'!H238</f>
        <v>11.8</v>
      </c>
      <c r="O288" s="630">
        <f>'[10]10yr Lagged Norms'!I238</f>
        <v>12.1</v>
      </c>
      <c r="P288" s="707">
        <f t="shared" si="31"/>
        <v>13</v>
      </c>
    </row>
    <row r="289" spans="2:16" x14ac:dyDescent="0.2">
      <c r="B289" s="708">
        <f t="shared" si="33"/>
        <v>42080</v>
      </c>
      <c r="C289" s="634">
        <f>'[10]Lagged.Calendar HDDs'!E224</f>
        <v>15</v>
      </c>
      <c r="D289" s="634">
        <f>'[10]Lagged.Calendar HDDs'!F224</f>
        <v>4</v>
      </c>
      <c r="E289" s="634">
        <f>'[10]Lagged.Calendar HDDs'!G224</f>
        <v>15</v>
      </c>
      <c r="F289" s="634">
        <f>'[10]Lagged.Calendar HDDs'!H224</f>
        <v>13</v>
      </c>
      <c r="G289" s="634">
        <f>'[10]Lagged.Calendar HDDs'!I224</f>
        <v>12</v>
      </c>
      <c r="H289" s="706">
        <f t="shared" si="30"/>
        <v>11</v>
      </c>
      <c r="J289" s="699">
        <f t="shared" si="32"/>
        <v>42080</v>
      </c>
      <c r="K289" s="630">
        <f>'[10]10yr Lagged Norms'!E239</f>
        <v>16.5</v>
      </c>
      <c r="L289" s="630">
        <f>'[10]10yr Lagged Norms'!F239</f>
        <v>12.4</v>
      </c>
      <c r="M289" s="630">
        <f>'[10]10yr Lagged Norms'!G239</f>
        <v>17.7</v>
      </c>
      <c r="N289" s="630">
        <f>'[10]10yr Lagged Norms'!H239</f>
        <v>14.9</v>
      </c>
      <c r="O289" s="630">
        <f>'[10]10yr Lagged Norms'!I239</f>
        <v>14.5</v>
      </c>
      <c r="P289" s="707">
        <f t="shared" si="31"/>
        <v>15</v>
      </c>
    </row>
    <row r="290" spans="2:16" x14ac:dyDescent="0.2">
      <c r="B290" s="708">
        <f t="shared" si="33"/>
        <v>42081</v>
      </c>
      <c r="C290" s="634">
        <f>'[10]Lagged.Calendar HDDs'!E225</f>
        <v>22</v>
      </c>
      <c r="D290" s="634">
        <f>'[10]Lagged.Calendar HDDs'!F225</f>
        <v>17</v>
      </c>
      <c r="E290" s="634">
        <f>'[10]Lagged.Calendar HDDs'!G225</f>
        <v>28</v>
      </c>
      <c r="F290" s="634">
        <f>'[10]Lagged.Calendar HDDs'!H225</f>
        <v>24</v>
      </c>
      <c r="G290" s="634">
        <f>'[10]Lagged.Calendar HDDs'!I225</f>
        <v>20</v>
      </c>
      <c r="H290" s="706">
        <f t="shared" si="30"/>
        <v>21</v>
      </c>
      <c r="J290" s="699">
        <f t="shared" si="32"/>
        <v>42081</v>
      </c>
      <c r="K290" s="630">
        <f>'[10]10yr Lagged Norms'!E240</f>
        <v>15.5</v>
      </c>
      <c r="L290" s="630">
        <f>'[10]10yr Lagged Norms'!F240</f>
        <v>10.7</v>
      </c>
      <c r="M290" s="630">
        <f>'[10]10yr Lagged Norms'!G240</f>
        <v>15.5</v>
      </c>
      <c r="N290" s="630">
        <f>'[10]10yr Lagged Norms'!H240</f>
        <v>13.9</v>
      </c>
      <c r="O290" s="630">
        <f>'[10]10yr Lagged Norms'!I240</f>
        <v>13</v>
      </c>
      <c r="P290" s="707">
        <f t="shared" si="31"/>
        <v>13</v>
      </c>
    </row>
    <row r="291" spans="2:16" x14ac:dyDescent="0.2">
      <c r="B291" s="708">
        <f t="shared" si="33"/>
        <v>42082</v>
      </c>
      <c r="C291" s="634">
        <f>'[10]Lagged.Calendar HDDs'!E226</f>
        <v>20</v>
      </c>
      <c r="D291" s="634">
        <f>'[10]Lagged.Calendar HDDs'!F226</f>
        <v>17</v>
      </c>
      <c r="E291" s="634">
        <f>'[10]Lagged.Calendar HDDs'!G226</f>
        <v>22</v>
      </c>
      <c r="F291" s="634">
        <f>'[10]Lagged.Calendar HDDs'!H226</f>
        <v>19</v>
      </c>
      <c r="G291" s="634">
        <f>'[10]Lagged.Calendar HDDs'!I226</f>
        <v>20</v>
      </c>
      <c r="H291" s="706">
        <f t="shared" si="30"/>
        <v>20</v>
      </c>
      <c r="J291" s="699">
        <f t="shared" si="32"/>
        <v>42082</v>
      </c>
      <c r="K291" s="630">
        <f>'[10]10yr Lagged Norms'!E241</f>
        <v>16</v>
      </c>
      <c r="L291" s="630">
        <f>'[10]10yr Lagged Norms'!F241</f>
        <v>11.5</v>
      </c>
      <c r="M291" s="630">
        <f>'[10]10yr Lagged Norms'!G241</f>
        <v>16.600000000000001</v>
      </c>
      <c r="N291" s="630">
        <f>'[10]10yr Lagged Norms'!H241</f>
        <v>15.3</v>
      </c>
      <c r="O291" s="630">
        <f>'[10]10yr Lagged Norms'!I241</f>
        <v>14.7</v>
      </c>
      <c r="P291" s="707">
        <f t="shared" si="31"/>
        <v>15</v>
      </c>
    </row>
    <row r="292" spans="2:16" x14ac:dyDescent="0.2">
      <c r="B292" s="708">
        <f t="shared" si="33"/>
        <v>42083</v>
      </c>
      <c r="C292" s="634">
        <f>'[10]Lagged.Calendar HDDs'!E227</f>
        <v>18</v>
      </c>
      <c r="D292" s="634">
        <f>'[10]Lagged.Calendar HDDs'!F227</f>
        <v>12</v>
      </c>
      <c r="E292" s="634">
        <f>'[10]Lagged.Calendar HDDs'!G227</f>
        <v>19</v>
      </c>
      <c r="F292" s="634">
        <f>'[10]Lagged.Calendar HDDs'!H227</f>
        <v>17</v>
      </c>
      <c r="G292" s="634">
        <f>'[10]Lagged.Calendar HDDs'!I227</f>
        <v>20</v>
      </c>
      <c r="H292" s="706">
        <f t="shared" si="30"/>
        <v>17</v>
      </c>
      <c r="J292" s="699">
        <f t="shared" si="32"/>
        <v>42083</v>
      </c>
      <c r="K292" s="630">
        <f>'[10]10yr Lagged Norms'!E242</f>
        <v>16.2</v>
      </c>
      <c r="L292" s="630">
        <f>'[10]10yr Lagged Norms'!F242</f>
        <v>12.1</v>
      </c>
      <c r="M292" s="630">
        <f>'[10]10yr Lagged Norms'!G242</f>
        <v>16.899999999999999</v>
      </c>
      <c r="N292" s="630">
        <f>'[10]10yr Lagged Norms'!H242</f>
        <v>14.6</v>
      </c>
      <c r="O292" s="630">
        <f>'[10]10yr Lagged Norms'!I242</f>
        <v>14.1</v>
      </c>
      <c r="P292" s="707">
        <f t="shared" si="31"/>
        <v>15</v>
      </c>
    </row>
    <row r="293" spans="2:16" x14ac:dyDescent="0.2">
      <c r="B293" s="708">
        <f t="shared" si="33"/>
        <v>42084</v>
      </c>
      <c r="C293" s="634">
        <f>'[10]Lagged.Calendar HDDs'!E228</f>
        <v>10</v>
      </c>
      <c r="D293" s="634">
        <f>'[10]Lagged.Calendar HDDs'!F228</f>
        <v>11</v>
      </c>
      <c r="E293" s="634">
        <f>'[10]Lagged.Calendar HDDs'!G228</f>
        <v>13</v>
      </c>
      <c r="F293" s="634">
        <f>'[10]Lagged.Calendar HDDs'!H228</f>
        <v>9</v>
      </c>
      <c r="G293" s="634">
        <f>'[10]Lagged.Calendar HDDs'!I228</f>
        <v>13</v>
      </c>
      <c r="H293" s="706">
        <f t="shared" si="30"/>
        <v>12</v>
      </c>
      <c r="J293" s="699">
        <f t="shared" si="32"/>
        <v>42084</v>
      </c>
      <c r="K293" s="630">
        <f>'[10]10yr Lagged Norms'!E243</f>
        <v>12.5</v>
      </c>
      <c r="L293" s="630">
        <f>'[10]10yr Lagged Norms'!F243</f>
        <v>12.7</v>
      </c>
      <c r="M293" s="630">
        <f>'[10]10yr Lagged Norms'!G243</f>
        <v>13.9</v>
      </c>
      <c r="N293" s="630">
        <f>'[10]10yr Lagged Norms'!H243</f>
        <v>11.9</v>
      </c>
      <c r="O293" s="630">
        <f>'[10]10yr Lagged Norms'!I243</f>
        <v>12.7</v>
      </c>
      <c r="P293" s="707">
        <f t="shared" si="31"/>
        <v>13</v>
      </c>
    </row>
    <row r="294" spans="2:16" x14ac:dyDescent="0.2">
      <c r="B294" s="708">
        <f t="shared" si="33"/>
        <v>42085</v>
      </c>
      <c r="C294" s="634">
        <f>'[10]Lagged.Calendar HDDs'!E229</f>
        <v>11</v>
      </c>
      <c r="D294" s="634">
        <f>'[10]Lagged.Calendar HDDs'!F229</f>
        <v>9</v>
      </c>
      <c r="E294" s="634">
        <f>'[10]Lagged.Calendar HDDs'!G229</f>
        <v>16</v>
      </c>
      <c r="F294" s="634">
        <f>'[10]Lagged.Calendar HDDs'!H229</f>
        <v>12</v>
      </c>
      <c r="G294" s="634">
        <f>'[10]Lagged.Calendar HDDs'!I229</f>
        <v>11</v>
      </c>
      <c r="H294" s="706">
        <f t="shared" si="30"/>
        <v>11</v>
      </c>
      <c r="J294" s="699">
        <f t="shared" si="32"/>
        <v>42085</v>
      </c>
      <c r="K294" s="630">
        <f>'[10]10yr Lagged Norms'!E244</f>
        <v>15</v>
      </c>
      <c r="L294" s="630">
        <f>'[10]10yr Lagged Norms'!F244</f>
        <v>11.8</v>
      </c>
      <c r="M294" s="630">
        <f>'[10]10yr Lagged Norms'!G244</f>
        <v>15.8</v>
      </c>
      <c r="N294" s="630">
        <f>'[10]10yr Lagged Norms'!H244</f>
        <v>13.5</v>
      </c>
      <c r="O294" s="630">
        <f>'[10]10yr Lagged Norms'!I244</f>
        <v>12.8</v>
      </c>
      <c r="P294" s="707">
        <f t="shared" si="31"/>
        <v>14</v>
      </c>
    </row>
    <row r="295" spans="2:16" x14ac:dyDescent="0.2">
      <c r="B295" s="708">
        <f t="shared" si="33"/>
        <v>42086</v>
      </c>
      <c r="C295" s="634">
        <f>'[10]Lagged.Calendar HDDs'!E230</f>
        <v>13</v>
      </c>
      <c r="D295" s="634">
        <f>'[10]Lagged.Calendar HDDs'!F230</f>
        <v>6</v>
      </c>
      <c r="E295" s="634">
        <f>'[10]Lagged.Calendar HDDs'!G230</f>
        <v>20</v>
      </c>
      <c r="F295" s="634">
        <f>'[10]Lagged.Calendar HDDs'!H230</f>
        <v>15</v>
      </c>
      <c r="G295" s="634">
        <f>'[10]Lagged.Calendar HDDs'!I230</f>
        <v>11</v>
      </c>
      <c r="H295" s="706">
        <f t="shared" si="30"/>
        <v>12</v>
      </c>
      <c r="J295" s="699">
        <f t="shared" si="32"/>
        <v>42086</v>
      </c>
      <c r="K295" s="630">
        <f>'[10]10yr Lagged Norms'!E245</f>
        <v>14.3</v>
      </c>
      <c r="L295" s="630">
        <f>'[10]10yr Lagged Norms'!F245</f>
        <v>10.3</v>
      </c>
      <c r="M295" s="630">
        <f>'[10]10yr Lagged Norms'!G245</f>
        <v>15.3</v>
      </c>
      <c r="N295" s="630">
        <f>'[10]10yr Lagged Norms'!H245</f>
        <v>12.9</v>
      </c>
      <c r="O295" s="630">
        <f>'[10]10yr Lagged Norms'!I245</f>
        <v>13.1</v>
      </c>
      <c r="P295" s="707">
        <f t="shared" si="31"/>
        <v>13</v>
      </c>
    </row>
    <row r="296" spans="2:16" x14ac:dyDescent="0.2">
      <c r="B296" s="708">
        <f t="shared" si="33"/>
        <v>42087</v>
      </c>
      <c r="C296" s="634">
        <f>'[10]Lagged.Calendar HDDs'!E231</f>
        <v>20</v>
      </c>
      <c r="D296" s="634">
        <f>'[10]Lagged.Calendar HDDs'!F231</f>
        <v>3</v>
      </c>
      <c r="E296" s="634">
        <f>'[10]Lagged.Calendar HDDs'!G231</f>
        <v>25</v>
      </c>
      <c r="F296" s="634">
        <f>'[10]Lagged.Calendar HDDs'!H231</f>
        <v>22</v>
      </c>
      <c r="G296" s="634">
        <f>'[10]Lagged.Calendar HDDs'!I231</f>
        <v>11</v>
      </c>
      <c r="H296" s="706">
        <f t="shared" si="30"/>
        <v>14</v>
      </c>
      <c r="J296" s="699">
        <f t="shared" si="32"/>
        <v>42087</v>
      </c>
      <c r="K296" s="630">
        <f>'[10]10yr Lagged Norms'!E246</f>
        <v>17.2</v>
      </c>
      <c r="L296" s="630">
        <f>'[10]10yr Lagged Norms'!F246</f>
        <v>13.7</v>
      </c>
      <c r="M296" s="630">
        <f>'[10]10yr Lagged Norms'!G246</f>
        <v>18.600000000000001</v>
      </c>
      <c r="N296" s="630">
        <f>'[10]10yr Lagged Norms'!H246</f>
        <v>16.3</v>
      </c>
      <c r="O296" s="630">
        <f>'[10]10yr Lagged Norms'!I246</f>
        <v>15.3</v>
      </c>
      <c r="P296" s="707">
        <f t="shared" si="31"/>
        <v>16</v>
      </c>
    </row>
    <row r="297" spans="2:16" x14ac:dyDescent="0.2">
      <c r="B297" s="708">
        <f t="shared" si="33"/>
        <v>42088</v>
      </c>
      <c r="C297" s="634">
        <f>'[10]Lagged.Calendar HDDs'!E232</f>
        <v>6</v>
      </c>
      <c r="D297" s="634">
        <f>'[10]Lagged.Calendar HDDs'!F232</f>
        <v>0</v>
      </c>
      <c r="E297" s="634">
        <f>'[10]Lagged.Calendar HDDs'!G232</f>
        <v>4</v>
      </c>
      <c r="F297" s="634">
        <f>'[10]Lagged.Calendar HDDs'!H232</f>
        <v>3</v>
      </c>
      <c r="G297" s="634">
        <f>'[10]Lagged.Calendar HDDs'!I232</f>
        <v>0</v>
      </c>
      <c r="H297" s="706">
        <f t="shared" si="30"/>
        <v>2</v>
      </c>
      <c r="J297" s="699">
        <f t="shared" si="32"/>
        <v>42088</v>
      </c>
      <c r="K297" s="630">
        <f>'[10]10yr Lagged Norms'!E247</f>
        <v>16.399999999999999</v>
      </c>
      <c r="L297" s="630">
        <f>'[10]10yr Lagged Norms'!F247</f>
        <v>15.4</v>
      </c>
      <c r="M297" s="630">
        <f>'[10]10yr Lagged Norms'!G247</f>
        <v>17.399999999999999</v>
      </c>
      <c r="N297" s="630">
        <f>'[10]10yr Lagged Norms'!H247</f>
        <v>15.4</v>
      </c>
      <c r="O297" s="630">
        <f>'[10]10yr Lagged Norms'!I247</f>
        <v>15.6</v>
      </c>
      <c r="P297" s="707">
        <f t="shared" si="31"/>
        <v>16</v>
      </c>
    </row>
    <row r="298" spans="2:16" x14ac:dyDescent="0.2">
      <c r="B298" s="708">
        <f t="shared" si="33"/>
        <v>42089</v>
      </c>
      <c r="C298" s="634">
        <f>'[10]Lagged.Calendar HDDs'!E233</f>
        <v>21</v>
      </c>
      <c r="D298" s="634">
        <f>'[10]Lagged.Calendar HDDs'!F233</f>
        <v>11</v>
      </c>
      <c r="E298" s="634">
        <f>'[10]Lagged.Calendar HDDs'!G233</f>
        <v>15</v>
      </c>
      <c r="F298" s="634">
        <f>'[10]Lagged.Calendar HDDs'!H233</f>
        <v>15</v>
      </c>
      <c r="G298" s="634">
        <f>'[10]Lagged.Calendar HDDs'!I233</f>
        <v>22</v>
      </c>
      <c r="H298" s="706">
        <f t="shared" si="30"/>
        <v>18</v>
      </c>
      <c r="J298" s="699">
        <f t="shared" si="32"/>
        <v>42089</v>
      </c>
      <c r="K298" s="630">
        <f>'[10]10yr Lagged Norms'!E248</f>
        <v>17.600000000000001</v>
      </c>
      <c r="L298" s="630">
        <f>'[10]10yr Lagged Norms'!F248</f>
        <v>13.9</v>
      </c>
      <c r="M298" s="630">
        <f>'[10]10yr Lagged Norms'!G248</f>
        <v>19.5</v>
      </c>
      <c r="N298" s="630">
        <f>'[10]10yr Lagged Norms'!H248</f>
        <v>17</v>
      </c>
      <c r="O298" s="630">
        <f>'[10]10yr Lagged Norms'!I248</f>
        <v>17</v>
      </c>
      <c r="P298" s="707">
        <f t="shared" si="31"/>
        <v>17</v>
      </c>
    </row>
    <row r="299" spans="2:16" x14ac:dyDescent="0.2">
      <c r="B299" s="708">
        <f t="shared" si="33"/>
        <v>42090</v>
      </c>
      <c r="C299" s="634">
        <f>'[10]Lagged.Calendar HDDs'!E234</f>
        <v>28</v>
      </c>
      <c r="D299" s="634">
        <f>'[10]Lagged.Calendar HDDs'!F234</f>
        <v>23</v>
      </c>
      <c r="E299" s="634">
        <f>'[10]Lagged.Calendar HDDs'!G234</f>
        <v>31</v>
      </c>
      <c r="F299" s="634">
        <f>'[10]Lagged.Calendar HDDs'!H234</f>
        <v>29</v>
      </c>
      <c r="G299" s="634">
        <f>'[10]Lagged.Calendar HDDs'!I234</f>
        <v>29</v>
      </c>
      <c r="H299" s="706">
        <f t="shared" si="30"/>
        <v>28</v>
      </c>
      <c r="J299" s="699">
        <f t="shared" si="32"/>
        <v>42090</v>
      </c>
      <c r="K299" s="630">
        <f>'[10]10yr Lagged Norms'!E249</f>
        <v>15.7</v>
      </c>
      <c r="L299" s="630">
        <f>'[10]10yr Lagged Norms'!F249</f>
        <v>12.3</v>
      </c>
      <c r="M299" s="630">
        <f>'[10]10yr Lagged Norms'!G249</f>
        <v>18.2</v>
      </c>
      <c r="N299" s="630">
        <f>'[10]10yr Lagged Norms'!H249</f>
        <v>15.9</v>
      </c>
      <c r="O299" s="630">
        <f>'[10]10yr Lagged Norms'!I249</f>
        <v>13.1</v>
      </c>
      <c r="P299" s="707">
        <f t="shared" si="31"/>
        <v>14</v>
      </c>
    </row>
    <row r="300" spans="2:16" x14ac:dyDescent="0.2">
      <c r="B300" s="708">
        <f t="shared" si="33"/>
        <v>42091</v>
      </c>
      <c r="C300" s="634">
        <f>'[10]Lagged.Calendar HDDs'!E235</f>
        <v>30</v>
      </c>
      <c r="D300" s="634">
        <f>'[10]Lagged.Calendar HDDs'!F235</f>
        <v>27</v>
      </c>
      <c r="E300" s="634">
        <f>'[10]Lagged.Calendar HDDs'!G235</f>
        <v>35</v>
      </c>
      <c r="F300" s="634">
        <f>'[10]Lagged.Calendar HDDs'!H235</f>
        <v>32</v>
      </c>
      <c r="G300" s="634">
        <f>'[10]Lagged.Calendar HDDs'!I235</f>
        <v>29</v>
      </c>
      <c r="H300" s="706">
        <f t="shared" si="30"/>
        <v>30</v>
      </c>
      <c r="J300" s="699">
        <f t="shared" si="32"/>
        <v>42091</v>
      </c>
      <c r="K300" s="630">
        <f>'[10]10yr Lagged Norms'!E250</f>
        <v>15.2</v>
      </c>
      <c r="L300" s="630">
        <f>'[10]10yr Lagged Norms'!F250</f>
        <v>9.6999999999999993</v>
      </c>
      <c r="M300" s="630">
        <f>'[10]10yr Lagged Norms'!G250</f>
        <v>14.7</v>
      </c>
      <c r="N300" s="630">
        <f>'[10]10yr Lagged Norms'!H250</f>
        <v>12.9</v>
      </c>
      <c r="O300" s="630">
        <f>'[10]10yr Lagged Norms'!I250</f>
        <v>11.9</v>
      </c>
      <c r="P300" s="707">
        <f t="shared" si="31"/>
        <v>13</v>
      </c>
    </row>
    <row r="301" spans="2:16" x14ac:dyDescent="0.2">
      <c r="B301" s="708">
        <f t="shared" si="33"/>
        <v>42092</v>
      </c>
      <c r="C301" s="634">
        <f>'[10]Lagged.Calendar HDDs'!E236</f>
        <v>20</v>
      </c>
      <c r="D301" s="634">
        <f>'[10]Lagged.Calendar HDDs'!F236</f>
        <v>21</v>
      </c>
      <c r="E301" s="634">
        <f>'[10]Lagged.Calendar HDDs'!G236</f>
        <v>25</v>
      </c>
      <c r="F301" s="634">
        <f>'[10]Lagged.Calendar HDDs'!H236</f>
        <v>22</v>
      </c>
      <c r="G301" s="634">
        <f>'[10]Lagged.Calendar HDDs'!I236</f>
        <v>19</v>
      </c>
      <c r="H301" s="706">
        <f t="shared" si="30"/>
        <v>21</v>
      </c>
      <c r="J301" s="699">
        <f t="shared" si="32"/>
        <v>42092</v>
      </c>
      <c r="K301" s="630">
        <f>'[10]10yr Lagged Norms'!E251</f>
        <v>16.100000000000001</v>
      </c>
      <c r="L301" s="630">
        <f>'[10]10yr Lagged Norms'!F251</f>
        <v>13.3</v>
      </c>
      <c r="M301" s="630">
        <f>'[10]10yr Lagged Norms'!G251</f>
        <v>18.899999999999999</v>
      </c>
      <c r="N301" s="630">
        <f>'[10]10yr Lagged Norms'!H251</f>
        <v>16</v>
      </c>
      <c r="O301" s="630">
        <f>'[10]10yr Lagged Norms'!I251</f>
        <v>15.4</v>
      </c>
      <c r="P301" s="707">
        <f t="shared" si="31"/>
        <v>16</v>
      </c>
    </row>
    <row r="302" spans="2:16" x14ac:dyDescent="0.2">
      <c r="B302" s="708">
        <f t="shared" si="33"/>
        <v>42093</v>
      </c>
      <c r="C302" s="634">
        <f>'[10]Lagged.Calendar HDDs'!E237</f>
        <v>10</v>
      </c>
      <c r="D302" s="634">
        <f>'[10]Lagged.Calendar HDDs'!F237</f>
        <v>7</v>
      </c>
      <c r="E302" s="634">
        <f>'[10]Lagged.Calendar HDDs'!G237</f>
        <v>13</v>
      </c>
      <c r="F302" s="634">
        <f>'[10]Lagged.Calendar HDDs'!H237</f>
        <v>10</v>
      </c>
      <c r="G302" s="634">
        <f>'[10]Lagged.Calendar HDDs'!I237</f>
        <v>11</v>
      </c>
      <c r="H302" s="706">
        <f t="shared" si="30"/>
        <v>10</v>
      </c>
      <c r="J302" s="699">
        <f t="shared" si="32"/>
        <v>42093</v>
      </c>
      <c r="K302" s="630">
        <f>'[10]10yr Lagged Norms'!E252</f>
        <v>12.5</v>
      </c>
      <c r="L302" s="630">
        <f>'[10]10yr Lagged Norms'!F252</f>
        <v>10</v>
      </c>
      <c r="M302" s="630">
        <f>'[10]10yr Lagged Norms'!G252</f>
        <v>14.2</v>
      </c>
      <c r="N302" s="630">
        <f>'[10]10yr Lagged Norms'!H252</f>
        <v>11.9</v>
      </c>
      <c r="O302" s="630">
        <f>'[10]10yr Lagged Norms'!I252</f>
        <v>11.9</v>
      </c>
      <c r="P302" s="707">
        <f t="shared" si="31"/>
        <v>12</v>
      </c>
    </row>
    <row r="303" spans="2:16" x14ac:dyDescent="0.2">
      <c r="B303" s="708">
        <f t="shared" si="33"/>
        <v>42094</v>
      </c>
      <c r="C303" s="634">
        <f>'[10]Lagged.Calendar HDDs'!E238</f>
        <v>5</v>
      </c>
      <c r="D303" s="634">
        <f>'[10]Lagged.Calendar HDDs'!F238</f>
        <v>4</v>
      </c>
      <c r="E303" s="634">
        <f>'[10]Lagged.Calendar HDDs'!G238</f>
        <v>7</v>
      </c>
      <c r="F303" s="634">
        <f>'[10]Lagged.Calendar HDDs'!H238</f>
        <v>3</v>
      </c>
      <c r="G303" s="634">
        <f>'[10]Lagged.Calendar HDDs'!I238</f>
        <v>0</v>
      </c>
      <c r="H303" s="706">
        <f t="shared" si="30"/>
        <v>3</v>
      </c>
      <c r="J303" s="699">
        <f t="shared" si="32"/>
        <v>42094</v>
      </c>
      <c r="K303" s="630">
        <f>'[10]10yr Lagged Norms'!E253</f>
        <v>7.2</v>
      </c>
      <c r="L303" s="630">
        <f>'[10]10yr Lagged Norms'!F253</f>
        <v>6.6</v>
      </c>
      <c r="M303" s="630">
        <f>'[10]10yr Lagged Norms'!G253</f>
        <v>9.9</v>
      </c>
      <c r="N303" s="630">
        <f>'[10]10yr Lagged Norms'!H253</f>
        <v>6.9</v>
      </c>
      <c r="O303" s="630">
        <f>'[10]10yr Lagged Norms'!I253</f>
        <v>5.3</v>
      </c>
      <c r="P303" s="707">
        <f t="shared" si="31"/>
        <v>7</v>
      </c>
    </row>
    <row r="304" spans="2:16" x14ac:dyDescent="0.2">
      <c r="B304" s="708">
        <f t="shared" si="33"/>
        <v>42095</v>
      </c>
      <c r="C304" s="634">
        <f>'[10]Lagged.Calendar HDDs'!E239</f>
        <v>8</v>
      </c>
      <c r="D304" s="634">
        <f>'[10]Lagged.Calendar HDDs'!F239</f>
        <v>2</v>
      </c>
      <c r="E304" s="634">
        <f>'[10]Lagged.Calendar HDDs'!G239</f>
        <v>15</v>
      </c>
      <c r="F304" s="634">
        <f>'[10]Lagged.Calendar HDDs'!H239</f>
        <v>8</v>
      </c>
      <c r="G304" s="634">
        <f>'[10]Lagged.Calendar HDDs'!I239</f>
        <v>5</v>
      </c>
      <c r="H304" s="706">
        <f t="shared" si="30"/>
        <v>7</v>
      </c>
      <c r="J304" s="699">
        <f t="shared" si="32"/>
        <v>42095</v>
      </c>
      <c r="K304" s="630">
        <f>'[10]10yr Lagged Norms'!E254</f>
        <v>9.4</v>
      </c>
      <c r="L304" s="630">
        <f>'[10]10yr Lagged Norms'!F254</f>
        <v>5.5</v>
      </c>
      <c r="M304" s="630">
        <f>'[10]10yr Lagged Norms'!G254</f>
        <v>10.5</v>
      </c>
      <c r="N304" s="630">
        <f>'[10]10yr Lagged Norms'!H254</f>
        <v>7.8</v>
      </c>
      <c r="O304" s="630">
        <f>'[10]10yr Lagged Norms'!I254</f>
        <v>7</v>
      </c>
      <c r="P304" s="707">
        <f t="shared" si="31"/>
        <v>8</v>
      </c>
    </row>
    <row r="305" spans="2:16" x14ac:dyDescent="0.2">
      <c r="B305" s="708">
        <f t="shared" si="33"/>
        <v>42096</v>
      </c>
      <c r="C305" s="634">
        <f>'[10]Lagged.Calendar HDDs'!E240</f>
        <v>0</v>
      </c>
      <c r="D305" s="634">
        <f>'[10]Lagged.Calendar HDDs'!F240</f>
        <v>0</v>
      </c>
      <c r="E305" s="634">
        <f>'[10]Lagged.Calendar HDDs'!G240</f>
        <v>3</v>
      </c>
      <c r="F305" s="634">
        <f>'[10]Lagged.Calendar HDDs'!H240</f>
        <v>0</v>
      </c>
      <c r="G305" s="634">
        <f>'[10]Lagged.Calendar HDDs'!I240</f>
        <v>0</v>
      </c>
      <c r="H305" s="706">
        <f t="shared" si="30"/>
        <v>0</v>
      </c>
      <c r="J305" s="699">
        <f t="shared" si="32"/>
        <v>42096</v>
      </c>
      <c r="K305" s="630">
        <f>'[10]10yr Lagged Norms'!E255</f>
        <v>8</v>
      </c>
      <c r="L305" s="630">
        <f>'[10]10yr Lagged Norms'!F255</f>
        <v>4.5999999999999996</v>
      </c>
      <c r="M305" s="630">
        <f>'[10]10yr Lagged Norms'!G255</f>
        <v>8.5</v>
      </c>
      <c r="N305" s="630">
        <f>'[10]10yr Lagged Norms'!H255</f>
        <v>7</v>
      </c>
      <c r="O305" s="630">
        <f>'[10]10yr Lagged Norms'!I255</f>
        <v>5.7</v>
      </c>
      <c r="P305" s="707">
        <f t="shared" si="31"/>
        <v>6</v>
      </c>
    </row>
    <row r="306" spans="2:16" x14ac:dyDescent="0.2">
      <c r="B306" s="708">
        <f t="shared" si="33"/>
        <v>42097</v>
      </c>
      <c r="C306" s="634">
        <f>'[10]Lagged.Calendar HDDs'!E241</f>
        <v>8</v>
      </c>
      <c r="D306" s="634">
        <f>'[10]Lagged.Calendar HDDs'!F241</f>
        <v>0</v>
      </c>
      <c r="E306" s="634">
        <f>'[10]Lagged.Calendar HDDs'!G241</f>
        <v>8</v>
      </c>
      <c r="F306" s="634">
        <f>'[10]Lagged.Calendar HDDs'!H241</f>
        <v>6</v>
      </c>
      <c r="G306" s="634">
        <f>'[10]Lagged.Calendar HDDs'!I241</f>
        <v>6</v>
      </c>
      <c r="H306" s="706">
        <f t="shared" si="30"/>
        <v>5</v>
      </c>
      <c r="J306" s="699">
        <f t="shared" si="32"/>
        <v>42097</v>
      </c>
      <c r="K306" s="630">
        <f>'[10]10yr Lagged Norms'!E256</f>
        <v>9.4</v>
      </c>
      <c r="L306" s="630">
        <f>'[10]10yr Lagged Norms'!F256</f>
        <v>5.7</v>
      </c>
      <c r="M306" s="630">
        <f>'[10]10yr Lagged Norms'!G256</f>
        <v>9</v>
      </c>
      <c r="N306" s="630">
        <f>'[10]10yr Lagged Norms'!H256</f>
        <v>7.5</v>
      </c>
      <c r="O306" s="630">
        <f>'[10]10yr Lagged Norms'!I256</f>
        <v>7.3</v>
      </c>
      <c r="P306" s="707">
        <f t="shared" si="31"/>
        <v>8</v>
      </c>
    </row>
    <row r="307" spans="2:16" x14ac:dyDescent="0.2">
      <c r="B307" s="708">
        <f t="shared" si="33"/>
        <v>42098</v>
      </c>
      <c r="C307" s="634">
        <f>'[10]Lagged.Calendar HDDs'!E242</f>
        <v>17</v>
      </c>
      <c r="D307" s="634">
        <f>'[10]Lagged.Calendar HDDs'!F242</f>
        <v>14</v>
      </c>
      <c r="E307" s="634">
        <f>'[10]Lagged.Calendar HDDs'!G242</f>
        <v>20</v>
      </c>
      <c r="F307" s="634">
        <f>'[10]Lagged.Calendar HDDs'!H242</f>
        <v>17</v>
      </c>
      <c r="G307" s="634">
        <f>'[10]Lagged.Calendar HDDs'!I242</f>
        <v>16</v>
      </c>
      <c r="H307" s="706">
        <f t="shared" si="30"/>
        <v>16</v>
      </c>
      <c r="J307" s="699">
        <f t="shared" si="32"/>
        <v>42098</v>
      </c>
      <c r="K307" s="630">
        <f>'[10]10yr Lagged Norms'!E257</f>
        <v>12.5</v>
      </c>
      <c r="L307" s="630">
        <f>'[10]10yr Lagged Norms'!F257</f>
        <v>9.8000000000000007</v>
      </c>
      <c r="M307" s="630">
        <f>'[10]10yr Lagged Norms'!G257</f>
        <v>13.1</v>
      </c>
      <c r="N307" s="630">
        <f>'[10]10yr Lagged Norms'!H257</f>
        <v>10.7</v>
      </c>
      <c r="O307" s="630">
        <f>'[10]10yr Lagged Norms'!I257</f>
        <v>11.4</v>
      </c>
      <c r="P307" s="707">
        <f t="shared" si="31"/>
        <v>12</v>
      </c>
    </row>
    <row r="308" spans="2:16" x14ac:dyDescent="0.2">
      <c r="B308" s="708">
        <f t="shared" si="33"/>
        <v>42099</v>
      </c>
      <c r="C308" s="634">
        <f>'[10]Lagged.Calendar HDDs'!E243</f>
        <v>15</v>
      </c>
      <c r="D308" s="634">
        <f>'[10]Lagged.Calendar HDDs'!F243</f>
        <v>13</v>
      </c>
      <c r="E308" s="634">
        <f>'[10]Lagged.Calendar HDDs'!G243</f>
        <v>16</v>
      </c>
      <c r="F308" s="634">
        <f>'[10]Lagged.Calendar HDDs'!H243</f>
        <v>14</v>
      </c>
      <c r="G308" s="634">
        <f>'[10]Lagged.Calendar HDDs'!I243</f>
        <v>15</v>
      </c>
      <c r="H308" s="706">
        <f t="shared" si="30"/>
        <v>15</v>
      </c>
      <c r="J308" s="699">
        <f t="shared" si="32"/>
        <v>42099</v>
      </c>
      <c r="K308" s="630">
        <f>'[10]10yr Lagged Norms'!E258</f>
        <v>13.8</v>
      </c>
      <c r="L308" s="630">
        <f>'[10]10yr Lagged Norms'!F258</f>
        <v>11</v>
      </c>
      <c r="M308" s="630">
        <f>'[10]10yr Lagged Norms'!G258</f>
        <v>14.9</v>
      </c>
      <c r="N308" s="630">
        <f>'[10]10yr Lagged Norms'!H258</f>
        <v>12.8</v>
      </c>
      <c r="O308" s="630">
        <f>'[10]10yr Lagged Norms'!I258</f>
        <v>12.9</v>
      </c>
      <c r="P308" s="707">
        <f t="shared" si="31"/>
        <v>13</v>
      </c>
    </row>
    <row r="309" spans="2:16" x14ac:dyDescent="0.2">
      <c r="B309" s="708">
        <f t="shared" si="33"/>
        <v>42100</v>
      </c>
      <c r="C309" s="634">
        <f>'[10]Lagged.Calendar HDDs'!E244</f>
        <v>6</v>
      </c>
      <c r="D309" s="634">
        <f>'[10]Lagged.Calendar HDDs'!F244</f>
        <v>3</v>
      </c>
      <c r="E309" s="634">
        <f>'[10]Lagged.Calendar HDDs'!G244</f>
        <v>6</v>
      </c>
      <c r="F309" s="634">
        <f>'[10]Lagged.Calendar HDDs'!H244</f>
        <v>2</v>
      </c>
      <c r="G309" s="634">
        <f>'[10]Lagged.Calendar HDDs'!I244</f>
        <v>6</v>
      </c>
      <c r="H309" s="706">
        <f t="shared" si="30"/>
        <v>5</v>
      </c>
      <c r="J309" s="699">
        <f t="shared" si="32"/>
        <v>42100</v>
      </c>
      <c r="K309" s="630">
        <f>'[10]10yr Lagged Norms'!E259</f>
        <v>12.4</v>
      </c>
      <c r="L309" s="630">
        <f>'[10]10yr Lagged Norms'!F259</f>
        <v>10</v>
      </c>
      <c r="M309" s="630">
        <f>'[10]10yr Lagged Norms'!G259</f>
        <v>14.1</v>
      </c>
      <c r="N309" s="630">
        <f>'[10]10yr Lagged Norms'!H259</f>
        <v>11.5</v>
      </c>
      <c r="O309" s="630">
        <f>'[10]10yr Lagged Norms'!I259</f>
        <v>11.2</v>
      </c>
      <c r="P309" s="707">
        <f t="shared" si="31"/>
        <v>12</v>
      </c>
    </row>
    <row r="310" spans="2:16" x14ac:dyDescent="0.2">
      <c r="B310" s="708">
        <f t="shared" si="33"/>
        <v>42101</v>
      </c>
      <c r="C310" s="634">
        <f>'[10]Lagged.Calendar HDDs'!E245</f>
        <v>0</v>
      </c>
      <c r="D310" s="634">
        <f>'[10]Lagged.Calendar HDDs'!F245</f>
        <v>0</v>
      </c>
      <c r="E310" s="634">
        <f>'[10]Lagged.Calendar HDDs'!G245</f>
        <v>1</v>
      </c>
      <c r="F310" s="634">
        <f>'[10]Lagged.Calendar HDDs'!H245</f>
        <v>0</v>
      </c>
      <c r="G310" s="634">
        <f>'[10]Lagged.Calendar HDDs'!I245</f>
        <v>0</v>
      </c>
      <c r="H310" s="706">
        <f t="shared" si="30"/>
        <v>0</v>
      </c>
      <c r="J310" s="699">
        <f t="shared" si="32"/>
        <v>42101</v>
      </c>
      <c r="K310" s="630">
        <f>'[10]10yr Lagged Norms'!E260</f>
        <v>9.4</v>
      </c>
      <c r="L310" s="630">
        <f>'[10]10yr Lagged Norms'!F260</f>
        <v>6.9</v>
      </c>
      <c r="M310" s="630">
        <f>'[10]10yr Lagged Norms'!G260</f>
        <v>10.1</v>
      </c>
      <c r="N310" s="630">
        <f>'[10]10yr Lagged Norms'!H260</f>
        <v>8.3000000000000007</v>
      </c>
      <c r="O310" s="630">
        <f>'[10]10yr Lagged Norms'!I260</f>
        <v>8.4</v>
      </c>
      <c r="P310" s="707">
        <f t="shared" si="31"/>
        <v>9</v>
      </c>
    </row>
    <row r="311" spans="2:16" x14ac:dyDescent="0.2">
      <c r="B311" s="708">
        <f t="shared" si="33"/>
        <v>42102</v>
      </c>
      <c r="C311" s="634">
        <f>'[10]Lagged.Calendar HDDs'!E246</f>
        <v>0</v>
      </c>
      <c r="D311" s="634">
        <f>'[10]Lagged.Calendar HDDs'!F246</f>
        <v>0</v>
      </c>
      <c r="E311" s="634">
        <f>'[10]Lagged.Calendar HDDs'!G246</f>
        <v>0</v>
      </c>
      <c r="F311" s="634">
        <f>'[10]Lagged.Calendar HDDs'!H246</f>
        <v>0</v>
      </c>
      <c r="G311" s="634">
        <f>'[10]Lagged.Calendar HDDs'!I246</f>
        <v>0</v>
      </c>
      <c r="H311" s="706">
        <f t="shared" si="30"/>
        <v>0</v>
      </c>
      <c r="J311" s="699">
        <f t="shared" si="32"/>
        <v>42102</v>
      </c>
      <c r="K311" s="630">
        <f>'[10]10yr Lagged Norms'!E261</f>
        <v>10.3</v>
      </c>
      <c r="L311" s="630">
        <f>'[10]10yr Lagged Norms'!F261</f>
        <v>8.1999999999999993</v>
      </c>
      <c r="M311" s="630">
        <f>'[10]10yr Lagged Norms'!G261</f>
        <v>10.9</v>
      </c>
      <c r="N311" s="630">
        <f>'[10]10yr Lagged Norms'!H261</f>
        <v>8.9</v>
      </c>
      <c r="O311" s="630">
        <f>'[10]10yr Lagged Norms'!I261</f>
        <v>10</v>
      </c>
      <c r="P311" s="707">
        <f t="shared" si="31"/>
        <v>10</v>
      </c>
    </row>
    <row r="312" spans="2:16" x14ac:dyDescent="0.2">
      <c r="B312" s="708">
        <f t="shared" si="33"/>
        <v>42103</v>
      </c>
      <c r="C312" s="634">
        <f>'[10]Lagged.Calendar HDDs'!E247</f>
        <v>0</v>
      </c>
      <c r="D312" s="634">
        <f>'[10]Lagged.Calendar HDDs'!F247</f>
        <v>0</v>
      </c>
      <c r="E312" s="634">
        <f>'[10]Lagged.Calendar HDDs'!G247</f>
        <v>0</v>
      </c>
      <c r="F312" s="634">
        <f>'[10]Lagged.Calendar HDDs'!H247</f>
        <v>0</v>
      </c>
      <c r="G312" s="634">
        <f>'[10]Lagged.Calendar HDDs'!I247</f>
        <v>0</v>
      </c>
      <c r="H312" s="706">
        <f t="shared" si="30"/>
        <v>0</v>
      </c>
      <c r="J312" s="699">
        <f t="shared" si="32"/>
        <v>42103</v>
      </c>
      <c r="K312" s="630">
        <f>'[10]10yr Lagged Norms'!E262</f>
        <v>10.1</v>
      </c>
      <c r="L312" s="630">
        <f>'[10]10yr Lagged Norms'!F262</f>
        <v>7.6</v>
      </c>
      <c r="M312" s="630">
        <f>'[10]10yr Lagged Norms'!G262</f>
        <v>11.4</v>
      </c>
      <c r="N312" s="630">
        <f>'[10]10yr Lagged Norms'!H262</f>
        <v>8.8000000000000007</v>
      </c>
      <c r="O312" s="630">
        <f>'[10]10yr Lagged Norms'!I262</f>
        <v>9.6</v>
      </c>
      <c r="P312" s="707">
        <f t="shared" si="31"/>
        <v>9</v>
      </c>
    </row>
    <row r="313" spans="2:16" x14ac:dyDescent="0.2">
      <c r="B313" s="708">
        <f t="shared" si="33"/>
        <v>42104</v>
      </c>
      <c r="C313" s="634">
        <f>'[10]Lagged.Calendar HDDs'!E248</f>
        <v>7</v>
      </c>
      <c r="D313" s="634">
        <f>'[10]Lagged.Calendar HDDs'!F248</f>
        <v>3</v>
      </c>
      <c r="E313" s="634">
        <f>'[10]Lagged.Calendar HDDs'!G248</f>
        <v>5</v>
      </c>
      <c r="F313" s="634">
        <f>'[10]Lagged.Calendar HDDs'!H248</f>
        <v>0</v>
      </c>
      <c r="G313" s="634">
        <f>'[10]Lagged.Calendar HDDs'!I248</f>
        <v>7</v>
      </c>
      <c r="H313" s="706">
        <f t="shared" si="30"/>
        <v>6</v>
      </c>
      <c r="J313" s="699">
        <f t="shared" si="32"/>
        <v>42104</v>
      </c>
      <c r="K313" s="630">
        <f>'[10]10yr Lagged Norms'!E263</f>
        <v>7.5</v>
      </c>
      <c r="L313" s="630">
        <f>'[10]10yr Lagged Norms'!F263</f>
        <v>5.9</v>
      </c>
      <c r="M313" s="630">
        <f>'[10]10yr Lagged Norms'!G263</f>
        <v>8.9</v>
      </c>
      <c r="N313" s="630">
        <f>'[10]10yr Lagged Norms'!H263</f>
        <v>6.3</v>
      </c>
      <c r="O313" s="630">
        <f>'[10]10yr Lagged Norms'!I263</f>
        <v>6.6</v>
      </c>
      <c r="P313" s="707">
        <f t="shared" si="31"/>
        <v>7</v>
      </c>
    </row>
    <row r="314" spans="2:16" x14ac:dyDescent="0.2">
      <c r="B314" s="708">
        <f t="shared" si="33"/>
        <v>42105</v>
      </c>
      <c r="C314" s="634">
        <f>'[10]Lagged.Calendar HDDs'!E249</f>
        <v>10</v>
      </c>
      <c r="D314" s="634">
        <f>'[10]Lagged.Calendar HDDs'!F249</f>
        <v>7</v>
      </c>
      <c r="E314" s="634">
        <f>'[10]Lagged.Calendar HDDs'!G249</f>
        <v>13</v>
      </c>
      <c r="F314" s="634">
        <f>'[10]Lagged.Calendar HDDs'!H249</f>
        <v>9</v>
      </c>
      <c r="G314" s="634">
        <f>'[10]Lagged.Calendar HDDs'!I249</f>
        <v>6</v>
      </c>
      <c r="H314" s="706">
        <f t="shared" si="30"/>
        <v>8</v>
      </c>
      <c r="J314" s="699">
        <f t="shared" si="32"/>
        <v>42105</v>
      </c>
      <c r="K314" s="630">
        <f>'[10]10yr Lagged Norms'!E264</f>
        <v>7.6</v>
      </c>
      <c r="L314" s="630">
        <f>'[10]10yr Lagged Norms'!F264</f>
        <v>4.7</v>
      </c>
      <c r="M314" s="630">
        <f>'[10]10yr Lagged Norms'!G264</f>
        <v>7.7</v>
      </c>
      <c r="N314" s="630">
        <f>'[10]10yr Lagged Norms'!H264</f>
        <v>5.7</v>
      </c>
      <c r="O314" s="630">
        <f>'[10]10yr Lagged Norms'!I264</f>
        <v>7</v>
      </c>
      <c r="P314" s="707">
        <f t="shared" si="31"/>
        <v>7</v>
      </c>
    </row>
    <row r="315" spans="2:16" x14ac:dyDescent="0.2">
      <c r="B315" s="708">
        <f t="shared" si="33"/>
        <v>42106</v>
      </c>
      <c r="C315" s="634">
        <f>'[10]Lagged.Calendar HDDs'!E250</f>
        <v>4</v>
      </c>
      <c r="D315" s="634">
        <f>'[10]Lagged.Calendar HDDs'!F250</f>
        <v>0</v>
      </c>
      <c r="E315" s="634">
        <f>'[10]Lagged.Calendar HDDs'!G250</f>
        <v>6</v>
      </c>
      <c r="F315" s="634">
        <f>'[10]Lagged.Calendar HDDs'!H250</f>
        <v>1</v>
      </c>
      <c r="G315" s="634">
        <f>'[10]Lagged.Calendar HDDs'!I250</f>
        <v>0</v>
      </c>
      <c r="H315" s="706">
        <f t="shared" si="30"/>
        <v>2</v>
      </c>
      <c r="J315" s="699">
        <f t="shared" si="32"/>
        <v>42106</v>
      </c>
      <c r="K315" s="630">
        <f>'[10]10yr Lagged Norms'!E265</f>
        <v>11.4</v>
      </c>
      <c r="L315" s="630">
        <f>'[10]10yr Lagged Norms'!F265</f>
        <v>7</v>
      </c>
      <c r="M315" s="630">
        <f>'[10]10yr Lagged Norms'!G265</f>
        <v>11.5</v>
      </c>
      <c r="N315" s="630">
        <f>'[10]10yr Lagged Norms'!H265</f>
        <v>9.1999999999999993</v>
      </c>
      <c r="O315" s="630">
        <f>'[10]10yr Lagged Norms'!I265</f>
        <v>9.6</v>
      </c>
      <c r="P315" s="707">
        <f t="shared" si="31"/>
        <v>10</v>
      </c>
    </row>
    <row r="316" spans="2:16" x14ac:dyDescent="0.2">
      <c r="B316" s="708">
        <f t="shared" si="33"/>
        <v>42107</v>
      </c>
      <c r="C316" s="634">
        <f>'[10]Lagged.Calendar HDDs'!E251</f>
        <v>0</v>
      </c>
      <c r="D316" s="634">
        <f>'[10]Lagged.Calendar HDDs'!F251</f>
        <v>0</v>
      </c>
      <c r="E316" s="634">
        <f>'[10]Lagged.Calendar HDDs'!G251</f>
        <v>0</v>
      </c>
      <c r="F316" s="634">
        <f>'[10]Lagged.Calendar HDDs'!H251</f>
        <v>0</v>
      </c>
      <c r="G316" s="634">
        <f>'[10]Lagged.Calendar HDDs'!I251</f>
        <v>0</v>
      </c>
      <c r="H316" s="706">
        <f t="shared" si="30"/>
        <v>0</v>
      </c>
      <c r="J316" s="699">
        <f t="shared" si="32"/>
        <v>42107</v>
      </c>
      <c r="K316" s="630">
        <f>'[10]10yr Lagged Norms'!E266</f>
        <v>9</v>
      </c>
      <c r="L316" s="630">
        <f>'[10]10yr Lagged Norms'!F266</f>
        <v>6.8</v>
      </c>
      <c r="M316" s="630">
        <f>'[10]10yr Lagged Norms'!G266</f>
        <v>9.9</v>
      </c>
      <c r="N316" s="630">
        <f>'[10]10yr Lagged Norms'!H266</f>
        <v>8</v>
      </c>
      <c r="O316" s="630">
        <f>'[10]10yr Lagged Norms'!I266</f>
        <v>9.1</v>
      </c>
      <c r="P316" s="707">
        <f t="shared" si="31"/>
        <v>9</v>
      </c>
    </row>
    <row r="317" spans="2:16" x14ac:dyDescent="0.2">
      <c r="B317" s="708">
        <f t="shared" si="33"/>
        <v>42108</v>
      </c>
      <c r="C317" s="634">
        <f>'[10]Lagged.Calendar HDDs'!E252</f>
        <v>4</v>
      </c>
      <c r="D317" s="634">
        <f>'[10]Lagged.Calendar HDDs'!F252</f>
        <v>1</v>
      </c>
      <c r="E317" s="634">
        <f>'[10]Lagged.Calendar HDDs'!G252</f>
        <v>7</v>
      </c>
      <c r="F317" s="634">
        <f>'[10]Lagged.Calendar HDDs'!H252</f>
        <v>6</v>
      </c>
      <c r="G317" s="634">
        <f>'[10]Lagged.Calendar HDDs'!I252</f>
        <v>6</v>
      </c>
      <c r="H317" s="706">
        <f t="shared" si="30"/>
        <v>5</v>
      </c>
      <c r="J317" s="699">
        <f t="shared" si="32"/>
        <v>42108</v>
      </c>
      <c r="K317" s="630">
        <f>'[10]10yr Lagged Norms'!E267</f>
        <v>9.1999999999999993</v>
      </c>
      <c r="L317" s="630">
        <f>'[10]10yr Lagged Norms'!F267</f>
        <v>5.9</v>
      </c>
      <c r="M317" s="630">
        <f>'[10]10yr Lagged Norms'!G267</f>
        <v>8.4</v>
      </c>
      <c r="N317" s="630">
        <f>'[10]10yr Lagged Norms'!H267</f>
        <v>7.6</v>
      </c>
      <c r="O317" s="630">
        <f>'[10]10yr Lagged Norms'!I267</f>
        <v>9</v>
      </c>
      <c r="P317" s="707">
        <f t="shared" si="31"/>
        <v>8</v>
      </c>
    </row>
    <row r="318" spans="2:16" x14ac:dyDescent="0.2">
      <c r="B318" s="708">
        <f t="shared" si="33"/>
        <v>42109</v>
      </c>
      <c r="C318" s="634">
        <f>'[10]Lagged.Calendar HDDs'!E253</f>
        <v>3</v>
      </c>
      <c r="D318" s="634">
        <f>'[10]Lagged.Calendar HDDs'!F253</f>
        <v>0</v>
      </c>
      <c r="E318" s="634">
        <f>'[10]Lagged.Calendar HDDs'!G253</f>
        <v>9</v>
      </c>
      <c r="F318" s="634">
        <f>'[10]Lagged.Calendar HDDs'!H253</f>
        <v>5</v>
      </c>
      <c r="G318" s="634">
        <f>'[10]Lagged.Calendar HDDs'!I253</f>
        <v>0</v>
      </c>
      <c r="H318" s="706">
        <f t="shared" si="30"/>
        <v>2</v>
      </c>
      <c r="J318" s="699">
        <f t="shared" si="32"/>
        <v>42109</v>
      </c>
      <c r="K318" s="630">
        <f>'[10]10yr Lagged Norms'!E268</f>
        <v>8.6999999999999993</v>
      </c>
      <c r="L318" s="630">
        <f>'[10]10yr Lagged Norms'!F268</f>
        <v>8.3000000000000007</v>
      </c>
      <c r="M318" s="630">
        <f>'[10]10yr Lagged Norms'!G268</f>
        <v>10.8</v>
      </c>
      <c r="N318" s="630">
        <f>'[10]10yr Lagged Norms'!H268</f>
        <v>8.5</v>
      </c>
      <c r="O318" s="630">
        <f>'[10]10yr Lagged Norms'!I268</f>
        <v>7.5</v>
      </c>
      <c r="P318" s="707">
        <f t="shared" si="31"/>
        <v>8</v>
      </c>
    </row>
    <row r="319" spans="2:16" x14ac:dyDescent="0.2">
      <c r="B319" s="708">
        <f t="shared" si="33"/>
        <v>42110</v>
      </c>
      <c r="C319" s="634">
        <f>'[10]Lagged.Calendar HDDs'!E254</f>
        <v>0</v>
      </c>
      <c r="D319" s="634">
        <f>'[10]Lagged.Calendar HDDs'!F254</f>
        <v>1</v>
      </c>
      <c r="E319" s="634">
        <f>'[10]Lagged.Calendar HDDs'!G254</f>
        <v>1</v>
      </c>
      <c r="F319" s="634">
        <f>'[10]Lagged.Calendar HDDs'!H254</f>
        <v>0</v>
      </c>
      <c r="G319" s="634">
        <f>'[10]Lagged.Calendar HDDs'!I254</f>
        <v>0</v>
      </c>
      <c r="H319" s="706">
        <f t="shared" si="30"/>
        <v>0</v>
      </c>
      <c r="J319" s="699">
        <f t="shared" si="32"/>
        <v>42110</v>
      </c>
      <c r="K319" s="630">
        <f>'[10]10yr Lagged Norms'!E269</f>
        <v>7.8</v>
      </c>
      <c r="L319" s="630">
        <f>'[10]10yr Lagged Norms'!F269</f>
        <v>6.8</v>
      </c>
      <c r="M319" s="630">
        <f>'[10]10yr Lagged Norms'!G269</f>
        <v>8.3000000000000007</v>
      </c>
      <c r="N319" s="630">
        <f>'[10]10yr Lagged Norms'!H269</f>
        <v>6.6</v>
      </c>
      <c r="O319" s="630">
        <f>'[10]10yr Lagged Norms'!I269</f>
        <v>7.7</v>
      </c>
      <c r="P319" s="707">
        <f t="shared" si="31"/>
        <v>8</v>
      </c>
    </row>
    <row r="320" spans="2:16" x14ac:dyDescent="0.2">
      <c r="B320" s="708">
        <f t="shared" si="33"/>
        <v>42111</v>
      </c>
      <c r="C320" s="634">
        <f>'[10]Lagged.Calendar HDDs'!E255</f>
        <v>0</v>
      </c>
      <c r="D320" s="634">
        <f>'[10]Lagged.Calendar HDDs'!F255</f>
        <v>0</v>
      </c>
      <c r="E320" s="634">
        <f>'[10]Lagged.Calendar HDDs'!G255</f>
        <v>0</v>
      </c>
      <c r="F320" s="634">
        <f>'[10]Lagged.Calendar HDDs'!H255</f>
        <v>0</v>
      </c>
      <c r="G320" s="634">
        <f>'[10]Lagged.Calendar HDDs'!I255</f>
        <v>0</v>
      </c>
      <c r="H320" s="706">
        <f t="shared" si="30"/>
        <v>0</v>
      </c>
      <c r="J320" s="699">
        <f t="shared" si="32"/>
        <v>42111</v>
      </c>
      <c r="K320" s="630">
        <f>'[10]10yr Lagged Norms'!E270</f>
        <v>6.1</v>
      </c>
      <c r="L320" s="630">
        <f>'[10]10yr Lagged Norms'!F270</f>
        <v>5.2</v>
      </c>
      <c r="M320" s="630">
        <f>'[10]10yr Lagged Norms'!G270</f>
        <v>8.1</v>
      </c>
      <c r="N320" s="630">
        <f>'[10]10yr Lagged Norms'!H270</f>
        <v>5.2</v>
      </c>
      <c r="O320" s="630">
        <f>'[10]10yr Lagged Norms'!I270</f>
        <v>5.0999999999999996</v>
      </c>
      <c r="P320" s="707">
        <f t="shared" si="31"/>
        <v>6</v>
      </c>
    </row>
    <row r="321" spans="2:16" x14ac:dyDescent="0.2">
      <c r="B321" s="708">
        <f t="shared" si="33"/>
        <v>42112</v>
      </c>
      <c r="C321" s="634">
        <f>'[10]Lagged.Calendar HDDs'!E256</f>
        <v>0</v>
      </c>
      <c r="D321" s="634">
        <f>'[10]Lagged.Calendar HDDs'!F256</f>
        <v>0</v>
      </c>
      <c r="E321" s="634">
        <f>'[10]Lagged.Calendar HDDs'!G256</f>
        <v>0</v>
      </c>
      <c r="F321" s="634">
        <f>'[10]Lagged.Calendar HDDs'!H256</f>
        <v>0</v>
      </c>
      <c r="G321" s="634">
        <f>'[10]Lagged.Calendar HDDs'!I256</f>
        <v>0</v>
      </c>
      <c r="H321" s="706">
        <f t="shared" si="30"/>
        <v>0</v>
      </c>
      <c r="J321" s="699">
        <f t="shared" si="32"/>
        <v>42112</v>
      </c>
      <c r="K321" s="630">
        <f>'[10]10yr Lagged Norms'!E271</f>
        <v>4.9000000000000004</v>
      </c>
      <c r="L321" s="630">
        <f>'[10]10yr Lagged Norms'!F271</f>
        <v>2.8</v>
      </c>
      <c r="M321" s="630">
        <f>'[10]10yr Lagged Norms'!G271</f>
        <v>5.8</v>
      </c>
      <c r="N321" s="630">
        <f>'[10]10yr Lagged Norms'!H271</f>
        <v>3.4</v>
      </c>
      <c r="O321" s="630">
        <f>'[10]10yr Lagged Norms'!I271</f>
        <v>4.4000000000000004</v>
      </c>
      <c r="P321" s="707">
        <f t="shared" si="31"/>
        <v>4</v>
      </c>
    </row>
    <row r="322" spans="2:16" x14ac:dyDescent="0.2">
      <c r="B322" s="708">
        <f t="shared" si="33"/>
        <v>42113</v>
      </c>
      <c r="C322" s="634">
        <f>'[10]Lagged.Calendar HDDs'!E257</f>
        <v>1</v>
      </c>
      <c r="D322" s="634">
        <f>'[10]Lagged.Calendar HDDs'!F257</f>
        <v>0</v>
      </c>
      <c r="E322" s="634">
        <f>'[10]Lagged.Calendar HDDs'!G257</f>
        <v>0</v>
      </c>
      <c r="F322" s="634">
        <f>'[10]Lagged.Calendar HDDs'!H257</f>
        <v>0</v>
      </c>
      <c r="G322" s="634">
        <f>'[10]Lagged.Calendar HDDs'!I257</f>
        <v>0</v>
      </c>
      <c r="H322" s="706">
        <f t="shared" si="30"/>
        <v>0</v>
      </c>
      <c r="J322" s="699">
        <f t="shared" si="32"/>
        <v>42113</v>
      </c>
      <c r="K322" s="630">
        <f>'[10]10yr Lagged Norms'!E272</f>
        <v>7.3</v>
      </c>
      <c r="L322" s="630">
        <f>'[10]10yr Lagged Norms'!F272</f>
        <v>5.2</v>
      </c>
      <c r="M322" s="630">
        <f>'[10]10yr Lagged Norms'!G272</f>
        <v>7.5</v>
      </c>
      <c r="N322" s="630">
        <f>'[10]10yr Lagged Norms'!H272</f>
        <v>5.4</v>
      </c>
      <c r="O322" s="630">
        <f>'[10]10yr Lagged Norms'!I272</f>
        <v>6.4</v>
      </c>
      <c r="P322" s="707">
        <f t="shared" si="31"/>
        <v>6</v>
      </c>
    </row>
    <row r="323" spans="2:16" x14ac:dyDescent="0.2">
      <c r="B323" s="708">
        <f t="shared" si="33"/>
        <v>42114</v>
      </c>
      <c r="C323" s="634">
        <f>'[10]Lagged.Calendar HDDs'!E258</f>
        <v>11</v>
      </c>
      <c r="D323" s="634">
        <f>'[10]Lagged.Calendar HDDs'!F258</f>
        <v>8</v>
      </c>
      <c r="E323" s="634">
        <f>'[10]Lagged.Calendar HDDs'!G258</f>
        <v>9</v>
      </c>
      <c r="F323" s="634">
        <f>'[10]Lagged.Calendar HDDs'!H258</f>
        <v>8</v>
      </c>
      <c r="G323" s="634">
        <f>'[10]Lagged.Calendar HDDs'!I258</f>
        <v>11</v>
      </c>
      <c r="H323" s="706">
        <f t="shared" si="30"/>
        <v>10</v>
      </c>
      <c r="J323" s="699">
        <f t="shared" si="32"/>
        <v>42114</v>
      </c>
      <c r="K323" s="630">
        <f>'[10]10yr Lagged Norms'!E273</f>
        <v>8.4</v>
      </c>
      <c r="L323" s="630">
        <f>'[10]10yr Lagged Norms'!F273</f>
        <v>5.3</v>
      </c>
      <c r="M323" s="630">
        <f>'[10]10yr Lagged Norms'!G273</f>
        <v>8.5</v>
      </c>
      <c r="N323" s="630">
        <f>'[10]10yr Lagged Norms'!H273</f>
        <v>7</v>
      </c>
      <c r="O323" s="630">
        <f>'[10]10yr Lagged Norms'!I273</f>
        <v>7.2</v>
      </c>
      <c r="P323" s="707">
        <f t="shared" si="31"/>
        <v>7</v>
      </c>
    </row>
    <row r="324" spans="2:16" x14ac:dyDescent="0.2">
      <c r="B324" s="708">
        <f t="shared" si="33"/>
        <v>42115</v>
      </c>
      <c r="C324" s="634">
        <f>'[10]Lagged.Calendar HDDs'!E259</f>
        <v>10</v>
      </c>
      <c r="D324" s="634">
        <f>'[10]Lagged.Calendar HDDs'!F259</f>
        <v>9</v>
      </c>
      <c r="E324" s="634">
        <f>'[10]Lagged.Calendar HDDs'!G259</f>
        <v>12</v>
      </c>
      <c r="F324" s="634">
        <f>'[10]Lagged.Calendar HDDs'!H259</f>
        <v>8</v>
      </c>
      <c r="G324" s="634">
        <f>'[10]Lagged.Calendar HDDs'!I259</f>
        <v>8</v>
      </c>
      <c r="H324" s="706">
        <f t="shared" si="30"/>
        <v>9</v>
      </c>
      <c r="J324" s="699">
        <f t="shared" si="32"/>
        <v>42115</v>
      </c>
      <c r="K324" s="630">
        <f>'[10]10yr Lagged Norms'!E274</f>
        <v>9.1999999999999993</v>
      </c>
      <c r="L324" s="630">
        <f>'[10]10yr Lagged Norms'!F274</f>
        <v>6.9</v>
      </c>
      <c r="M324" s="630">
        <f>'[10]10yr Lagged Norms'!G274</f>
        <v>10.7</v>
      </c>
      <c r="N324" s="630">
        <f>'[10]10yr Lagged Norms'!H274</f>
        <v>8</v>
      </c>
      <c r="O324" s="630">
        <f>'[10]10yr Lagged Norms'!I274</f>
        <v>8</v>
      </c>
      <c r="P324" s="707">
        <f t="shared" si="31"/>
        <v>8</v>
      </c>
    </row>
    <row r="325" spans="2:16" x14ac:dyDescent="0.2">
      <c r="B325" s="708">
        <f t="shared" si="33"/>
        <v>42116</v>
      </c>
      <c r="C325" s="634">
        <f>'[10]Lagged.Calendar HDDs'!E260</f>
        <v>16</v>
      </c>
      <c r="D325" s="634">
        <f>'[10]Lagged.Calendar HDDs'!F260</f>
        <v>5</v>
      </c>
      <c r="E325" s="634">
        <f>'[10]Lagged.Calendar HDDs'!G260</f>
        <v>14</v>
      </c>
      <c r="F325" s="634">
        <f>'[10]Lagged.Calendar HDDs'!H260</f>
        <v>12</v>
      </c>
      <c r="G325" s="634">
        <f>'[10]Lagged.Calendar HDDs'!I260</f>
        <v>11</v>
      </c>
      <c r="H325" s="706">
        <f t="shared" si="30"/>
        <v>11</v>
      </c>
      <c r="J325" s="699">
        <f t="shared" si="32"/>
        <v>42116</v>
      </c>
      <c r="K325" s="630">
        <f>'[10]10yr Lagged Norms'!E275</f>
        <v>6.1</v>
      </c>
      <c r="L325" s="630">
        <f>'[10]10yr Lagged Norms'!F275</f>
        <v>3.8</v>
      </c>
      <c r="M325" s="630">
        <f>'[10]10yr Lagged Norms'!G275</f>
        <v>8.6</v>
      </c>
      <c r="N325" s="630">
        <f>'[10]10yr Lagged Norms'!H275</f>
        <v>5.0999999999999996</v>
      </c>
      <c r="O325" s="630">
        <f>'[10]10yr Lagged Norms'!I275</f>
        <v>4.5999999999999996</v>
      </c>
      <c r="P325" s="707">
        <f t="shared" si="31"/>
        <v>5</v>
      </c>
    </row>
    <row r="326" spans="2:16" x14ac:dyDescent="0.2">
      <c r="B326" s="708">
        <f t="shared" si="33"/>
        <v>42117</v>
      </c>
      <c r="C326" s="634">
        <f>'[10]Lagged.Calendar HDDs'!E261</f>
        <v>15</v>
      </c>
      <c r="D326" s="634">
        <f>'[10]Lagged.Calendar HDDs'!F261</f>
        <v>9</v>
      </c>
      <c r="E326" s="634">
        <f>'[10]Lagged.Calendar HDDs'!G261</f>
        <v>19</v>
      </c>
      <c r="F326" s="634">
        <f>'[10]Lagged.Calendar HDDs'!H261</f>
        <v>14</v>
      </c>
      <c r="G326" s="634">
        <f>'[10]Lagged.Calendar HDDs'!I261</f>
        <v>12</v>
      </c>
      <c r="H326" s="706">
        <f t="shared" si="30"/>
        <v>13</v>
      </c>
      <c r="J326" s="699">
        <f t="shared" si="32"/>
        <v>42117</v>
      </c>
      <c r="K326" s="630">
        <f>'[10]10yr Lagged Norms'!E276</f>
        <v>4.9000000000000004</v>
      </c>
      <c r="L326" s="630">
        <f>'[10]10yr Lagged Norms'!F276</f>
        <v>3.1</v>
      </c>
      <c r="M326" s="630">
        <f>'[10]10yr Lagged Norms'!G276</f>
        <v>7</v>
      </c>
      <c r="N326" s="630">
        <f>'[10]10yr Lagged Norms'!H276</f>
        <v>4.7</v>
      </c>
      <c r="O326" s="630">
        <f>'[10]10yr Lagged Norms'!I276</f>
        <v>4</v>
      </c>
      <c r="P326" s="707">
        <f t="shared" si="31"/>
        <v>4</v>
      </c>
    </row>
    <row r="327" spans="2:16" x14ac:dyDescent="0.2">
      <c r="B327" s="708">
        <f t="shared" si="33"/>
        <v>42118</v>
      </c>
      <c r="C327" s="634">
        <f>'[10]Lagged.Calendar HDDs'!E262</f>
        <v>15</v>
      </c>
      <c r="D327" s="634">
        <f>'[10]Lagged.Calendar HDDs'!F262</f>
        <v>11</v>
      </c>
      <c r="E327" s="634">
        <f>'[10]Lagged.Calendar HDDs'!G262</f>
        <v>19</v>
      </c>
      <c r="F327" s="634">
        <f>'[10]Lagged.Calendar HDDs'!H262</f>
        <v>13</v>
      </c>
      <c r="G327" s="634">
        <f>'[10]Lagged.Calendar HDDs'!I262</f>
        <v>12</v>
      </c>
      <c r="H327" s="706">
        <f t="shared" si="30"/>
        <v>14</v>
      </c>
      <c r="J327" s="699">
        <f t="shared" si="32"/>
        <v>42118</v>
      </c>
      <c r="K327" s="630">
        <f>'[10]10yr Lagged Norms'!E277</f>
        <v>5.0999999999999996</v>
      </c>
      <c r="L327" s="630">
        <f>'[10]10yr Lagged Norms'!F277</f>
        <v>3.1</v>
      </c>
      <c r="M327" s="630">
        <f>'[10]10yr Lagged Norms'!G277</f>
        <v>5.4</v>
      </c>
      <c r="N327" s="630">
        <f>'[10]10yr Lagged Norms'!H277</f>
        <v>3.5</v>
      </c>
      <c r="O327" s="630">
        <f>'[10]10yr Lagged Norms'!I277</f>
        <v>3.9</v>
      </c>
      <c r="P327" s="707">
        <f t="shared" si="31"/>
        <v>4</v>
      </c>
    </row>
    <row r="328" spans="2:16" x14ac:dyDescent="0.2">
      <c r="B328" s="708">
        <f t="shared" si="33"/>
        <v>42119</v>
      </c>
      <c r="C328" s="634">
        <f>'[10]Lagged.Calendar HDDs'!E263</f>
        <v>3</v>
      </c>
      <c r="D328" s="634">
        <f>'[10]Lagged.Calendar HDDs'!F263</f>
        <v>0</v>
      </c>
      <c r="E328" s="634">
        <f>'[10]Lagged.Calendar HDDs'!G263</f>
        <v>12</v>
      </c>
      <c r="F328" s="634">
        <f>'[10]Lagged.Calendar HDDs'!H263</f>
        <v>10</v>
      </c>
      <c r="G328" s="634">
        <f>'[10]Lagged.Calendar HDDs'!I263</f>
        <v>0</v>
      </c>
      <c r="H328" s="706">
        <f t="shared" si="30"/>
        <v>3</v>
      </c>
      <c r="J328" s="699">
        <f t="shared" si="32"/>
        <v>42119</v>
      </c>
      <c r="K328" s="630">
        <f>'[10]10yr Lagged Norms'!E278</f>
        <v>3.4</v>
      </c>
      <c r="L328" s="630">
        <f>'[10]10yr Lagged Norms'!F278</f>
        <v>1.6</v>
      </c>
      <c r="M328" s="630">
        <f>'[10]10yr Lagged Norms'!G278</f>
        <v>4.5999999999999996</v>
      </c>
      <c r="N328" s="630">
        <f>'[10]10yr Lagged Norms'!H278</f>
        <v>3.2</v>
      </c>
      <c r="O328" s="630">
        <f>'[10]10yr Lagged Norms'!I278</f>
        <v>2.2000000000000002</v>
      </c>
      <c r="P328" s="707">
        <f t="shared" si="31"/>
        <v>3</v>
      </c>
    </row>
    <row r="329" spans="2:16" x14ac:dyDescent="0.2">
      <c r="B329" s="708">
        <f t="shared" si="33"/>
        <v>42120</v>
      </c>
      <c r="C329" s="634">
        <f>'[10]Lagged.Calendar HDDs'!E264</f>
        <v>9</v>
      </c>
      <c r="D329" s="634">
        <f>'[10]Lagged.Calendar HDDs'!F264</f>
        <v>10</v>
      </c>
      <c r="E329" s="634">
        <f>'[10]Lagged.Calendar HDDs'!G264</f>
        <v>13</v>
      </c>
      <c r="F329" s="634">
        <f>'[10]Lagged.Calendar HDDs'!H264</f>
        <v>9</v>
      </c>
      <c r="G329" s="634">
        <f>'[10]Lagged.Calendar HDDs'!I264</f>
        <v>7</v>
      </c>
      <c r="H329" s="706">
        <f t="shared" si="30"/>
        <v>9</v>
      </c>
      <c r="J329" s="699">
        <f t="shared" si="32"/>
        <v>42120</v>
      </c>
      <c r="K329" s="630">
        <f>'[10]10yr Lagged Norms'!E279</f>
        <v>5.4</v>
      </c>
      <c r="L329" s="630">
        <f>'[10]10yr Lagged Norms'!F279</f>
        <v>3.7</v>
      </c>
      <c r="M329" s="630">
        <f>'[10]10yr Lagged Norms'!G279</f>
        <v>6.4</v>
      </c>
      <c r="N329" s="630">
        <f>'[10]10yr Lagged Norms'!H279</f>
        <v>4.2</v>
      </c>
      <c r="O329" s="630">
        <f>'[10]10yr Lagged Norms'!I279</f>
        <v>5.0999999999999996</v>
      </c>
      <c r="P329" s="707">
        <f t="shared" si="31"/>
        <v>5</v>
      </c>
    </row>
    <row r="330" spans="2:16" x14ac:dyDescent="0.2">
      <c r="B330" s="708">
        <f t="shared" si="33"/>
        <v>42121</v>
      </c>
      <c r="C330" s="634">
        <f>'[10]Lagged.Calendar HDDs'!E265</f>
        <v>10</v>
      </c>
      <c r="D330" s="634">
        <f>'[10]Lagged.Calendar HDDs'!F265</f>
        <v>9</v>
      </c>
      <c r="E330" s="634">
        <f>'[10]Lagged.Calendar HDDs'!G265</f>
        <v>16</v>
      </c>
      <c r="F330" s="634">
        <f>'[10]Lagged.Calendar HDDs'!H265</f>
        <v>10</v>
      </c>
      <c r="G330" s="634">
        <f>'[10]Lagged.Calendar HDDs'!I265</f>
        <v>10</v>
      </c>
      <c r="H330" s="706">
        <f t="shared" si="30"/>
        <v>11</v>
      </c>
      <c r="J330" s="699">
        <f t="shared" si="32"/>
        <v>42121</v>
      </c>
      <c r="K330" s="630">
        <f>'[10]10yr Lagged Norms'!E280</f>
        <v>7.9</v>
      </c>
      <c r="L330" s="630">
        <f>'[10]10yr Lagged Norms'!F280</f>
        <v>5.4</v>
      </c>
      <c r="M330" s="630">
        <f>'[10]10yr Lagged Norms'!G280</f>
        <v>8.3000000000000007</v>
      </c>
      <c r="N330" s="630">
        <f>'[10]10yr Lagged Norms'!H280</f>
        <v>6.4</v>
      </c>
      <c r="O330" s="630">
        <f>'[10]10yr Lagged Norms'!I280</f>
        <v>6.9</v>
      </c>
      <c r="P330" s="707">
        <f t="shared" si="31"/>
        <v>7</v>
      </c>
    </row>
    <row r="331" spans="2:16" x14ac:dyDescent="0.2">
      <c r="B331" s="708">
        <f t="shared" si="33"/>
        <v>42122</v>
      </c>
      <c r="C331" s="634">
        <f>'[10]Lagged.Calendar HDDs'!E266</f>
        <v>10</v>
      </c>
      <c r="D331" s="634">
        <f>'[10]Lagged.Calendar HDDs'!F266</f>
        <v>9</v>
      </c>
      <c r="E331" s="634">
        <f>'[10]Lagged.Calendar HDDs'!G266</f>
        <v>15</v>
      </c>
      <c r="F331" s="634">
        <f>'[10]Lagged.Calendar HDDs'!H266</f>
        <v>10</v>
      </c>
      <c r="G331" s="634">
        <f>'[10]Lagged.Calendar HDDs'!I266</f>
        <v>10</v>
      </c>
      <c r="H331" s="706">
        <f t="shared" si="30"/>
        <v>10</v>
      </c>
      <c r="J331" s="699">
        <f t="shared" si="32"/>
        <v>42122</v>
      </c>
      <c r="K331" s="630">
        <f>'[10]10yr Lagged Norms'!E281</f>
        <v>6.1</v>
      </c>
      <c r="L331" s="630">
        <f>'[10]10yr Lagged Norms'!F281</f>
        <v>4.5</v>
      </c>
      <c r="M331" s="630">
        <f>'[10]10yr Lagged Norms'!G281</f>
        <v>7.7</v>
      </c>
      <c r="N331" s="630">
        <f>'[10]10yr Lagged Norms'!H281</f>
        <v>5.0999999999999996</v>
      </c>
      <c r="O331" s="630">
        <f>'[10]10yr Lagged Norms'!I281</f>
        <v>6</v>
      </c>
      <c r="P331" s="707">
        <f t="shared" si="31"/>
        <v>6</v>
      </c>
    </row>
    <row r="332" spans="2:16" x14ac:dyDescent="0.2">
      <c r="B332" s="708">
        <f t="shared" si="33"/>
        <v>42123</v>
      </c>
      <c r="C332" s="634">
        <f>'[10]Lagged.Calendar HDDs'!E267</f>
        <v>7</v>
      </c>
      <c r="D332" s="634">
        <f>'[10]Lagged.Calendar HDDs'!F267</f>
        <v>5</v>
      </c>
      <c r="E332" s="634">
        <f>'[10]Lagged.Calendar HDDs'!G267</f>
        <v>11</v>
      </c>
      <c r="F332" s="634">
        <f>'[10]Lagged.Calendar HDDs'!H267</f>
        <v>7</v>
      </c>
      <c r="G332" s="634">
        <f>'[10]Lagged.Calendar HDDs'!I267</f>
        <v>7</v>
      </c>
      <c r="H332" s="706">
        <f t="shared" ref="H332:H395" si="34">IFERROR(ROUND((C332*C$70)+(D332*D$70)+(E332*E$70)+(F332*F$70)+(G332*G$70),0),0)</f>
        <v>7</v>
      </c>
      <c r="J332" s="699">
        <f t="shared" si="32"/>
        <v>42123</v>
      </c>
      <c r="K332" s="630">
        <f>'[10]10yr Lagged Norms'!E282</f>
        <v>3.9</v>
      </c>
      <c r="L332" s="630">
        <f>'[10]10yr Lagged Norms'!F282</f>
        <v>3.1</v>
      </c>
      <c r="M332" s="630">
        <f>'[10]10yr Lagged Norms'!G282</f>
        <v>6.9</v>
      </c>
      <c r="N332" s="630">
        <f>'[10]10yr Lagged Norms'!H282</f>
        <v>4.0999999999999996</v>
      </c>
      <c r="O332" s="630">
        <f>'[10]10yr Lagged Norms'!I282</f>
        <v>3.7</v>
      </c>
      <c r="P332" s="707">
        <f t="shared" ref="P332:P395" si="35">IFERROR(ROUND((K332*C$70)+(L332*D$70)+(M332*E$70)+(N332*F$70)+(O332*G$70),0),0)</f>
        <v>4</v>
      </c>
    </row>
    <row r="333" spans="2:16" x14ac:dyDescent="0.2">
      <c r="B333" s="708">
        <f t="shared" si="33"/>
        <v>42124</v>
      </c>
      <c r="C333" s="634">
        <f>'[10]Lagged.Calendar HDDs'!E268</f>
        <v>7</v>
      </c>
      <c r="D333" s="634">
        <f>'[10]Lagged.Calendar HDDs'!F268</f>
        <v>4</v>
      </c>
      <c r="E333" s="634">
        <f>'[10]Lagged.Calendar HDDs'!G268</f>
        <v>10</v>
      </c>
      <c r="F333" s="634">
        <f>'[10]Lagged.Calendar HDDs'!H268</f>
        <v>8</v>
      </c>
      <c r="G333" s="634">
        <f>'[10]Lagged.Calendar HDDs'!I268</f>
        <v>6</v>
      </c>
      <c r="H333" s="706">
        <f t="shared" si="34"/>
        <v>6</v>
      </c>
      <c r="J333" s="699">
        <f t="shared" ref="J333:J396" si="36">B333</f>
        <v>42124</v>
      </c>
      <c r="K333" s="630">
        <f>'[10]10yr Lagged Norms'!E283</f>
        <v>3.4</v>
      </c>
      <c r="L333" s="630">
        <f>'[10]10yr Lagged Norms'!F283</f>
        <v>2.1</v>
      </c>
      <c r="M333" s="630">
        <f>'[10]10yr Lagged Norms'!G283</f>
        <v>4</v>
      </c>
      <c r="N333" s="630">
        <f>'[10]10yr Lagged Norms'!H283</f>
        <v>2.8</v>
      </c>
      <c r="O333" s="630">
        <f>'[10]10yr Lagged Norms'!I283</f>
        <v>3.1</v>
      </c>
      <c r="P333" s="707">
        <f t="shared" si="35"/>
        <v>3</v>
      </c>
    </row>
    <row r="334" spans="2:16" x14ac:dyDescent="0.2">
      <c r="B334" s="708">
        <f t="shared" ref="B334:B397" si="37">B333+1</f>
        <v>42125</v>
      </c>
      <c r="C334" s="634">
        <f>'[10]Lagged.Calendar HDDs'!E269</f>
        <v>8</v>
      </c>
      <c r="D334" s="634">
        <f>'[10]Lagged.Calendar HDDs'!F269</f>
        <v>7</v>
      </c>
      <c r="E334" s="634">
        <f>'[10]Lagged.Calendar HDDs'!G269</f>
        <v>9</v>
      </c>
      <c r="F334" s="634">
        <f>'[10]Lagged.Calendar HDDs'!H269</f>
        <v>6</v>
      </c>
      <c r="G334" s="634">
        <f>'[10]Lagged.Calendar HDDs'!I269</f>
        <v>10</v>
      </c>
      <c r="H334" s="706">
        <f t="shared" si="34"/>
        <v>9</v>
      </c>
      <c r="J334" s="699">
        <f t="shared" si="36"/>
        <v>42125</v>
      </c>
      <c r="K334" s="630">
        <f>'[10]10yr Lagged Norms'!E284</f>
        <v>3.1</v>
      </c>
      <c r="L334" s="630">
        <f>'[10]10yr Lagged Norms'!F284</f>
        <v>1.9</v>
      </c>
      <c r="M334" s="630">
        <f>'[10]10yr Lagged Norms'!G284</f>
        <v>2.5</v>
      </c>
      <c r="N334" s="630">
        <f>'[10]10yr Lagged Norms'!H284</f>
        <v>1.9</v>
      </c>
      <c r="O334" s="630">
        <f>'[10]10yr Lagged Norms'!I284</f>
        <v>2.5</v>
      </c>
      <c r="P334" s="707">
        <f t="shared" si="35"/>
        <v>2</v>
      </c>
    </row>
    <row r="335" spans="2:16" x14ac:dyDescent="0.2">
      <c r="B335" s="708">
        <f t="shared" si="37"/>
        <v>42126</v>
      </c>
      <c r="C335" s="634">
        <f>'[10]Lagged.Calendar HDDs'!E270</f>
        <v>4</v>
      </c>
      <c r="D335" s="634">
        <f>'[10]Lagged.Calendar HDDs'!F270</f>
        <v>2</v>
      </c>
      <c r="E335" s="634">
        <f>'[10]Lagged.Calendar HDDs'!G270</f>
        <v>6</v>
      </c>
      <c r="F335" s="634">
        <f>'[10]Lagged.Calendar HDDs'!H270</f>
        <v>0</v>
      </c>
      <c r="G335" s="634">
        <f>'[10]Lagged.Calendar HDDs'!I270</f>
        <v>5</v>
      </c>
      <c r="H335" s="706">
        <f t="shared" si="34"/>
        <v>4</v>
      </c>
      <c r="J335" s="699">
        <f t="shared" si="36"/>
        <v>42126</v>
      </c>
      <c r="K335" s="630">
        <f>'[10]10yr Lagged Norms'!E285</f>
        <v>4.0999999999999996</v>
      </c>
      <c r="L335" s="630">
        <f>'[10]10yr Lagged Norms'!F285</f>
        <v>1.4</v>
      </c>
      <c r="M335" s="630">
        <f>'[10]10yr Lagged Norms'!G285</f>
        <v>3.4</v>
      </c>
      <c r="N335" s="630">
        <f>'[10]10yr Lagged Norms'!H285</f>
        <v>2.7</v>
      </c>
      <c r="O335" s="630">
        <f>'[10]10yr Lagged Norms'!I285</f>
        <v>3.9</v>
      </c>
      <c r="P335" s="707">
        <f t="shared" si="35"/>
        <v>3</v>
      </c>
    </row>
    <row r="336" spans="2:16" x14ac:dyDescent="0.2">
      <c r="B336" s="708">
        <f t="shared" si="37"/>
        <v>42127</v>
      </c>
      <c r="C336" s="634">
        <f>'[10]Lagged.Calendar HDDs'!E271</f>
        <v>0</v>
      </c>
      <c r="D336" s="634">
        <f>'[10]Lagged.Calendar HDDs'!F271</f>
        <v>0</v>
      </c>
      <c r="E336" s="634">
        <f>'[10]Lagged.Calendar HDDs'!G271</f>
        <v>3</v>
      </c>
      <c r="F336" s="634">
        <f>'[10]Lagged.Calendar HDDs'!H271</f>
        <v>0</v>
      </c>
      <c r="G336" s="634">
        <f>'[10]Lagged.Calendar HDDs'!I271</f>
        <v>0</v>
      </c>
      <c r="H336" s="706">
        <f t="shared" si="34"/>
        <v>0</v>
      </c>
      <c r="J336" s="699">
        <f t="shared" si="36"/>
        <v>42127</v>
      </c>
      <c r="K336" s="630">
        <f>'[10]10yr Lagged Norms'!E286</f>
        <v>3.3</v>
      </c>
      <c r="L336" s="630">
        <f>'[10]10yr Lagged Norms'!F286</f>
        <v>2.4</v>
      </c>
      <c r="M336" s="630">
        <f>'[10]10yr Lagged Norms'!G286</f>
        <v>4.9000000000000004</v>
      </c>
      <c r="N336" s="630">
        <f>'[10]10yr Lagged Norms'!H286</f>
        <v>2.8</v>
      </c>
      <c r="O336" s="630">
        <f>'[10]10yr Lagged Norms'!I286</f>
        <v>3.6</v>
      </c>
      <c r="P336" s="707">
        <f t="shared" si="35"/>
        <v>3</v>
      </c>
    </row>
    <row r="337" spans="2:16" x14ac:dyDescent="0.2">
      <c r="B337" s="708">
        <f t="shared" si="37"/>
        <v>42128</v>
      </c>
      <c r="C337" s="634">
        <f>'[10]Lagged.Calendar HDDs'!E272</f>
        <v>0</v>
      </c>
      <c r="D337" s="634">
        <f>'[10]Lagged.Calendar HDDs'!F272</f>
        <v>0</v>
      </c>
      <c r="E337" s="634">
        <f>'[10]Lagged.Calendar HDDs'!G272</f>
        <v>0</v>
      </c>
      <c r="F337" s="634">
        <f>'[10]Lagged.Calendar HDDs'!H272</f>
        <v>0</v>
      </c>
      <c r="G337" s="634">
        <f>'[10]Lagged.Calendar HDDs'!I272</f>
        <v>0</v>
      </c>
      <c r="H337" s="706">
        <f t="shared" si="34"/>
        <v>0</v>
      </c>
      <c r="J337" s="699">
        <f t="shared" si="36"/>
        <v>42128</v>
      </c>
      <c r="K337" s="630">
        <f>'[10]10yr Lagged Norms'!E287</f>
        <v>4.7</v>
      </c>
      <c r="L337" s="630">
        <f>'[10]10yr Lagged Norms'!F287</f>
        <v>4.4000000000000004</v>
      </c>
      <c r="M337" s="630">
        <f>'[10]10yr Lagged Norms'!G287</f>
        <v>4.2</v>
      </c>
      <c r="N337" s="630">
        <f>'[10]10yr Lagged Norms'!H287</f>
        <v>3.4</v>
      </c>
      <c r="O337" s="630">
        <f>'[10]10yr Lagged Norms'!I287</f>
        <v>4.5</v>
      </c>
      <c r="P337" s="707">
        <f t="shared" si="35"/>
        <v>4</v>
      </c>
    </row>
    <row r="338" spans="2:16" x14ac:dyDescent="0.2">
      <c r="B338" s="708">
        <f t="shared" si="37"/>
        <v>42129</v>
      </c>
      <c r="C338" s="634">
        <f>'[10]Lagged.Calendar HDDs'!E273</f>
        <v>0</v>
      </c>
      <c r="D338" s="634">
        <f>'[10]Lagged.Calendar HDDs'!F273</f>
        <v>0</v>
      </c>
      <c r="E338" s="634">
        <f>'[10]Lagged.Calendar HDDs'!G273</f>
        <v>0</v>
      </c>
      <c r="F338" s="634">
        <f>'[10]Lagged.Calendar HDDs'!H273</f>
        <v>0</v>
      </c>
      <c r="G338" s="634">
        <f>'[10]Lagged.Calendar HDDs'!I273</f>
        <v>0</v>
      </c>
      <c r="H338" s="706">
        <f t="shared" si="34"/>
        <v>0</v>
      </c>
      <c r="J338" s="699">
        <f t="shared" si="36"/>
        <v>42129</v>
      </c>
      <c r="K338" s="630">
        <f>'[10]10yr Lagged Norms'!E288</f>
        <v>3.4</v>
      </c>
      <c r="L338" s="630">
        <f>'[10]10yr Lagged Norms'!F288</f>
        <v>2.7</v>
      </c>
      <c r="M338" s="630">
        <f>'[10]10yr Lagged Norms'!G288</f>
        <v>4.4000000000000004</v>
      </c>
      <c r="N338" s="630">
        <f>'[10]10yr Lagged Norms'!H288</f>
        <v>2.6</v>
      </c>
      <c r="O338" s="630">
        <f>'[10]10yr Lagged Norms'!I288</f>
        <v>3.5</v>
      </c>
      <c r="P338" s="707">
        <f t="shared" si="35"/>
        <v>3</v>
      </c>
    </row>
    <row r="339" spans="2:16" x14ac:dyDescent="0.2">
      <c r="B339" s="708">
        <f t="shared" si="37"/>
        <v>42130</v>
      </c>
      <c r="C339" s="634">
        <f>'[10]Lagged.Calendar HDDs'!E274</f>
        <v>0</v>
      </c>
      <c r="D339" s="634">
        <f>'[10]Lagged.Calendar HDDs'!F274</f>
        <v>0</v>
      </c>
      <c r="E339" s="634">
        <f>'[10]Lagged.Calendar HDDs'!G274</f>
        <v>0</v>
      </c>
      <c r="F339" s="634">
        <f>'[10]Lagged.Calendar HDDs'!H274</f>
        <v>0</v>
      </c>
      <c r="G339" s="634">
        <f>'[10]Lagged.Calendar HDDs'!I274</f>
        <v>0</v>
      </c>
      <c r="H339" s="706">
        <f t="shared" si="34"/>
        <v>0</v>
      </c>
      <c r="J339" s="699">
        <f t="shared" si="36"/>
        <v>42130</v>
      </c>
      <c r="K339" s="630">
        <f>'[10]10yr Lagged Norms'!E289</f>
        <v>1.9</v>
      </c>
      <c r="L339" s="630">
        <f>'[10]10yr Lagged Norms'!F289</f>
        <v>1.9</v>
      </c>
      <c r="M339" s="630">
        <f>'[10]10yr Lagged Norms'!G289</f>
        <v>3.4</v>
      </c>
      <c r="N339" s="630">
        <f>'[10]10yr Lagged Norms'!H289</f>
        <v>1.4</v>
      </c>
      <c r="O339" s="630">
        <f>'[10]10yr Lagged Norms'!I289</f>
        <v>1.6</v>
      </c>
      <c r="P339" s="707">
        <f t="shared" si="35"/>
        <v>2</v>
      </c>
    </row>
    <row r="340" spans="2:16" x14ac:dyDescent="0.2">
      <c r="B340" s="708">
        <f t="shared" si="37"/>
        <v>42131</v>
      </c>
      <c r="C340" s="634">
        <f>'[10]Lagged.Calendar HDDs'!E275</f>
        <v>0</v>
      </c>
      <c r="D340" s="634">
        <f>'[10]Lagged.Calendar HDDs'!F275</f>
        <v>0</v>
      </c>
      <c r="E340" s="634">
        <f>'[10]Lagged.Calendar HDDs'!G275</f>
        <v>0</v>
      </c>
      <c r="F340" s="634">
        <f>'[10]Lagged.Calendar HDDs'!H275</f>
        <v>0</v>
      </c>
      <c r="G340" s="634">
        <f>'[10]Lagged.Calendar HDDs'!I275</f>
        <v>0</v>
      </c>
      <c r="H340" s="706">
        <f t="shared" si="34"/>
        <v>0</v>
      </c>
      <c r="J340" s="699">
        <f t="shared" si="36"/>
        <v>42131</v>
      </c>
      <c r="K340" s="630">
        <f>'[10]10yr Lagged Norms'!E290</f>
        <v>0.8</v>
      </c>
      <c r="L340" s="630">
        <f>'[10]10yr Lagged Norms'!F290</f>
        <v>1.6</v>
      </c>
      <c r="M340" s="630">
        <f>'[10]10yr Lagged Norms'!G290</f>
        <v>2.6</v>
      </c>
      <c r="N340" s="630">
        <f>'[10]10yr Lagged Norms'!H290</f>
        <v>0.7</v>
      </c>
      <c r="O340" s="630">
        <f>'[10]10yr Lagged Norms'!I290</f>
        <v>1.2</v>
      </c>
      <c r="P340" s="707">
        <f t="shared" si="35"/>
        <v>1</v>
      </c>
    </row>
    <row r="341" spans="2:16" x14ac:dyDescent="0.2">
      <c r="B341" s="708">
        <f t="shared" si="37"/>
        <v>42132</v>
      </c>
      <c r="C341" s="634">
        <f>'[10]Lagged.Calendar HDDs'!E276</f>
        <v>0</v>
      </c>
      <c r="D341" s="634">
        <f>'[10]Lagged.Calendar HDDs'!F276</f>
        <v>0</v>
      </c>
      <c r="E341" s="634">
        <f>'[10]Lagged.Calendar HDDs'!G276</f>
        <v>0</v>
      </c>
      <c r="F341" s="634">
        <f>'[10]Lagged.Calendar HDDs'!H276</f>
        <v>0</v>
      </c>
      <c r="G341" s="634">
        <f>'[10]Lagged.Calendar HDDs'!I276</f>
        <v>0</v>
      </c>
      <c r="H341" s="706">
        <f t="shared" si="34"/>
        <v>0</v>
      </c>
      <c r="J341" s="699">
        <f t="shared" si="36"/>
        <v>42132</v>
      </c>
      <c r="K341" s="630">
        <f>'[10]10yr Lagged Norms'!E291</f>
        <v>2</v>
      </c>
      <c r="L341" s="630">
        <f>'[10]10yr Lagged Norms'!F291</f>
        <v>0.9</v>
      </c>
      <c r="M341" s="630">
        <f>'[10]10yr Lagged Norms'!G291</f>
        <v>2.1</v>
      </c>
      <c r="N341" s="630">
        <f>'[10]10yr Lagged Norms'!H291</f>
        <v>1.6</v>
      </c>
      <c r="O341" s="630">
        <f>'[10]10yr Lagged Norms'!I291</f>
        <v>1.4</v>
      </c>
      <c r="P341" s="707">
        <f t="shared" si="35"/>
        <v>2</v>
      </c>
    </row>
    <row r="342" spans="2:16" x14ac:dyDescent="0.2">
      <c r="B342" s="708">
        <f t="shared" si="37"/>
        <v>42133</v>
      </c>
      <c r="C342" s="634">
        <f>'[10]Lagged.Calendar HDDs'!E277</f>
        <v>0</v>
      </c>
      <c r="D342" s="634">
        <f>'[10]Lagged.Calendar HDDs'!F277</f>
        <v>0</v>
      </c>
      <c r="E342" s="634">
        <f>'[10]Lagged.Calendar HDDs'!G277</f>
        <v>0</v>
      </c>
      <c r="F342" s="634">
        <f>'[10]Lagged.Calendar HDDs'!H277</f>
        <v>0</v>
      </c>
      <c r="G342" s="634">
        <f>'[10]Lagged.Calendar HDDs'!I277</f>
        <v>0</v>
      </c>
      <c r="H342" s="706">
        <f t="shared" si="34"/>
        <v>0</v>
      </c>
      <c r="J342" s="699">
        <f t="shared" si="36"/>
        <v>42133</v>
      </c>
      <c r="K342" s="630">
        <f>'[10]10yr Lagged Norms'!E292</f>
        <v>3.2</v>
      </c>
      <c r="L342" s="630">
        <f>'[10]10yr Lagged Norms'!F292</f>
        <v>1.3</v>
      </c>
      <c r="M342" s="630">
        <f>'[10]10yr Lagged Norms'!G292</f>
        <v>2.8</v>
      </c>
      <c r="N342" s="630">
        <f>'[10]10yr Lagged Norms'!H292</f>
        <v>1.7</v>
      </c>
      <c r="O342" s="630">
        <f>'[10]10yr Lagged Norms'!I292</f>
        <v>1.7</v>
      </c>
      <c r="P342" s="707">
        <f t="shared" si="35"/>
        <v>2</v>
      </c>
    </row>
    <row r="343" spans="2:16" x14ac:dyDescent="0.2">
      <c r="B343" s="708">
        <f t="shared" si="37"/>
        <v>42134</v>
      </c>
      <c r="C343" s="634">
        <f>'[10]Lagged.Calendar HDDs'!E278</f>
        <v>0</v>
      </c>
      <c r="D343" s="634">
        <f>'[10]Lagged.Calendar HDDs'!F278</f>
        <v>0</v>
      </c>
      <c r="E343" s="634">
        <f>'[10]Lagged.Calendar HDDs'!G278</f>
        <v>0</v>
      </c>
      <c r="F343" s="634">
        <f>'[10]Lagged.Calendar HDDs'!H278</f>
        <v>0</v>
      </c>
      <c r="G343" s="634">
        <f>'[10]Lagged.Calendar HDDs'!I278</f>
        <v>0</v>
      </c>
      <c r="H343" s="706">
        <f t="shared" si="34"/>
        <v>0</v>
      </c>
      <c r="J343" s="699">
        <f t="shared" si="36"/>
        <v>42134</v>
      </c>
      <c r="K343" s="630">
        <f>'[10]10yr Lagged Norms'!E293</f>
        <v>2.8</v>
      </c>
      <c r="L343" s="630">
        <f>'[10]10yr Lagged Norms'!F293</f>
        <v>1.9</v>
      </c>
      <c r="M343" s="630">
        <f>'[10]10yr Lagged Norms'!G293</f>
        <v>3.7</v>
      </c>
      <c r="N343" s="630">
        <f>'[10]10yr Lagged Norms'!H293</f>
        <v>1.9</v>
      </c>
      <c r="O343" s="630">
        <f>'[10]10yr Lagged Norms'!I293</f>
        <v>2.2000000000000002</v>
      </c>
      <c r="P343" s="707">
        <f t="shared" si="35"/>
        <v>2</v>
      </c>
    </row>
    <row r="344" spans="2:16" x14ac:dyDescent="0.2">
      <c r="B344" s="708">
        <f t="shared" si="37"/>
        <v>42135</v>
      </c>
      <c r="C344" s="634">
        <f>'[10]Lagged.Calendar HDDs'!E279</f>
        <v>0</v>
      </c>
      <c r="D344" s="634">
        <f>'[10]Lagged.Calendar HDDs'!F279</f>
        <v>0</v>
      </c>
      <c r="E344" s="634">
        <f>'[10]Lagged.Calendar HDDs'!G279</f>
        <v>0</v>
      </c>
      <c r="F344" s="634">
        <f>'[10]Lagged.Calendar HDDs'!H279</f>
        <v>0</v>
      </c>
      <c r="G344" s="634">
        <f>'[10]Lagged.Calendar HDDs'!I279</f>
        <v>0</v>
      </c>
      <c r="H344" s="706">
        <f t="shared" si="34"/>
        <v>0</v>
      </c>
      <c r="J344" s="699">
        <f t="shared" si="36"/>
        <v>42135</v>
      </c>
      <c r="K344" s="630">
        <f>'[10]10yr Lagged Norms'!E294</f>
        <v>2.7</v>
      </c>
      <c r="L344" s="630">
        <f>'[10]10yr Lagged Norms'!F294</f>
        <v>1.9</v>
      </c>
      <c r="M344" s="630">
        <f>'[10]10yr Lagged Norms'!G294</f>
        <v>3.9</v>
      </c>
      <c r="N344" s="630">
        <f>'[10]10yr Lagged Norms'!H294</f>
        <v>2.4</v>
      </c>
      <c r="O344" s="630">
        <f>'[10]10yr Lagged Norms'!I294</f>
        <v>2.4</v>
      </c>
      <c r="P344" s="707">
        <f t="shared" si="35"/>
        <v>3</v>
      </c>
    </row>
    <row r="345" spans="2:16" x14ac:dyDescent="0.2">
      <c r="B345" s="708">
        <f t="shared" si="37"/>
        <v>42136</v>
      </c>
      <c r="C345" s="634">
        <f>'[10]Lagged.Calendar HDDs'!E280</f>
        <v>4</v>
      </c>
      <c r="D345" s="634">
        <f>'[10]Lagged.Calendar HDDs'!F280</f>
        <v>0</v>
      </c>
      <c r="E345" s="634">
        <f>'[10]Lagged.Calendar HDDs'!G280</f>
        <v>2</v>
      </c>
      <c r="F345" s="634">
        <f>'[10]Lagged.Calendar HDDs'!H280</f>
        <v>0</v>
      </c>
      <c r="G345" s="634">
        <f>'[10]Lagged.Calendar HDDs'!I280</f>
        <v>5</v>
      </c>
      <c r="H345" s="706">
        <f t="shared" si="34"/>
        <v>3</v>
      </c>
      <c r="J345" s="699">
        <f t="shared" si="36"/>
        <v>42136</v>
      </c>
      <c r="K345" s="630">
        <f>'[10]10yr Lagged Norms'!E295</f>
        <v>4.2</v>
      </c>
      <c r="L345" s="630">
        <f>'[10]10yr Lagged Norms'!F295</f>
        <v>2.5</v>
      </c>
      <c r="M345" s="630">
        <f>'[10]10yr Lagged Norms'!G295</f>
        <v>4.8</v>
      </c>
      <c r="N345" s="630">
        <f>'[10]10yr Lagged Norms'!H295</f>
        <v>3.3</v>
      </c>
      <c r="O345" s="630">
        <f>'[10]10yr Lagged Norms'!I295</f>
        <v>3.4</v>
      </c>
      <c r="P345" s="707">
        <f t="shared" si="35"/>
        <v>4</v>
      </c>
    </row>
    <row r="346" spans="2:16" x14ac:dyDescent="0.2">
      <c r="B346" s="708">
        <f t="shared" si="37"/>
        <v>42137</v>
      </c>
      <c r="C346" s="634">
        <f>'[10]Lagged.Calendar HDDs'!E281</f>
        <v>5</v>
      </c>
      <c r="D346" s="634">
        <f>'[10]Lagged.Calendar HDDs'!F281</f>
        <v>0</v>
      </c>
      <c r="E346" s="634">
        <f>'[10]Lagged.Calendar HDDs'!G281</f>
        <v>7</v>
      </c>
      <c r="F346" s="634">
        <f>'[10]Lagged.Calendar HDDs'!H281</f>
        <v>3</v>
      </c>
      <c r="G346" s="634">
        <f>'[10]Lagged.Calendar HDDs'!I281</f>
        <v>3</v>
      </c>
      <c r="H346" s="706">
        <f t="shared" si="34"/>
        <v>3</v>
      </c>
      <c r="J346" s="699">
        <f t="shared" si="36"/>
        <v>42137</v>
      </c>
      <c r="K346" s="630">
        <f>'[10]10yr Lagged Norms'!E296</f>
        <v>3.2</v>
      </c>
      <c r="L346" s="630">
        <f>'[10]10yr Lagged Norms'!F296</f>
        <v>1.8</v>
      </c>
      <c r="M346" s="630">
        <f>'[10]10yr Lagged Norms'!G296</f>
        <v>4.4000000000000004</v>
      </c>
      <c r="N346" s="630">
        <f>'[10]10yr Lagged Norms'!H296</f>
        <v>2.8</v>
      </c>
      <c r="O346" s="630">
        <f>'[10]10yr Lagged Norms'!I296</f>
        <v>2.2999999999999998</v>
      </c>
      <c r="P346" s="707">
        <f t="shared" si="35"/>
        <v>3</v>
      </c>
    </row>
    <row r="347" spans="2:16" x14ac:dyDescent="0.2">
      <c r="B347" s="708">
        <f t="shared" si="37"/>
        <v>42138</v>
      </c>
      <c r="C347" s="634">
        <f>'[10]Lagged.Calendar HDDs'!E282</f>
        <v>1</v>
      </c>
      <c r="D347" s="634">
        <f>'[10]Lagged.Calendar HDDs'!F282</f>
        <v>0</v>
      </c>
      <c r="E347" s="634">
        <f>'[10]Lagged.Calendar HDDs'!G282</f>
        <v>3</v>
      </c>
      <c r="F347" s="634">
        <f>'[10]Lagged.Calendar HDDs'!H282</f>
        <v>0</v>
      </c>
      <c r="G347" s="634">
        <f>'[10]Lagged.Calendar HDDs'!I282</f>
        <v>0</v>
      </c>
      <c r="H347" s="706">
        <f t="shared" si="34"/>
        <v>1</v>
      </c>
      <c r="J347" s="699">
        <f t="shared" si="36"/>
        <v>42138</v>
      </c>
      <c r="K347" s="630">
        <f>'[10]10yr Lagged Norms'!E297</f>
        <v>3.4</v>
      </c>
      <c r="L347" s="630">
        <f>'[10]10yr Lagged Norms'!F297</f>
        <v>1.9</v>
      </c>
      <c r="M347" s="630">
        <f>'[10]10yr Lagged Norms'!G297</f>
        <v>3.2</v>
      </c>
      <c r="N347" s="630">
        <f>'[10]10yr Lagged Norms'!H297</f>
        <v>1.5</v>
      </c>
      <c r="O347" s="630">
        <f>'[10]10yr Lagged Norms'!I297</f>
        <v>2.7</v>
      </c>
      <c r="P347" s="707">
        <f t="shared" si="35"/>
        <v>3</v>
      </c>
    </row>
    <row r="348" spans="2:16" x14ac:dyDescent="0.2">
      <c r="B348" s="708">
        <f t="shared" si="37"/>
        <v>42139</v>
      </c>
      <c r="C348" s="634">
        <f>'[10]Lagged.Calendar HDDs'!E283</f>
        <v>0</v>
      </c>
      <c r="D348" s="634">
        <f>'[10]Lagged.Calendar HDDs'!F283</f>
        <v>0</v>
      </c>
      <c r="E348" s="634">
        <f>'[10]Lagged.Calendar HDDs'!G283</f>
        <v>0</v>
      </c>
      <c r="F348" s="634">
        <f>'[10]Lagged.Calendar HDDs'!H283</f>
        <v>0</v>
      </c>
      <c r="G348" s="634">
        <f>'[10]Lagged.Calendar HDDs'!I283</f>
        <v>0</v>
      </c>
      <c r="H348" s="706">
        <f t="shared" si="34"/>
        <v>0</v>
      </c>
      <c r="J348" s="699">
        <f t="shared" si="36"/>
        <v>42139</v>
      </c>
      <c r="K348" s="630">
        <f>'[10]10yr Lagged Norms'!E298</f>
        <v>4.5999999999999996</v>
      </c>
      <c r="L348" s="630">
        <f>'[10]10yr Lagged Norms'!F298</f>
        <v>3</v>
      </c>
      <c r="M348" s="630">
        <f>'[10]10yr Lagged Norms'!G298</f>
        <v>4</v>
      </c>
      <c r="N348" s="630">
        <f>'[10]10yr Lagged Norms'!H298</f>
        <v>3.3</v>
      </c>
      <c r="O348" s="630">
        <f>'[10]10yr Lagged Norms'!I298</f>
        <v>3</v>
      </c>
      <c r="P348" s="707">
        <f t="shared" si="35"/>
        <v>4</v>
      </c>
    </row>
    <row r="349" spans="2:16" x14ac:dyDescent="0.2">
      <c r="B349" s="708">
        <f t="shared" si="37"/>
        <v>42140</v>
      </c>
      <c r="C349" s="634">
        <f>'[10]Lagged.Calendar HDDs'!E284</f>
        <v>0</v>
      </c>
      <c r="D349" s="634">
        <f>'[10]Lagged.Calendar HDDs'!F284</f>
        <v>0</v>
      </c>
      <c r="E349" s="634">
        <f>'[10]Lagged.Calendar HDDs'!G284</f>
        <v>0</v>
      </c>
      <c r="F349" s="634">
        <f>'[10]Lagged.Calendar HDDs'!H284</f>
        <v>0</v>
      </c>
      <c r="G349" s="634">
        <f>'[10]Lagged.Calendar HDDs'!I284</f>
        <v>0</v>
      </c>
      <c r="H349" s="706">
        <f t="shared" si="34"/>
        <v>0</v>
      </c>
      <c r="J349" s="699">
        <f t="shared" si="36"/>
        <v>42140</v>
      </c>
      <c r="K349" s="630">
        <f>'[10]10yr Lagged Norms'!E299</f>
        <v>4.0999999999999996</v>
      </c>
      <c r="L349" s="630">
        <f>'[10]10yr Lagged Norms'!F299</f>
        <v>3.6</v>
      </c>
      <c r="M349" s="630">
        <f>'[10]10yr Lagged Norms'!G299</f>
        <v>6.1</v>
      </c>
      <c r="N349" s="630">
        <f>'[10]10yr Lagged Norms'!H299</f>
        <v>3.6</v>
      </c>
      <c r="O349" s="630">
        <f>'[10]10yr Lagged Norms'!I299</f>
        <v>3.2</v>
      </c>
      <c r="P349" s="707">
        <f t="shared" si="35"/>
        <v>4</v>
      </c>
    </row>
    <row r="350" spans="2:16" x14ac:dyDescent="0.2">
      <c r="B350" s="708">
        <f t="shared" si="37"/>
        <v>42141</v>
      </c>
      <c r="C350" s="634">
        <f>'[10]Lagged.Calendar HDDs'!E285</f>
        <v>0</v>
      </c>
      <c r="D350" s="634">
        <f>'[10]Lagged.Calendar HDDs'!F285</f>
        <v>0</v>
      </c>
      <c r="E350" s="634">
        <f>'[10]Lagged.Calendar HDDs'!G285</f>
        <v>0</v>
      </c>
      <c r="F350" s="634">
        <f>'[10]Lagged.Calendar HDDs'!H285</f>
        <v>0</v>
      </c>
      <c r="G350" s="634">
        <f>'[10]Lagged.Calendar HDDs'!I285</f>
        <v>0</v>
      </c>
      <c r="H350" s="706">
        <f t="shared" si="34"/>
        <v>0</v>
      </c>
      <c r="J350" s="699">
        <f t="shared" si="36"/>
        <v>42141</v>
      </c>
      <c r="K350" s="630">
        <f>'[10]10yr Lagged Norms'!E300</f>
        <v>4.5</v>
      </c>
      <c r="L350" s="630">
        <f>'[10]10yr Lagged Norms'!F300</f>
        <v>3.9</v>
      </c>
      <c r="M350" s="630">
        <f>'[10]10yr Lagged Norms'!G300</f>
        <v>6.6</v>
      </c>
      <c r="N350" s="630">
        <f>'[10]10yr Lagged Norms'!H300</f>
        <v>4.4000000000000004</v>
      </c>
      <c r="O350" s="630">
        <f>'[10]10yr Lagged Norms'!I300</f>
        <v>3.1</v>
      </c>
      <c r="P350" s="707">
        <f t="shared" si="35"/>
        <v>4</v>
      </c>
    </row>
    <row r="351" spans="2:16" x14ac:dyDescent="0.2">
      <c r="B351" s="708">
        <f t="shared" si="37"/>
        <v>42142</v>
      </c>
      <c r="C351" s="634">
        <f>'[10]Lagged.Calendar HDDs'!E286</f>
        <v>0</v>
      </c>
      <c r="D351" s="634">
        <f>'[10]Lagged.Calendar HDDs'!F286</f>
        <v>0</v>
      </c>
      <c r="E351" s="634">
        <f>'[10]Lagged.Calendar HDDs'!G286</f>
        <v>0</v>
      </c>
      <c r="F351" s="634">
        <f>'[10]Lagged.Calendar HDDs'!H286</f>
        <v>0</v>
      </c>
      <c r="G351" s="634">
        <f>'[10]Lagged.Calendar HDDs'!I286</f>
        <v>0</v>
      </c>
      <c r="H351" s="706">
        <f t="shared" si="34"/>
        <v>0</v>
      </c>
      <c r="J351" s="699">
        <f t="shared" si="36"/>
        <v>42142</v>
      </c>
      <c r="K351" s="630">
        <f>'[10]10yr Lagged Norms'!E301</f>
        <v>4.4000000000000004</v>
      </c>
      <c r="L351" s="630">
        <f>'[10]10yr Lagged Norms'!F301</f>
        <v>3.2</v>
      </c>
      <c r="M351" s="630">
        <f>'[10]10yr Lagged Norms'!G301</f>
        <v>7.2</v>
      </c>
      <c r="N351" s="630">
        <f>'[10]10yr Lagged Norms'!H301</f>
        <v>4.4000000000000004</v>
      </c>
      <c r="O351" s="630">
        <f>'[10]10yr Lagged Norms'!I301</f>
        <v>3.4</v>
      </c>
      <c r="P351" s="707">
        <f t="shared" si="35"/>
        <v>4</v>
      </c>
    </row>
    <row r="352" spans="2:16" x14ac:dyDescent="0.2">
      <c r="B352" s="708">
        <f t="shared" si="37"/>
        <v>42143</v>
      </c>
      <c r="C352" s="634">
        <f>'[10]Lagged.Calendar HDDs'!E287</f>
        <v>3</v>
      </c>
      <c r="D352" s="634">
        <f>'[10]Lagged.Calendar HDDs'!F287</f>
        <v>0</v>
      </c>
      <c r="E352" s="634">
        <f>'[10]Lagged.Calendar HDDs'!G287</f>
        <v>0</v>
      </c>
      <c r="F352" s="634">
        <f>'[10]Lagged.Calendar HDDs'!H287</f>
        <v>0</v>
      </c>
      <c r="G352" s="634">
        <f>'[10]Lagged.Calendar HDDs'!I287</f>
        <v>0</v>
      </c>
      <c r="H352" s="706">
        <f t="shared" si="34"/>
        <v>1</v>
      </c>
      <c r="J352" s="699">
        <f t="shared" si="36"/>
        <v>42143</v>
      </c>
      <c r="K352" s="630">
        <f>'[10]10yr Lagged Norms'!E302</f>
        <v>3.9</v>
      </c>
      <c r="L352" s="630">
        <f>'[10]10yr Lagged Norms'!F302</f>
        <v>1.7</v>
      </c>
      <c r="M352" s="630">
        <f>'[10]10yr Lagged Norms'!G302</f>
        <v>5.3</v>
      </c>
      <c r="N352" s="630">
        <f>'[10]10yr Lagged Norms'!H302</f>
        <v>2.5</v>
      </c>
      <c r="O352" s="630">
        <f>'[10]10yr Lagged Norms'!I302</f>
        <v>1.4</v>
      </c>
      <c r="P352" s="707">
        <f t="shared" si="35"/>
        <v>3</v>
      </c>
    </row>
    <row r="353" spans="2:16" x14ac:dyDescent="0.2">
      <c r="B353" s="708">
        <f t="shared" si="37"/>
        <v>42144</v>
      </c>
      <c r="C353" s="634">
        <f>'[10]Lagged.Calendar HDDs'!E288</f>
        <v>10</v>
      </c>
      <c r="D353" s="634">
        <f>'[10]Lagged.Calendar HDDs'!F288</f>
        <v>0</v>
      </c>
      <c r="E353" s="634">
        <f>'[10]Lagged.Calendar HDDs'!G288</f>
        <v>7</v>
      </c>
      <c r="F353" s="634">
        <f>'[10]Lagged.Calendar HDDs'!H288</f>
        <v>5</v>
      </c>
      <c r="G353" s="634">
        <f>'[10]Lagged.Calendar HDDs'!I288</f>
        <v>10</v>
      </c>
      <c r="H353" s="706">
        <f t="shared" si="34"/>
        <v>7</v>
      </c>
      <c r="J353" s="699">
        <f t="shared" si="36"/>
        <v>42144</v>
      </c>
      <c r="K353" s="630">
        <f>'[10]10yr Lagged Norms'!E303</f>
        <v>2.2000000000000002</v>
      </c>
      <c r="L353" s="630">
        <f>'[10]10yr Lagged Norms'!F303</f>
        <v>0.2</v>
      </c>
      <c r="M353" s="630">
        <f>'[10]10yr Lagged Norms'!G303</f>
        <v>2.9</v>
      </c>
      <c r="N353" s="630">
        <f>'[10]10yr Lagged Norms'!H303</f>
        <v>1.3</v>
      </c>
      <c r="O353" s="630">
        <f>'[10]10yr Lagged Norms'!I303</f>
        <v>1.4</v>
      </c>
      <c r="P353" s="707">
        <f t="shared" si="35"/>
        <v>2</v>
      </c>
    </row>
    <row r="354" spans="2:16" x14ac:dyDescent="0.2">
      <c r="B354" s="708">
        <f t="shared" si="37"/>
        <v>42145</v>
      </c>
      <c r="C354" s="634">
        <f>'[10]Lagged.Calendar HDDs'!E289</f>
        <v>12</v>
      </c>
      <c r="D354" s="634">
        <f>'[10]Lagged.Calendar HDDs'!F289</f>
        <v>10</v>
      </c>
      <c r="E354" s="634">
        <f>'[10]Lagged.Calendar HDDs'!G289</f>
        <v>14</v>
      </c>
      <c r="F354" s="634">
        <f>'[10]Lagged.Calendar HDDs'!H289</f>
        <v>8</v>
      </c>
      <c r="G354" s="634">
        <f>'[10]Lagged.Calendar HDDs'!I289</f>
        <v>11</v>
      </c>
      <c r="H354" s="706">
        <f t="shared" si="34"/>
        <v>11</v>
      </c>
      <c r="J354" s="699">
        <f t="shared" si="36"/>
        <v>42145</v>
      </c>
      <c r="K354" s="630">
        <f>'[10]10yr Lagged Norms'!E304</f>
        <v>1.7</v>
      </c>
      <c r="L354" s="630">
        <f>'[10]10yr Lagged Norms'!F304</f>
        <v>1</v>
      </c>
      <c r="M354" s="630">
        <f>'[10]10yr Lagged Norms'!G304</f>
        <v>2.5</v>
      </c>
      <c r="N354" s="630">
        <f>'[10]10yr Lagged Norms'!H304</f>
        <v>1.2</v>
      </c>
      <c r="O354" s="630">
        <f>'[10]10yr Lagged Norms'!I304</f>
        <v>1.4</v>
      </c>
      <c r="P354" s="707">
        <f t="shared" si="35"/>
        <v>2</v>
      </c>
    </row>
    <row r="355" spans="2:16" x14ac:dyDescent="0.2">
      <c r="B355" s="708">
        <f t="shared" si="37"/>
        <v>42146</v>
      </c>
      <c r="C355" s="634">
        <f>'[10]Lagged.Calendar HDDs'!E290</f>
        <v>5</v>
      </c>
      <c r="D355" s="634">
        <f>'[10]Lagged.Calendar HDDs'!F290</f>
        <v>5</v>
      </c>
      <c r="E355" s="634">
        <f>'[10]Lagged.Calendar HDDs'!G290</f>
        <v>7</v>
      </c>
      <c r="F355" s="634">
        <f>'[10]Lagged.Calendar HDDs'!H290</f>
        <v>2</v>
      </c>
      <c r="G355" s="634">
        <f>'[10]Lagged.Calendar HDDs'!I290</f>
        <v>6</v>
      </c>
      <c r="H355" s="706">
        <f t="shared" si="34"/>
        <v>6</v>
      </c>
      <c r="J355" s="699">
        <f t="shared" si="36"/>
        <v>42146</v>
      </c>
      <c r="K355" s="630">
        <f>'[10]10yr Lagged Norms'!E305</f>
        <v>1.4</v>
      </c>
      <c r="L355" s="630">
        <f>'[10]10yr Lagged Norms'!F305</f>
        <v>0.5</v>
      </c>
      <c r="M355" s="630">
        <f>'[10]10yr Lagged Norms'!G305</f>
        <v>2</v>
      </c>
      <c r="N355" s="630">
        <f>'[10]10yr Lagged Norms'!H305</f>
        <v>0.7</v>
      </c>
      <c r="O355" s="630">
        <f>'[10]10yr Lagged Norms'!I305</f>
        <v>0.7</v>
      </c>
      <c r="P355" s="707">
        <f t="shared" si="35"/>
        <v>1</v>
      </c>
    </row>
    <row r="356" spans="2:16" x14ac:dyDescent="0.2">
      <c r="B356" s="708">
        <f t="shared" si="37"/>
        <v>42147</v>
      </c>
      <c r="C356" s="634">
        <f>'[10]Lagged.Calendar HDDs'!E291</f>
        <v>0</v>
      </c>
      <c r="D356" s="634">
        <f>'[10]Lagged.Calendar HDDs'!F291</f>
        <v>0</v>
      </c>
      <c r="E356" s="634">
        <f>'[10]Lagged.Calendar HDDs'!G291</f>
        <v>1</v>
      </c>
      <c r="F356" s="634">
        <f>'[10]Lagged.Calendar HDDs'!H291</f>
        <v>0</v>
      </c>
      <c r="G356" s="634">
        <f>'[10]Lagged.Calendar HDDs'!I291</f>
        <v>0</v>
      </c>
      <c r="H356" s="706">
        <f t="shared" si="34"/>
        <v>0</v>
      </c>
      <c r="J356" s="699">
        <f t="shared" si="36"/>
        <v>42147</v>
      </c>
      <c r="K356" s="630">
        <f>'[10]10yr Lagged Norms'!E306</f>
        <v>0.7</v>
      </c>
      <c r="L356" s="630">
        <f>'[10]10yr Lagged Norms'!F306</f>
        <v>0</v>
      </c>
      <c r="M356" s="630">
        <f>'[10]10yr Lagged Norms'!G306</f>
        <v>1</v>
      </c>
      <c r="N356" s="630">
        <f>'[10]10yr Lagged Norms'!H306</f>
        <v>0.5</v>
      </c>
      <c r="O356" s="630">
        <f>'[10]10yr Lagged Norms'!I306</f>
        <v>0</v>
      </c>
      <c r="P356" s="707">
        <f t="shared" si="35"/>
        <v>0</v>
      </c>
    </row>
    <row r="357" spans="2:16" x14ac:dyDescent="0.2">
      <c r="B357" s="708">
        <f t="shared" si="37"/>
        <v>42148</v>
      </c>
      <c r="C357" s="634">
        <f>'[10]Lagged.Calendar HDDs'!E292</f>
        <v>0</v>
      </c>
      <c r="D357" s="634">
        <f>'[10]Lagged.Calendar HDDs'!F292</f>
        <v>0</v>
      </c>
      <c r="E357" s="634">
        <f>'[10]Lagged.Calendar HDDs'!G292</f>
        <v>0</v>
      </c>
      <c r="F357" s="634">
        <f>'[10]Lagged.Calendar HDDs'!H292</f>
        <v>0</v>
      </c>
      <c r="G357" s="634">
        <f>'[10]Lagged.Calendar HDDs'!I292</f>
        <v>0</v>
      </c>
      <c r="H357" s="706">
        <f t="shared" si="34"/>
        <v>0</v>
      </c>
      <c r="J357" s="699">
        <f t="shared" si="36"/>
        <v>42148</v>
      </c>
      <c r="K357" s="630">
        <f>'[10]10yr Lagged Norms'!E307</f>
        <v>0.8</v>
      </c>
      <c r="L357" s="630">
        <f>'[10]10yr Lagged Norms'!F307</f>
        <v>0.2</v>
      </c>
      <c r="M357" s="630">
        <f>'[10]10yr Lagged Norms'!G307</f>
        <v>1.2</v>
      </c>
      <c r="N357" s="630">
        <f>'[10]10yr Lagged Norms'!H307</f>
        <v>0.4</v>
      </c>
      <c r="O357" s="630">
        <f>'[10]10yr Lagged Norms'!I307</f>
        <v>0.5</v>
      </c>
      <c r="P357" s="707">
        <f t="shared" si="35"/>
        <v>1</v>
      </c>
    </row>
    <row r="358" spans="2:16" x14ac:dyDescent="0.2">
      <c r="B358" s="708">
        <f t="shared" si="37"/>
        <v>42149</v>
      </c>
      <c r="C358" s="634">
        <f>'[10]Lagged.Calendar HDDs'!E293</f>
        <v>0</v>
      </c>
      <c r="D358" s="634">
        <f>'[10]Lagged.Calendar HDDs'!F293</f>
        <v>0</v>
      </c>
      <c r="E358" s="634">
        <f>'[10]Lagged.Calendar HDDs'!G293</f>
        <v>0</v>
      </c>
      <c r="F358" s="634">
        <f>'[10]Lagged.Calendar HDDs'!H293</f>
        <v>0</v>
      </c>
      <c r="G358" s="634">
        <f>'[10]Lagged.Calendar HDDs'!I293</f>
        <v>0</v>
      </c>
      <c r="H358" s="706">
        <f t="shared" si="34"/>
        <v>0</v>
      </c>
      <c r="J358" s="699">
        <f t="shared" si="36"/>
        <v>42149</v>
      </c>
      <c r="K358" s="630">
        <f>'[10]10yr Lagged Norms'!E308</f>
        <v>0.5</v>
      </c>
      <c r="L358" s="630">
        <f>'[10]10yr Lagged Norms'!F308</f>
        <v>0.1</v>
      </c>
      <c r="M358" s="630">
        <f>'[10]10yr Lagged Norms'!G308</f>
        <v>1.3</v>
      </c>
      <c r="N358" s="630">
        <f>'[10]10yr Lagged Norms'!H308</f>
        <v>0.5</v>
      </c>
      <c r="O358" s="630">
        <f>'[10]10yr Lagged Norms'!I308</f>
        <v>0.4</v>
      </c>
      <c r="P358" s="707">
        <f t="shared" si="35"/>
        <v>0</v>
      </c>
    </row>
    <row r="359" spans="2:16" x14ac:dyDescent="0.2">
      <c r="B359" s="708">
        <f t="shared" si="37"/>
        <v>42150</v>
      </c>
      <c r="C359" s="634">
        <f>'[10]Lagged.Calendar HDDs'!E294</f>
        <v>0</v>
      </c>
      <c r="D359" s="634">
        <f>'[10]Lagged.Calendar HDDs'!F294</f>
        <v>0</v>
      </c>
      <c r="E359" s="634">
        <f>'[10]Lagged.Calendar HDDs'!G294</f>
        <v>0</v>
      </c>
      <c r="F359" s="634">
        <f>'[10]Lagged.Calendar HDDs'!H294</f>
        <v>0</v>
      </c>
      <c r="G359" s="634">
        <f>'[10]Lagged.Calendar HDDs'!I294</f>
        <v>0</v>
      </c>
      <c r="H359" s="706">
        <f t="shared" si="34"/>
        <v>0</v>
      </c>
      <c r="J359" s="699">
        <f t="shared" si="36"/>
        <v>42150</v>
      </c>
      <c r="K359" s="630">
        <f>'[10]10yr Lagged Norms'!E309</f>
        <v>0.3</v>
      </c>
      <c r="L359" s="630">
        <f>'[10]10yr Lagged Norms'!F309</f>
        <v>0</v>
      </c>
      <c r="M359" s="630">
        <f>'[10]10yr Lagged Norms'!G309</f>
        <v>0.2</v>
      </c>
      <c r="N359" s="630">
        <f>'[10]10yr Lagged Norms'!H309</f>
        <v>0</v>
      </c>
      <c r="O359" s="630">
        <f>'[10]10yr Lagged Norms'!I309</f>
        <v>0.3</v>
      </c>
      <c r="P359" s="707">
        <f t="shared" si="35"/>
        <v>0</v>
      </c>
    </row>
    <row r="360" spans="2:16" x14ac:dyDescent="0.2">
      <c r="B360" s="708">
        <f t="shared" si="37"/>
        <v>42151</v>
      </c>
      <c r="C360" s="634">
        <f>'[10]Lagged.Calendar HDDs'!E295</f>
        <v>0</v>
      </c>
      <c r="D360" s="634">
        <f>'[10]Lagged.Calendar HDDs'!F295</f>
        <v>0</v>
      </c>
      <c r="E360" s="634">
        <f>'[10]Lagged.Calendar HDDs'!G295</f>
        <v>0</v>
      </c>
      <c r="F360" s="634">
        <f>'[10]Lagged.Calendar HDDs'!H295</f>
        <v>0</v>
      </c>
      <c r="G360" s="634">
        <f>'[10]Lagged.Calendar HDDs'!I295</f>
        <v>0</v>
      </c>
      <c r="H360" s="706">
        <f t="shared" si="34"/>
        <v>0</v>
      </c>
      <c r="J360" s="699">
        <f t="shared" si="36"/>
        <v>42151</v>
      </c>
      <c r="K360" s="630">
        <f>'[10]10yr Lagged Norms'!E310</f>
        <v>0.9</v>
      </c>
      <c r="L360" s="630">
        <f>'[10]10yr Lagged Norms'!F310</f>
        <v>0.2</v>
      </c>
      <c r="M360" s="630">
        <f>'[10]10yr Lagged Norms'!G310</f>
        <v>0.4</v>
      </c>
      <c r="N360" s="630">
        <f>'[10]10yr Lagged Norms'!H310</f>
        <v>0.6</v>
      </c>
      <c r="O360" s="630">
        <f>'[10]10yr Lagged Norms'!I310</f>
        <v>0.6</v>
      </c>
      <c r="P360" s="707">
        <f t="shared" si="35"/>
        <v>1</v>
      </c>
    </row>
    <row r="361" spans="2:16" x14ac:dyDescent="0.2">
      <c r="B361" s="708">
        <f t="shared" si="37"/>
        <v>42152</v>
      </c>
      <c r="C361" s="634">
        <f>'[10]Lagged.Calendar HDDs'!E296</f>
        <v>0</v>
      </c>
      <c r="D361" s="634">
        <f>'[10]Lagged.Calendar HDDs'!F296</f>
        <v>0</v>
      </c>
      <c r="E361" s="634">
        <f>'[10]Lagged.Calendar HDDs'!G296</f>
        <v>0</v>
      </c>
      <c r="F361" s="634">
        <f>'[10]Lagged.Calendar HDDs'!H296</f>
        <v>0</v>
      </c>
      <c r="G361" s="634">
        <f>'[10]Lagged.Calendar HDDs'!I296</f>
        <v>0</v>
      </c>
      <c r="H361" s="706">
        <f t="shared" si="34"/>
        <v>0</v>
      </c>
      <c r="J361" s="699">
        <f t="shared" si="36"/>
        <v>42152</v>
      </c>
      <c r="K361" s="630">
        <f>'[10]10yr Lagged Norms'!E311</f>
        <v>0</v>
      </c>
      <c r="L361" s="630">
        <f>'[10]10yr Lagged Norms'!F311</f>
        <v>0</v>
      </c>
      <c r="M361" s="630">
        <f>'[10]10yr Lagged Norms'!G311</f>
        <v>0.4</v>
      </c>
      <c r="N361" s="630">
        <f>'[10]10yr Lagged Norms'!H311</f>
        <v>0</v>
      </c>
      <c r="O361" s="630">
        <f>'[10]10yr Lagged Norms'!I311</f>
        <v>0</v>
      </c>
      <c r="P361" s="707">
        <f t="shared" si="35"/>
        <v>0</v>
      </c>
    </row>
    <row r="362" spans="2:16" x14ac:dyDescent="0.2">
      <c r="B362" s="708">
        <f t="shared" si="37"/>
        <v>42153</v>
      </c>
      <c r="C362" s="634">
        <f>'[10]Lagged.Calendar HDDs'!E297</f>
        <v>0</v>
      </c>
      <c r="D362" s="634">
        <f>'[10]Lagged.Calendar HDDs'!F297</f>
        <v>0</v>
      </c>
      <c r="E362" s="634">
        <f>'[10]Lagged.Calendar HDDs'!G297</f>
        <v>0</v>
      </c>
      <c r="F362" s="634">
        <f>'[10]Lagged.Calendar HDDs'!H297</f>
        <v>0</v>
      </c>
      <c r="G362" s="634">
        <f>'[10]Lagged.Calendar HDDs'!I297</f>
        <v>0</v>
      </c>
      <c r="H362" s="706">
        <f t="shared" si="34"/>
        <v>0</v>
      </c>
      <c r="J362" s="699">
        <f t="shared" si="36"/>
        <v>42153</v>
      </c>
      <c r="K362" s="630">
        <f>'[10]10yr Lagged Norms'!E312</f>
        <v>0</v>
      </c>
      <c r="L362" s="630">
        <f>'[10]10yr Lagged Norms'!F312</f>
        <v>0</v>
      </c>
      <c r="M362" s="630">
        <f>'[10]10yr Lagged Norms'!G312</f>
        <v>0.1</v>
      </c>
      <c r="N362" s="630">
        <f>'[10]10yr Lagged Norms'!H312</f>
        <v>0</v>
      </c>
      <c r="O362" s="630">
        <f>'[10]10yr Lagged Norms'!I312</f>
        <v>0</v>
      </c>
      <c r="P362" s="707">
        <f t="shared" si="35"/>
        <v>0</v>
      </c>
    </row>
    <row r="363" spans="2:16" x14ac:dyDescent="0.2">
      <c r="B363" s="708">
        <f t="shared" si="37"/>
        <v>42154</v>
      </c>
      <c r="C363" s="634">
        <f>'[10]Lagged.Calendar HDDs'!E298</f>
        <v>0</v>
      </c>
      <c r="D363" s="634">
        <f>'[10]Lagged.Calendar HDDs'!F298</f>
        <v>0</v>
      </c>
      <c r="E363" s="634">
        <f>'[10]Lagged.Calendar HDDs'!G298</f>
        <v>0</v>
      </c>
      <c r="F363" s="634">
        <f>'[10]Lagged.Calendar HDDs'!H298</f>
        <v>0</v>
      </c>
      <c r="G363" s="634">
        <f>'[10]Lagged.Calendar HDDs'!I298</f>
        <v>0</v>
      </c>
      <c r="H363" s="706">
        <f t="shared" si="34"/>
        <v>0</v>
      </c>
      <c r="J363" s="699">
        <f t="shared" si="36"/>
        <v>42154</v>
      </c>
      <c r="K363" s="630">
        <f>'[10]10yr Lagged Norms'!E313</f>
        <v>0</v>
      </c>
      <c r="L363" s="630">
        <f>'[10]10yr Lagged Norms'!F313</f>
        <v>0</v>
      </c>
      <c r="M363" s="630">
        <f>'[10]10yr Lagged Norms'!G313</f>
        <v>0</v>
      </c>
      <c r="N363" s="630">
        <f>'[10]10yr Lagged Norms'!H313</f>
        <v>0</v>
      </c>
      <c r="O363" s="630">
        <f>'[10]10yr Lagged Norms'!I313</f>
        <v>0</v>
      </c>
      <c r="P363" s="707">
        <f t="shared" si="35"/>
        <v>0</v>
      </c>
    </row>
    <row r="364" spans="2:16" x14ac:dyDescent="0.2">
      <c r="B364" s="708">
        <f t="shared" si="37"/>
        <v>42155</v>
      </c>
      <c r="C364" s="634">
        <f>'[10]Lagged.Calendar HDDs'!E299</f>
        <v>3</v>
      </c>
      <c r="D364" s="634">
        <f>'[10]Lagged.Calendar HDDs'!F299</f>
        <v>0</v>
      </c>
      <c r="E364" s="634">
        <f>'[10]Lagged.Calendar HDDs'!G299</f>
        <v>0</v>
      </c>
      <c r="F364" s="634">
        <f>'[10]Lagged.Calendar HDDs'!H299</f>
        <v>0</v>
      </c>
      <c r="G364" s="634">
        <f>'[10]Lagged.Calendar HDDs'!I299</f>
        <v>1</v>
      </c>
      <c r="H364" s="706">
        <f t="shared" si="34"/>
        <v>1</v>
      </c>
      <c r="J364" s="699">
        <f t="shared" si="36"/>
        <v>42155</v>
      </c>
      <c r="K364" s="630">
        <f>'[10]10yr Lagged Norms'!E314</f>
        <v>0.3</v>
      </c>
      <c r="L364" s="630">
        <f>'[10]10yr Lagged Norms'!F314</f>
        <v>0</v>
      </c>
      <c r="M364" s="630">
        <f>'[10]10yr Lagged Norms'!G314</f>
        <v>0</v>
      </c>
      <c r="N364" s="630">
        <f>'[10]10yr Lagged Norms'!H314</f>
        <v>0</v>
      </c>
      <c r="O364" s="630">
        <f>'[10]10yr Lagged Norms'!I314</f>
        <v>0.1</v>
      </c>
      <c r="P364" s="707">
        <f t="shared" si="35"/>
        <v>0</v>
      </c>
    </row>
    <row r="365" spans="2:16" x14ac:dyDescent="0.2">
      <c r="B365" s="708">
        <f t="shared" si="37"/>
        <v>42156</v>
      </c>
      <c r="C365" s="634">
        <f>'[10]Lagged.Calendar HDDs'!E300</f>
        <v>3</v>
      </c>
      <c r="D365" s="634">
        <f>'[10]Lagged.Calendar HDDs'!F300</f>
        <v>0</v>
      </c>
      <c r="E365" s="634">
        <f>'[10]Lagged.Calendar HDDs'!G300</f>
        <v>7</v>
      </c>
      <c r="F365" s="634">
        <f>'[10]Lagged.Calendar HDDs'!H300</f>
        <v>4</v>
      </c>
      <c r="G365" s="634">
        <f>'[10]Lagged.Calendar HDDs'!I300</f>
        <v>1</v>
      </c>
      <c r="H365" s="706">
        <f t="shared" si="34"/>
        <v>2</v>
      </c>
      <c r="J365" s="699">
        <f t="shared" si="36"/>
        <v>42156</v>
      </c>
      <c r="K365" s="630">
        <f>'[10]10yr Lagged Norms'!E315</f>
        <v>1</v>
      </c>
      <c r="L365" s="630">
        <f>'[10]10yr Lagged Norms'!F315</f>
        <v>0.5</v>
      </c>
      <c r="M365" s="630">
        <f>'[10]10yr Lagged Norms'!G315</f>
        <v>1.4</v>
      </c>
      <c r="N365" s="630">
        <f>'[10]10yr Lagged Norms'!H315</f>
        <v>0.8</v>
      </c>
      <c r="O365" s="630">
        <f>'[10]10yr Lagged Norms'!I315</f>
        <v>0.7</v>
      </c>
      <c r="P365" s="707">
        <f t="shared" si="35"/>
        <v>1</v>
      </c>
    </row>
    <row r="366" spans="2:16" x14ac:dyDescent="0.2">
      <c r="B366" s="708">
        <f t="shared" si="37"/>
        <v>42157</v>
      </c>
      <c r="C366" s="634">
        <f>'[10]Lagged.Calendar HDDs'!E301</f>
        <v>3</v>
      </c>
      <c r="D366" s="634">
        <f>'[10]Lagged.Calendar HDDs'!F301</f>
        <v>0</v>
      </c>
      <c r="E366" s="634">
        <f>'[10]Lagged.Calendar HDDs'!G301</f>
        <v>8</v>
      </c>
      <c r="F366" s="634">
        <f>'[10]Lagged.Calendar HDDs'!H301</f>
        <v>2</v>
      </c>
      <c r="G366" s="634">
        <f>'[10]Lagged.Calendar HDDs'!I301</f>
        <v>1</v>
      </c>
      <c r="H366" s="706">
        <f t="shared" si="34"/>
        <v>2</v>
      </c>
      <c r="J366" s="699">
        <f t="shared" si="36"/>
        <v>42157</v>
      </c>
      <c r="K366" s="630">
        <f>'[10]10yr Lagged Norms'!E316</f>
        <v>0.5</v>
      </c>
      <c r="L366" s="630">
        <f>'[10]10yr Lagged Norms'!F316</f>
        <v>0.2</v>
      </c>
      <c r="M366" s="630">
        <f>'[10]10yr Lagged Norms'!G316</f>
        <v>1.4</v>
      </c>
      <c r="N366" s="630">
        <f>'[10]10yr Lagged Norms'!H316</f>
        <v>0.5</v>
      </c>
      <c r="O366" s="630">
        <f>'[10]10yr Lagged Norms'!I316</f>
        <v>0.2</v>
      </c>
      <c r="P366" s="707">
        <f t="shared" si="35"/>
        <v>0</v>
      </c>
    </row>
    <row r="367" spans="2:16" x14ac:dyDescent="0.2">
      <c r="B367" s="708">
        <f t="shared" si="37"/>
        <v>42158</v>
      </c>
      <c r="C367" s="634">
        <f>'[10]Lagged.Calendar HDDs'!E302</f>
        <v>1</v>
      </c>
      <c r="D367" s="634">
        <f>'[10]Lagged.Calendar HDDs'!F302</f>
        <v>0</v>
      </c>
      <c r="E367" s="634">
        <f>'[10]Lagged.Calendar HDDs'!G302</f>
        <v>3</v>
      </c>
      <c r="F367" s="634">
        <f>'[10]Lagged.Calendar HDDs'!H302</f>
        <v>0</v>
      </c>
      <c r="G367" s="634">
        <f>'[10]Lagged.Calendar HDDs'!I302</f>
        <v>0</v>
      </c>
      <c r="H367" s="706">
        <f t="shared" si="34"/>
        <v>1</v>
      </c>
      <c r="J367" s="699">
        <f t="shared" si="36"/>
        <v>42158</v>
      </c>
      <c r="K367" s="630">
        <f>'[10]10yr Lagged Norms'!E317</f>
        <v>0.2</v>
      </c>
      <c r="L367" s="630">
        <f>'[10]10yr Lagged Norms'!F317</f>
        <v>0</v>
      </c>
      <c r="M367" s="630">
        <f>'[10]10yr Lagged Norms'!G317</f>
        <v>0.3</v>
      </c>
      <c r="N367" s="630">
        <f>'[10]10yr Lagged Norms'!H317</f>
        <v>0</v>
      </c>
      <c r="O367" s="630">
        <f>'[10]10yr Lagged Norms'!I317</f>
        <v>0</v>
      </c>
      <c r="P367" s="707">
        <f t="shared" si="35"/>
        <v>0</v>
      </c>
    </row>
    <row r="368" spans="2:16" x14ac:dyDescent="0.2">
      <c r="B368" s="708">
        <f t="shared" si="37"/>
        <v>42159</v>
      </c>
      <c r="C368" s="634">
        <f>'[10]Lagged.Calendar HDDs'!E303</f>
        <v>0</v>
      </c>
      <c r="D368" s="634">
        <f>'[10]Lagged.Calendar HDDs'!F303</f>
        <v>0</v>
      </c>
      <c r="E368" s="634">
        <f>'[10]Lagged.Calendar HDDs'!G303</f>
        <v>0</v>
      </c>
      <c r="F368" s="634">
        <f>'[10]Lagged.Calendar HDDs'!H303</f>
        <v>0</v>
      </c>
      <c r="G368" s="634">
        <f>'[10]Lagged.Calendar HDDs'!I303</f>
        <v>0</v>
      </c>
      <c r="H368" s="706">
        <f t="shared" si="34"/>
        <v>0</v>
      </c>
      <c r="J368" s="699">
        <f t="shared" si="36"/>
        <v>42159</v>
      </c>
      <c r="K368" s="630">
        <f>'[10]10yr Lagged Norms'!E318</f>
        <v>0.3</v>
      </c>
      <c r="L368" s="630">
        <f>'[10]10yr Lagged Norms'!F318</f>
        <v>0</v>
      </c>
      <c r="M368" s="630">
        <f>'[10]10yr Lagged Norms'!G318</f>
        <v>0.7</v>
      </c>
      <c r="N368" s="630">
        <f>'[10]10yr Lagged Norms'!H318</f>
        <v>0.6</v>
      </c>
      <c r="O368" s="630">
        <f>'[10]10yr Lagged Norms'!I318</f>
        <v>0.3</v>
      </c>
      <c r="P368" s="707">
        <f t="shared" si="35"/>
        <v>0</v>
      </c>
    </row>
    <row r="369" spans="2:16" x14ac:dyDescent="0.2">
      <c r="B369" s="708">
        <f t="shared" si="37"/>
        <v>42160</v>
      </c>
      <c r="C369" s="634">
        <f>'[10]Lagged.Calendar HDDs'!E304</f>
        <v>0</v>
      </c>
      <c r="D369" s="634">
        <f>'[10]Lagged.Calendar HDDs'!F304</f>
        <v>0</v>
      </c>
      <c r="E369" s="634">
        <f>'[10]Lagged.Calendar HDDs'!G304</f>
        <v>0</v>
      </c>
      <c r="F369" s="634">
        <f>'[10]Lagged.Calendar HDDs'!H304</f>
        <v>0</v>
      </c>
      <c r="G369" s="634">
        <f>'[10]Lagged.Calendar HDDs'!I304</f>
        <v>0</v>
      </c>
      <c r="H369" s="706">
        <f t="shared" si="34"/>
        <v>0</v>
      </c>
      <c r="J369" s="699">
        <f t="shared" si="36"/>
        <v>42160</v>
      </c>
      <c r="K369" s="630">
        <f>'[10]10yr Lagged Norms'!E319</f>
        <v>0.1</v>
      </c>
      <c r="L369" s="630">
        <f>'[10]10yr Lagged Norms'!F319</f>
        <v>0</v>
      </c>
      <c r="M369" s="630">
        <f>'[10]10yr Lagged Norms'!G319</f>
        <v>0.3</v>
      </c>
      <c r="N369" s="630">
        <f>'[10]10yr Lagged Norms'!H319</f>
        <v>0.1</v>
      </c>
      <c r="O369" s="630">
        <f>'[10]10yr Lagged Norms'!I319</f>
        <v>0</v>
      </c>
      <c r="P369" s="707">
        <f t="shared" si="35"/>
        <v>0</v>
      </c>
    </row>
    <row r="370" spans="2:16" x14ac:dyDescent="0.2">
      <c r="B370" s="708">
        <f t="shared" si="37"/>
        <v>42161</v>
      </c>
      <c r="C370" s="634">
        <f>'[10]Lagged.Calendar HDDs'!E305</f>
        <v>0</v>
      </c>
      <c r="D370" s="634">
        <f>'[10]Lagged.Calendar HDDs'!F305</f>
        <v>0</v>
      </c>
      <c r="E370" s="634">
        <f>'[10]Lagged.Calendar HDDs'!G305</f>
        <v>0</v>
      </c>
      <c r="F370" s="634">
        <f>'[10]Lagged.Calendar HDDs'!H305</f>
        <v>0</v>
      </c>
      <c r="G370" s="634">
        <f>'[10]Lagged.Calendar HDDs'!I305</f>
        <v>0</v>
      </c>
      <c r="H370" s="706">
        <f t="shared" si="34"/>
        <v>0</v>
      </c>
      <c r="J370" s="699">
        <f t="shared" si="36"/>
        <v>42161</v>
      </c>
      <c r="K370" s="630">
        <f>'[10]10yr Lagged Norms'!E320</f>
        <v>0</v>
      </c>
      <c r="L370" s="630">
        <f>'[10]10yr Lagged Norms'!F320</f>
        <v>0</v>
      </c>
      <c r="M370" s="630">
        <f>'[10]10yr Lagged Norms'!G320</f>
        <v>0.3</v>
      </c>
      <c r="N370" s="630">
        <f>'[10]10yr Lagged Norms'!H320</f>
        <v>0</v>
      </c>
      <c r="O370" s="630">
        <f>'[10]10yr Lagged Norms'!I320</f>
        <v>0</v>
      </c>
      <c r="P370" s="707">
        <f t="shared" si="35"/>
        <v>0</v>
      </c>
    </row>
    <row r="371" spans="2:16" x14ac:dyDescent="0.2">
      <c r="B371" s="708">
        <f t="shared" si="37"/>
        <v>42162</v>
      </c>
      <c r="C371" s="634">
        <f>'[10]Lagged.Calendar HDDs'!E306</f>
        <v>0</v>
      </c>
      <c r="D371" s="634">
        <f>'[10]Lagged.Calendar HDDs'!F306</f>
        <v>0</v>
      </c>
      <c r="E371" s="634">
        <f>'[10]Lagged.Calendar HDDs'!G306</f>
        <v>0</v>
      </c>
      <c r="F371" s="634">
        <f>'[10]Lagged.Calendar HDDs'!H306</f>
        <v>0</v>
      </c>
      <c r="G371" s="634">
        <f>'[10]Lagged.Calendar HDDs'!I306</f>
        <v>0</v>
      </c>
      <c r="H371" s="706">
        <f t="shared" si="34"/>
        <v>0</v>
      </c>
      <c r="J371" s="699">
        <f t="shared" si="36"/>
        <v>42162</v>
      </c>
      <c r="K371" s="630">
        <f>'[10]10yr Lagged Norms'!E321</f>
        <v>0</v>
      </c>
      <c r="L371" s="630">
        <f>'[10]10yr Lagged Norms'!F321</f>
        <v>0</v>
      </c>
      <c r="M371" s="630">
        <f>'[10]10yr Lagged Norms'!G321</f>
        <v>0</v>
      </c>
      <c r="N371" s="630">
        <f>'[10]10yr Lagged Norms'!H321</f>
        <v>0</v>
      </c>
      <c r="O371" s="630">
        <f>'[10]10yr Lagged Norms'!I321</f>
        <v>0</v>
      </c>
      <c r="P371" s="707">
        <f t="shared" si="35"/>
        <v>0</v>
      </c>
    </row>
    <row r="372" spans="2:16" x14ac:dyDescent="0.2">
      <c r="B372" s="708">
        <f t="shared" si="37"/>
        <v>42163</v>
      </c>
      <c r="C372" s="634">
        <f>'[10]Lagged.Calendar HDDs'!E307</f>
        <v>0</v>
      </c>
      <c r="D372" s="634">
        <f>'[10]Lagged.Calendar HDDs'!F307</f>
        <v>0</v>
      </c>
      <c r="E372" s="634">
        <f>'[10]Lagged.Calendar HDDs'!G307</f>
        <v>0</v>
      </c>
      <c r="F372" s="634">
        <f>'[10]Lagged.Calendar HDDs'!H307</f>
        <v>0</v>
      </c>
      <c r="G372" s="634">
        <f>'[10]Lagged.Calendar HDDs'!I307</f>
        <v>0</v>
      </c>
      <c r="H372" s="706">
        <f t="shared" si="34"/>
        <v>0</v>
      </c>
      <c r="J372" s="699">
        <f t="shared" si="36"/>
        <v>42163</v>
      </c>
      <c r="K372" s="630">
        <f>'[10]10yr Lagged Norms'!E322</f>
        <v>0</v>
      </c>
      <c r="L372" s="630">
        <f>'[10]10yr Lagged Norms'!F322</f>
        <v>0</v>
      </c>
      <c r="M372" s="630">
        <f>'[10]10yr Lagged Norms'!G322</f>
        <v>0</v>
      </c>
      <c r="N372" s="630">
        <f>'[10]10yr Lagged Norms'!H322</f>
        <v>0</v>
      </c>
      <c r="O372" s="630">
        <f>'[10]10yr Lagged Norms'!I322</f>
        <v>0</v>
      </c>
      <c r="P372" s="707">
        <f t="shared" si="35"/>
        <v>0</v>
      </c>
    </row>
    <row r="373" spans="2:16" x14ac:dyDescent="0.2">
      <c r="B373" s="708">
        <f t="shared" si="37"/>
        <v>42164</v>
      </c>
      <c r="C373" s="634">
        <f>'[10]Lagged.Calendar HDDs'!E308</f>
        <v>0</v>
      </c>
      <c r="D373" s="634">
        <f>'[10]Lagged.Calendar HDDs'!F308</f>
        <v>0</v>
      </c>
      <c r="E373" s="634">
        <f>'[10]Lagged.Calendar HDDs'!G308</f>
        <v>0</v>
      </c>
      <c r="F373" s="634">
        <f>'[10]Lagged.Calendar HDDs'!H308</f>
        <v>0</v>
      </c>
      <c r="G373" s="634">
        <f>'[10]Lagged.Calendar HDDs'!I308</f>
        <v>0</v>
      </c>
      <c r="H373" s="706">
        <f t="shared" si="34"/>
        <v>0</v>
      </c>
      <c r="J373" s="699">
        <f t="shared" si="36"/>
        <v>42164</v>
      </c>
      <c r="K373" s="630">
        <f>'[10]10yr Lagged Norms'!E323</f>
        <v>0</v>
      </c>
      <c r="L373" s="630">
        <f>'[10]10yr Lagged Norms'!F323</f>
        <v>0</v>
      </c>
      <c r="M373" s="630">
        <f>'[10]10yr Lagged Norms'!G323</f>
        <v>0</v>
      </c>
      <c r="N373" s="630">
        <f>'[10]10yr Lagged Norms'!H323</f>
        <v>0</v>
      </c>
      <c r="O373" s="630">
        <f>'[10]10yr Lagged Norms'!I323</f>
        <v>0</v>
      </c>
      <c r="P373" s="707">
        <f t="shared" si="35"/>
        <v>0</v>
      </c>
    </row>
    <row r="374" spans="2:16" x14ac:dyDescent="0.2">
      <c r="B374" s="708">
        <f t="shared" si="37"/>
        <v>42165</v>
      </c>
      <c r="C374" s="634">
        <f>'[10]Lagged.Calendar HDDs'!E309</f>
        <v>0</v>
      </c>
      <c r="D374" s="634">
        <f>'[10]Lagged.Calendar HDDs'!F309</f>
        <v>0</v>
      </c>
      <c r="E374" s="634">
        <f>'[10]Lagged.Calendar HDDs'!G309</f>
        <v>0</v>
      </c>
      <c r="F374" s="634">
        <f>'[10]Lagged.Calendar HDDs'!H309</f>
        <v>0</v>
      </c>
      <c r="G374" s="634">
        <f>'[10]Lagged.Calendar HDDs'!I309</f>
        <v>0</v>
      </c>
      <c r="H374" s="706">
        <f t="shared" si="34"/>
        <v>0</v>
      </c>
      <c r="J374" s="699">
        <f t="shared" si="36"/>
        <v>42165</v>
      </c>
      <c r="K374" s="630">
        <f>'[10]10yr Lagged Norms'!E324</f>
        <v>0</v>
      </c>
      <c r="L374" s="630">
        <f>'[10]10yr Lagged Norms'!F324</f>
        <v>0</v>
      </c>
      <c r="M374" s="630">
        <f>'[10]10yr Lagged Norms'!G324</f>
        <v>0</v>
      </c>
      <c r="N374" s="630">
        <f>'[10]10yr Lagged Norms'!H324</f>
        <v>0</v>
      </c>
      <c r="O374" s="630">
        <f>'[10]10yr Lagged Norms'!I324</f>
        <v>0</v>
      </c>
      <c r="P374" s="707">
        <f t="shared" si="35"/>
        <v>0</v>
      </c>
    </row>
    <row r="375" spans="2:16" x14ac:dyDescent="0.2">
      <c r="B375" s="708">
        <f t="shared" si="37"/>
        <v>42166</v>
      </c>
      <c r="C375" s="634">
        <f>'[10]Lagged.Calendar HDDs'!E310</f>
        <v>0</v>
      </c>
      <c r="D375" s="634">
        <f>'[10]Lagged.Calendar HDDs'!F310</f>
        <v>0</v>
      </c>
      <c r="E375" s="634">
        <f>'[10]Lagged.Calendar HDDs'!G310</f>
        <v>0</v>
      </c>
      <c r="F375" s="634">
        <f>'[10]Lagged.Calendar HDDs'!H310</f>
        <v>0</v>
      </c>
      <c r="G375" s="634">
        <f>'[10]Lagged.Calendar HDDs'!I310</f>
        <v>0</v>
      </c>
      <c r="H375" s="706">
        <f t="shared" si="34"/>
        <v>0</v>
      </c>
      <c r="J375" s="699">
        <f t="shared" si="36"/>
        <v>42166</v>
      </c>
      <c r="K375" s="630">
        <f>'[10]10yr Lagged Norms'!E325</f>
        <v>0</v>
      </c>
      <c r="L375" s="630">
        <f>'[10]10yr Lagged Norms'!F325</f>
        <v>0</v>
      </c>
      <c r="M375" s="630">
        <f>'[10]10yr Lagged Norms'!G325</f>
        <v>0.1</v>
      </c>
      <c r="N375" s="630">
        <f>'[10]10yr Lagged Norms'!H325</f>
        <v>0</v>
      </c>
      <c r="O375" s="630">
        <f>'[10]10yr Lagged Norms'!I325</f>
        <v>0</v>
      </c>
      <c r="P375" s="707">
        <f t="shared" si="35"/>
        <v>0</v>
      </c>
    </row>
    <row r="376" spans="2:16" x14ac:dyDescent="0.2">
      <c r="B376" s="708">
        <f t="shared" si="37"/>
        <v>42167</v>
      </c>
      <c r="C376" s="634">
        <f>'[10]Lagged.Calendar HDDs'!E311</f>
        <v>0</v>
      </c>
      <c r="D376" s="634">
        <f>'[10]Lagged.Calendar HDDs'!F311</f>
        <v>0</v>
      </c>
      <c r="E376" s="634">
        <f>'[10]Lagged.Calendar HDDs'!G311</f>
        <v>0</v>
      </c>
      <c r="F376" s="634">
        <f>'[10]Lagged.Calendar HDDs'!H311</f>
        <v>0</v>
      </c>
      <c r="G376" s="634">
        <f>'[10]Lagged.Calendar HDDs'!I311</f>
        <v>0</v>
      </c>
      <c r="H376" s="706">
        <f t="shared" si="34"/>
        <v>0</v>
      </c>
      <c r="J376" s="699">
        <f t="shared" si="36"/>
        <v>42167</v>
      </c>
      <c r="K376" s="630">
        <f>'[10]10yr Lagged Norms'!E326</f>
        <v>0</v>
      </c>
      <c r="L376" s="630">
        <f>'[10]10yr Lagged Norms'!F326</f>
        <v>0</v>
      </c>
      <c r="M376" s="630">
        <f>'[10]10yr Lagged Norms'!G326</f>
        <v>0</v>
      </c>
      <c r="N376" s="630">
        <f>'[10]10yr Lagged Norms'!H326</f>
        <v>0</v>
      </c>
      <c r="O376" s="630">
        <f>'[10]10yr Lagged Norms'!I326</f>
        <v>0</v>
      </c>
      <c r="P376" s="707">
        <f t="shared" si="35"/>
        <v>0</v>
      </c>
    </row>
    <row r="377" spans="2:16" x14ac:dyDescent="0.2">
      <c r="B377" s="708">
        <f t="shared" si="37"/>
        <v>42168</v>
      </c>
      <c r="C377" s="634">
        <f>'[10]Lagged.Calendar HDDs'!E312</f>
        <v>0</v>
      </c>
      <c r="D377" s="634">
        <f>'[10]Lagged.Calendar HDDs'!F312</f>
        <v>0</v>
      </c>
      <c r="E377" s="634">
        <f>'[10]Lagged.Calendar HDDs'!G312</f>
        <v>0</v>
      </c>
      <c r="F377" s="634">
        <f>'[10]Lagged.Calendar HDDs'!H312</f>
        <v>0</v>
      </c>
      <c r="G377" s="634">
        <f>'[10]Lagged.Calendar HDDs'!I312</f>
        <v>0</v>
      </c>
      <c r="H377" s="706">
        <f t="shared" si="34"/>
        <v>0</v>
      </c>
      <c r="J377" s="699">
        <f t="shared" si="36"/>
        <v>42168</v>
      </c>
      <c r="K377" s="630">
        <f>'[10]10yr Lagged Norms'!E327</f>
        <v>0</v>
      </c>
      <c r="L377" s="630">
        <f>'[10]10yr Lagged Norms'!F327</f>
        <v>0</v>
      </c>
      <c r="M377" s="630">
        <f>'[10]10yr Lagged Norms'!G327</f>
        <v>0</v>
      </c>
      <c r="N377" s="630">
        <f>'[10]10yr Lagged Norms'!H327</f>
        <v>0</v>
      </c>
      <c r="O377" s="630">
        <f>'[10]10yr Lagged Norms'!I327</f>
        <v>0</v>
      </c>
      <c r="P377" s="707">
        <f t="shared" si="35"/>
        <v>0</v>
      </c>
    </row>
    <row r="378" spans="2:16" x14ac:dyDescent="0.2">
      <c r="B378" s="708">
        <f t="shared" si="37"/>
        <v>42169</v>
      </c>
      <c r="C378" s="634">
        <f>'[10]Lagged.Calendar HDDs'!E313</f>
        <v>0</v>
      </c>
      <c r="D378" s="634">
        <f>'[10]Lagged.Calendar HDDs'!F313</f>
        <v>0</v>
      </c>
      <c r="E378" s="634">
        <f>'[10]Lagged.Calendar HDDs'!G313</f>
        <v>0</v>
      </c>
      <c r="F378" s="634">
        <f>'[10]Lagged.Calendar HDDs'!H313</f>
        <v>0</v>
      </c>
      <c r="G378" s="634">
        <f>'[10]Lagged.Calendar HDDs'!I313</f>
        <v>0</v>
      </c>
      <c r="H378" s="706">
        <f t="shared" si="34"/>
        <v>0</v>
      </c>
      <c r="J378" s="699">
        <f t="shared" si="36"/>
        <v>42169</v>
      </c>
      <c r="K378" s="630">
        <f>'[10]10yr Lagged Norms'!E328</f>
        <v>0</v>
      </c>
      <c r="L378" s="630">
        <f>'[10]10yr Lagged Norms'!F328</f>
        <v>0</v>
      </c>
      <c r="M378" s="630">
        <f>'[10]10yr Lagged Norms'!G328</f>
        <v>0</v>
      </c>
      <c r="N378" s="630">
        <f>'[10]10yr Lagged Norms'!H328</f>
        <v>0</v>
      </c>
      <c r="O378" s="630">
        <f>'[10]10yr Lagged Norms'!I328</f>
        <v>0</v>
      </c>
      <c r="P378" s="707">
        <f t="shared" si="35"/>
        <v>0</v>
      </c>
    </row>
    <row r="379" spans="2:16" x14ac:dyDescent="0.2">
      <c r="B379" s="708">
        <f t="shared" si="37"/>
        <v>42170</v>
      </c>
      <c r="C379" s="634">
        <f>'[10]Lagged.Calendar HDDs'!E314</f>
        <v>0</v>
      </c>
      <c r="D379" s="634">
        <f>'[10]Lagged.Calendar HDDs'!F314</f>
        <v>0</v>
      </c>
      <c r="E379" s="634">
        <f>'[10]Lagged.Calendar HDDs'!G314</f>
        <v>0</v>
      </c>
      <c r="F379" s="634">
        <f>'[10]Lagged.Calendar HDDs'!H314</f>
        <v>0</v>
      </c>
      <c r="G379" s="634">
        <f>'[10]Lagged.Calendar HDDs'!I314</f>
        <v>0</v>
      </c>
      <c r="H379" s="706">
        <f t="shared" si="34"/>
        <v>0</v>
      </c>
      <c r="J379" s="699">
        <f t="shared" si="36"/>
        <v>42170</v>
      </c>
      <c r="K379" s="630">
        <f>'[10]10yr Lagged Norms'!E329</f>
        <v>0</v>
      </c>
      <c r="L379" s="630">
        <f>'[10]10yr Lagged Norms'!F329</f>
        <v>0</v>
      </c>
      <c r="M379" s="630">
        <f>'[10]10yr Lagged Norms'!G329</f>
        <v>0</v>
      </c>
      <c r="N379" s="630">
        <f>'[10]10yr Lagged Norms'!H329</f>
        <v>0</v>
      </c>
      <c r="O379" s="630">
        <f>'[10]10yr Lagged Norms'!I329</f>
        <v>0</v>
      </c>
      <c r="P379" s="707">
        <f t="shared" si="35"/>
        <v>0</v>
      </c>
    </row>
    <row r="380" spans="2:16" x14ac:dyDescent="0.2">
      <c r="B380" s="708">
        <f t="shared" si="37"/>
        <v>42171</v>
      </c>
      <c r="C380" s="634">
        <f>'[10]Lagged.Calendar HDDs'!E315</f>
        <v>0</v>
      </c>
      <c r="D380" s="634">
        <f>'[10]Lagged.Calendar HDDs'!F315</f>
        <v>0</v>
      </c>
      <c r="E380" s="634">
        <f>'[10]Lagged.Calendar HDDs'!G315</f>
        <v>0</v>
      </c>
      <c r="F380" s="634">
        <f>'[10]Lagged.Calendar HDDs'!H315</f>
        <v>0</v>
      </c>
      <c r="G380" s="634">
        <f>'[10]Lagged.Calendar HDDs'!I315</f>
        <v>0</v>
      </c>
      <c r="H380" s="706">
        <f t="shared" si="34"/>
        <v>0</v>
      </c>
      <c r="J380" s="699">
        <f t="shared" si="36"/>
        <v>42171</v>
      </c>
      <c r="K380" s="630">
        <f>'[10]10yr Lagged Norms'!E330</f>
        <v>0</v>
      </c>
      <c r="L380" s="630">
        <f>'[10]10yr Lagged Norms'!F330</f>
        <v>0</v>
      </c>
      <c r="M380" s="630">
        <f>'[10]10yr Lagged Norms'!G330</f>
        <v>0</v>
      </c>
      <c r="N380" s="630">
        <f>'[10]10yr Lagged Norms'!H330</f>
        <v>0</v>
      </c>
      <c r="O380" s="630">
        <f>'[10]10yr Lagged Norms'!I330</f>
        <v>0</v>
      </c>
      <c r="P380" s="707">
        <f t="shared" si="35"/>
        <v>0</v>
      </c>
    </row>
    <row r="381" spans="2:16" x14ac:dyDescent="0.2">
      <c r="B381" s="708">
        <f t="shared" si="37"/>
        <v>42172</v>
      </c>
      <c r="C381" s="634">
        <f>'[10]Lagged.Calendar HDDs'!E316</f>
        <v>0</v>
      </c>
      <c r="D381" s="634">
        <f>'[10]Lagged.Calendar HDDs'!F316</f>
        <v>0</v>
      </c>
      <c r="E381" s="634">
        <f>'[10]Lagged.Calendar HDDs'!G316</f>
        <v>0</v>
      </c>
      <c r="F381" s="634">
        <f>'[10]Lagged.Calendar HDDs'!H316</f>
        <v>0</v>
      </c>
      <c r="G381" s="634">
        <f>'[10]Lagged.Calendar HDDs'!I316</f>
        <v>0</v>
      </c>
      <c r="H381" s="706">
        <f t="shared" si="34"/>
        <v>0</v>
      </c>
      <c r="J381" s="699">
        <f t="shared" si="36"/>
        <v>42172</v>
      </c>
      <c r="K381" s="630">
        <f>'[10]10yr Lagged Norms'!E331</f>
        <v>0</v>
      </c>
      <c r="L381" s="630">
        <f>'[10]10yr Lagged Norms'!F331</f>
        <v>0</v>
      </c>
      <c r="M381" s="630">
        <f>'[10]10yr Lagged Norms'!G331</f>
        <v>0</v>
      </c>
      <c r="N381" s="630">
        <f>'[10]10yr Lagged Norms'!H331</f>
        <v>0</v>
      </c>
      <c r="O381" s="630">
        <f>'[10]10yr Lagged Norms'!I331</f>
        <v>0</v>
      </c>
      <c r="P381" s="707">
        <f t="shared" si="35"/>
        <v>0</v>
      </c>
    </row>
    <row r="382" spans="2:16" x14ac:dyDescent="0.2">
      <c r="B382" s="708">
        <f t="shared" si="37"/>
        <v>42173</v>
      </c>
      <c r="C382" s="634">
        <f>'[10]Lagged.Calendar HDDs'!E317</f>
        <v>0</v>
      </c>
      <c r="D382" s="634">
        <f>'[10]Lagged.Calendar HDDs'!F317</f>
        <v>0</v>
      </c>
      <c r="E382" s="634">
        <f>'[10]Lagged.Calendar HDDs'!G317</f>
        <v>0</v>
      </c>
      <c r="F382" s="634">
        <f>'[10]Lagged.Calendar HDDs'!H317</f>
        <v>0</v>
      </c>
      <c r="G382" s="634">
        <f>'[10]Lagged.Calendar HDDs'!I317</f>
        <v>0</v>
      </c>
      <c r="H382" s="706">
        <f t="shared" si="34"/>
        <v>0</v>
      </c>
      <c r="J382" s="699">
        <f t="shared" si="36"/>
        <v>42173</v>
      </c>
      <c r="K382" s="630">
        <f>'[10]10yr Lagged Norms'!E332</f>
        <v>0</v>
      </c>
      <c r="L382" s="630">
        <f>'[10]10yr Lagged Norms'!F332</f>
        <v>0</v>
      </c>
      <c r="M382" s="630">
        <f>'[10]10yr Lagged Norms'!G332</f>
        <v>0</v>
      </c>
      <c r="N382" s="630">
        <f>'[10]10yr Lagged Norms'!H332</f>
        <v>0</v>
      </c>
      <c r="O382" s="630">
        <f>'[10]10yr Lagged Norms'!I332</f>
        <v>0</v>
      </c>
      <c r="P382" s="707">
        <f t="shared" si="35"/>
        <v>0</v>
      </c>
    </row>
    <row r="383" spans="2:16" x14ac:dyDescent="0.2">
      <c r="B383" s="708">
        <f t="shared" si="37"/>
        <v>42174</v>
      </c>
      <c r="C383" s="634">
        <f>'[10]Lagged.Calendar HDDs'!E318</f>
        <v>0</v>
      </c>
      <c r="D383" s="634">
        <f>'[10]Lagged.Calendar HDDs'!F318</f>
        <v>0</v>
      </c>
      <c r="E383" s="634">
        <f>'[10]Lagged.Calendar HDDs'!G318</f>
        <v>0</v>
      </c>
      <c r="F383" s="634">
        <f>'[10]Lagged.Calendar HDDs'!H318</f>
        <v>0</v>
      </c>
      <c r="G383" s="634">
        <f>'[10]Lagged.Calendar HDDs'!I318</f>
        <v>0</v>
      </c>
      <c r="H383" s="706">
        <f t="shared" si="34"/>
        <v>0</v>
      </c>
      <c r="J383" s="699">
        <f t="shared" si="36"/>
        <v>42174</v>
      </c>
      <c r="K383" s="630">
        <f>'[10]10yr Lagged Norms'!E333</f>
        <v>0</v>
      </c>
      <c r="L383" s="630">
        <f>'[10]10yr Lagged Norms'!F333</f>
        <v>0</v>
      </c>
      <c r="M383" s="630">
        <f>'[10]10yr Lagged Norms'!G333</f>
        <v>0</v>
      </c>
      <c r="N383" s="630">
        <f>'[10]10yr Lagged Norms'!H333</f>
        <v>0</v>
      </c>
      <c r="O383" s="630">
        <f>'[10]10yr Lagged Norms'!I333</f>
        <v>0</v>
      </c>
      <c r="P383" s="707">
        <f t="shared" si="35"/>
        <v>0</v>
      </c>
    </row>
    <row r="384" spans="2:16" x14ac:dyDescent="0.2">
      <c r="B384" s="708">
        <f t="shared" si="37"/>
        <v>42175</v>
      </c>
      <c r="C384" s="634">
        <f>'[10]Lagged.Calendar HDDs'!E319</f>
        <v>0</v>
      </c>
      <c r="D384" s="634">
        <f>'[10]Lagged.Calendar HDDs'!F319</f>
        <v>0</v>
      </c>
      <c r="E384" s="634">
        <f>'[10]Lagged.Calendar HDDs'!G319</f>
        <v>0</v>
      </c>
      <c r="F384" s="634">
        <f>'[10]Lagged.Calendar HDDs'!H319</f>
        <v>0</v>
      </c>
      <c r="G384" s="634">
        <f>'[10]Lagged.Calendar HDDs'!I319</f>
        <v>0</v>
      </c>
      <c r="H384" s="706">
        <f t="shared" si="34"/>
        <v>0</v>
      </c>
      <c r="J384" s="699">
        <f t="shared" si="36"/>
        <v>42175</v>
      </c>
      <c r="K384" s="630">
        <f>'[10]10yr Lagged Norms'!E334</f>
        <v>0</v>
      </c>
      <c r="L384" s="630">
        <f>'[10]10yr Lagged Norms'!F334</f>
        <v>0</v>
      </c>
      <c r="M384" s="630">
        <f>'[10]10yr Lagged Norms'!G334</f>
        <v>0</v>
      </c>
      <c r="N384" s="630">
        <f>'[10]10yr Lagged Norms'!H334</f>
        <v>0</v>
      </c>
      <c r="O384" s="630">
        <f>'[10]10yr Lagged Norms'!I334</f>
        <v>0</v>
      </c>
      <c r="P384" s="707">
        <f t="shared" si="35"/>
        <v>0</v>
      </c>
    </row>
    <row r="385" spans="2:16" x14ac:dyDescent="0.2">
      <c r="B385" s="708">
        <f t="shared" si="37"/>
        <v>42176</v>
      </c>
      <c r="C385" s="634">
        <f>'[10]Lagged.Calendar HDDs'!E320</f>
        <v>0</v>
      </c>
      <c r="D385" s="634">
        <f>'[10]Lagged.Calendar HDDs'!F320</f>
        <v>0</v>
      </c>
      <c r="E385" s="634">
        <f>'[10]Lagged.Calendar HDDs'!G320</f>
        <v>0</v>
      </c>
      <c r="F385" s="634">
        <f>'[10]Lagged.Calendar HDDs'!H320</f>
        <v>0</v>
      </c>
      <c r="G385" s="634">
        <f>'[10]Lagged.Calendar HDDs'!I320</f>
        <v>0</v>
      </c>
      <c r="H385" s="706">
        <f t="shared" si="34"/>
        <v>0</v>
      </c>
      <c r="J385" s="699">
        <f t="shared" si="36"/>
        <v>42176</v>
      </c>
      <c r="K385" s="630">
        <f>'[10]10yr Lagged Norms'!E335</f>
        <v>0</v>
      </c>
      <c r="L385" s="630">
        <f>'[10]10yr Lagged Norms'!F335</f>
        <v>0</v>
      </c>
      <c r="M385" s="630">
        <f>'[10]10yr Lagged Norms'!G335</f>
        <v>0</v>
      </c>
      <c r="N385" s="630">
        <f>'[10]10yr Lagged Norms'!H335</f>
        <v>0</v>
      </c>
      <c r="O385" s="630">
        <f>'[10]10yr Lagged Norms'!I335</f>
        <v>0</v>
      </c>
      <c r="P385" s="707">
        <f t="shared" si="35"/>
        <v>0</v>
      </c>
    </row>
    <row r="386" spans="2:16" x14ac:dyDescent="0.2">
      <c r="B386" s="708">
        <f t="shared" si="37"/>
        <v>42177</v>
      </c>
      <c r="C386" s="634">
        <f>'[10]Lagged.Calendar HDDs'!E321</f>
        <v>0</v>
      </c>
      <c r="D386" s="634">
        <f>'[10]Lagged.Calendar HDDs'!F321</f>
        <v>0</v>
      </c>
      <c r="E386" s="634">
        <f>'[10]Lagged.Calendar HDDs'!G321</f>
        <v>0</v>
      </c>
      <c r="F386" s="634">
        <f>'[10]Lagged.Calendar HDDs'!H321</f>
        <v>0</v>
      </c>
      <c r="G386" s="634">
        <f>'[10]Lagged.Calendar HDDs'!I321</f>
        <v>0</v>
      </c>
      <c r="H386" s="706">
        <f t="shared" si="34"/>
        <v>0</v>
      </c>
      <c r="J386" s="699">
        <f t="shared" si="36"/>
        <v>42177</v>
      </c>
      <c r="K386" s="630">
        <f>'[10]10yr Lagged Norms'!E336</f>
        <v>0</v>
      </c>
      <c r="L386" s="630">
        <f>'[10]10yr Lagged Norms'!F336</f>
        <v>0</v>
      </c>
      <c r="M386" s="630">
        <f>'[10]10yr Lagged Norms'!G336</f>
        <v>0</v>
      </c>
      <c r="N386" s="630">
        <f>'[10]10yr Lagged Norms'!H336</f>
        <v>0</v>
      </c>
      <c r="O386" s="630">
        <f>'[10]10yr Lagged Norms'!I336</f>
        <v>0</v>
      </c>
      <c r="P386" s="707">
        <f t="shared" si="35"/>
        <v>0</v>
      </c>
    </row>
    <row r="387" spans="2:16" x14ac:dyDescent="0.2">
      <c r="B387" s="708">
        <f t="shared" si="37"/>
        <v>42178</v>
      </c>
      <c r="C387" s="634">
        <f>'[10]Lagged.Calendar HDDs'!E322</f>
        <v>0</v>
      </c>
      <c r="D387" s="634">
        <f>'[10]Lagged.Calendar HDDs'!F322</f>
        <v>0</v>
      </c>
      <c r="E387" s="634">
        <f>'[10]Lagged.Calendar HDDs'!G322</f>
        <v>0</v>
      </c>
      <c r="F387" s="634">
        <f>'[10]Lagged.Calendar HDDs'!H322</f>
        <v>0</v>
      </c>
      <c r="G387" s="634">
        <f>'[10]Lagged.Calendar HDDs'!I322</f>
        <v>0</v>
      </c>
      <c r="H387" s="706">
        <f t="shared" si="34"/>
        <v>0</v>
      </c>
      <c r="J387" s="699">
        <f t="shared" si="36"/>
        <v>42178</v>
      </c>
      <c r="K387" s="630">
        <f>'[10]10yr Lagged Norms'!E337</f>
        <v>0</v>
      </c>
      <c r="L387" s="630">
        <f>'[10]10yr Lagged Norms'!F337</f>
        <v>0</v>
      </c>
      <c r="M387" s="630">
        <f>'[10]10yr Lagged Norms'!G337</f>
        <v>0</v>
      </c>
      <c r="N387" s="630">
        <f>'[10]10yr Lagged Norms'!H337</f>
        <v>0</v>
      </c>
      <c r="O387" s="630">
        <f>'[10]10yr Lagged Norms'!I337</f>
        <v>0</v>
      </c>
      <c r="P387" s="707">
        <f t="shared" si="35"/>
        <v>0</v>
      </c>
    </row>
    <row r="388" spans="2:16" x14ac:dyDescent="0.2">
      <c r="B388" s="708">
        <f t="shared" si="37"/>
        <v>42179</v>
      </c>
      <c r="C388" s="634">
        <f>'[10]Lagged.Calendar HDDs'!E323</f>
        <v>0</v>
      </c>
      <c r="D388" s="634">
        <f>'[10]Lagged.Calendar HDDs'!F323</f>
        <v>0</v>
      </c>
      <c r="E388" s="634">
        <f>'[10]Lagged.Calendar HDDs'!G323</f>
        <v>0</v>
      </c>
      <c r="F388" s="634">
        <f>'[10]Lagged.Calendar HDDs'!H323</f>
        <v>0</v>
      </c>
      <c r="G388" s="634">
        <f>'[10]Lagged.Calendar HDDs'!I323</f>
        <v>0</v>
      </c>
      <c r="H388" s="706">
        <f t="shared" si="34"/>
        <v>0</v>
      </c>
      <c r="J388" s="699">
        <f t="shared" si="36"/>
        <v>42179</v>
      </c>
      <c r="K388" s="630">
        <f>'[10]10yr Lagged Norms'!E338</f>
        <v>0</v>
      </c>
      <c r="L388" s="630">
        <f>'[10]10yr Lagged Norms'!F338</f>
        <v>0</v>
      </c>
      <c r="M388" s="630">
        <f>'[10]10yr Lagged Norms'!G338</f>
        <v>0</v>
      </c>
      <c r="N388" s="630">
        <f>'[10]10yr Lagged Norms'!H338</f>
        <v>0</v>
      </c>
      <c r="O388" s="630">
        <f>'[10]10yr Lagged Norms'!I338</f>
        <v>0</v>
      </c>
      <c r="P388" s="707">
        <f t="shared" si="35"/>
        <v>0</v>
      </c>
    </row>
    <row r="389" spans="2:16" x14ac:dyDescent="0.2">
      <c r="B389" s="708">
        <f t="shared" si="37"/>
        <v>42180</v>
      </c>
      <c r="C389" s="634">
        <f>'[10]Lagged.Calendar HDDs'!E324</f>
        <v>0</v>
      </c>
      <c r="D389" s="634">
        <f>'[10]Lagged.Calendar HDDs'!F324</f>
        <v>0</v>
      </c>
      <c r="E389" s="634">
        <f>'[10]Lagged.Calendar HDDs'!G324</f>
        <v>0</v>
      </c>
      <c r="F389" s="634">
        <f>'[10]Lagged.Calendar HDDs'!H324</f>
        <v>0</v>
      </c>
      <c r="G389" s="634">
        <f>'[10]Lagged.Calendar HDDs'!I324</f>
        <v>0</v>
      </c>
      <c r="H389" s="706">
        <f t="shared" si="34"/>
        <v>0</v>
      </c>
      <c r="J389" s="699">
        <f t="shared" si="36"/>
        <v>42180</v>
      </c>
      <c r="K389" s="630">
        <f>'[10]10yr Lagged Norms'!E339</f>
        <v>0</v>
      </c>
      <c r="L389" s="630">
        <f>'[10]10yr Lagged Norms'!F339</f>
        <v>0</v>
      </c>
      <c r="M389" s="630">
        <f>'[10]10yr Lagged Norms'!G339</f>
        <v>0</v>
      </c>
      <c r="N389" s="630">
        <f>'[10]10yr Lagged Norms'!H339</f>
        <v>0</v>
      </c>
      <c r="O389" s="630">
        <f>'[10]10yr Lagged Norms'!I339</f>
        <v>0</v>
      </c>
      <c r="P389" s="707">
        <f t="shared" si="35"/>
        <v>0</v>
      </c>
    </row>
    <row r="390" spans="2:16" x14ac:dyDescent="0.2">
      <c r="B390" s="708">
        <f t="shared" si="37"/>
        <v>42181</v>
      </c>
      <c r="C390" s="634">
        <f>'[10]Lagged.Calendar HDDs'!E325</f>
        <v>0</v>
      </c>
      <c r="D390" s="634">
        <f>'[10]Lagged.Calendar HDDs'!F325</f>
        <v>0</v>
      </c>
      <c r="E390" s="634">
        <f>'[10]Lagged.Calendar HDDs'!G325</f>
        <v>0</v>
      </c>
      <c r="F390" s="634">
        <f>'[10]Lagged.Calendar HDDs'!H325</f>
        <v>0</v>
      </c>
      <c r="G390" s="634">
        <f>'[10]Lagged.Calendar HDDs'!I325</f>
        <v>0</v>
      </c>
      <c r="H390" s="706">
        <f t="shared" si="34"/>
        <v>0</v>
      </c>
      <c r="J390" s="699">
        <f t="shared" si="36"/>
        <v>42181</v>
      </c>
      <c r="K390" s="630">
        <f>'[10]10yr Lagged Norms'!E340</f>
        <v>0</v>
      </c>
      <c r="L390" s="630">
        <f>'[10]10yr Lagged Norms'!F340</f>
        <v>0</v>
      </c>
      <c r="M390" s="630">
        <f>'[10]10yr Lagged Norms'!G340</f>
        <v>0</v>
      </c>
      <c r="N390" s="630">
        <f>'[10]10yr Lagged Norms'!H340</f>
        <v>0</v>
      </c>
      <c r="O390" s="630">
        <f>'[10]10yr Lagged Norms'!I340</f>
        <v>0</v>
      </c>
      <c r="P390" s="707">
        <f t="shared" si="35"/>
        <v>0</v>
      </c>
    </row>
    <row r="391" spans="2:16" x14ac:dyDescent="0.2">
      <c r="B391" s="708">
        <f t="shared" si="37"/>
        <v>42182</v>
      </c>
      <c r="C391" s="634">
        <f>'[10]Lagged.Calendar HDDs'!E326</f>
        <v>0</v>
      </c>
      <c r="D391" s="634">
        <f>'[10]Lagged.Calendar HDDs'!F326</f>
        <v>0</v>
      </c>
      <c r="E391" s="634">
        <f>'[10]Lagged.Calendar HDDs'!G326</f>
        <v>0</v>
      </c>
      <c r="F391" s="634">
        <f>'[10]Lagged.Calendar HDDs'!H326</f>
        <v>0</v>
      </c>
      <c r="G391" s="634">
        <f>'[10]Lagged.Calendar HDDs'!I326</f>
        <v>0</v>
      </c>
      <c r="H391" s="706">
        <f t="shared" si="34"/>
        <v>0</v>
      </c>
      <c r="J391" s="699">
        <f t="shared" si="36"/>
        <v>42182</v>
      </c>
      <c r="K391" s="630">
        <f>'[10]10yr Lagged Norms'!E341</f>
        <v>0</v>
      </c>
      <c r="L391" s="630">
        <f>'[10]10yr Lagged Norms'!F341</f>
        <v>0</v>
      </c>
      <c r="M391" s="630">
        <f>'[10]10yr Lagged Norms'!G341</f>
        <v>0</v>
      </c>
      <c r="N391" s="630">
        <f>'[10]10yr Lagged Norms'!H341</f>
        <v>0</v>
      </c>
      <c r="O391" s="630">
        <f>'[10]10yr Lagged Norms'!I341</f>
        <v>0</v>
      </c>
      <c r="P391" s="707">
        <f t="shared" si="35"/>
        <v>0</v>
      </c>
    </row>
    <row r="392" spans="2:16" x14ac:dyDescent="0.2">
      <c r="B392" s="708">
        <f t="shared" si="37"/>
        <v>42183</v>
      </c>
      <c r="C392" s="634">
        <f>'[10]Lagged.Calendar HDDs'!E327</f>
        <v>0</v>
      </c>
      <c r="D392" s="634">
        <f>'[10]Lagged.Calendar HDDs'!F327</f>
        <v>0</v>
      </c>
      <c r="E392" s="634">
        <f>'[10]Lagged.Calendar HDDs'!G327</f>
        <v>0</v>
      </c>
      <c r="F392" s="634">
        <f>'[10]Lagged.Calendar HDDs'!H327</f>
        <v>0</v>
      </c>
      <c r="G392" s="634">
        <f>'[10]Lagged.Calendar HDDs'!I327</f>
        <v>0</v>
      </c>
      <c r="H392" s="706">
        <f t="shared" si="34"/>
        <v>0</v>
      </c>
      <c r="J392" s="699">
        <f t="shared" si="36"/>
        <v>42183</v>
      </c>
      <c r="K392" s="630">
        <f>'[10]10yr Lagged Norms'!E342</f>
        <v>0</v>
      </c>
      <c r="L392" s="630">
        <f>'[10]10yr Lagged Norms'!F342</f>
        <v>0</v>
      </c>
      <c r="M392" s="630">
        <f>'[10]10yr Lagged Norms'!G342</f>
        <v>0</v>
      </c>
      <c r="N392" s="630">
        <f>'[10]10yr Lagged Norms'!H342</f>
        <v>0</v>
      </c>
      <c r="O392" s="630">
        <f>'[10]10yr Lagged Norms'!I342</f>
        <v>0</v>
      </c>
      <c r="P392" s="707">
        <f t="shared" si="35"/>
        <v>0</v>
      </c>
    </row>
    <row r="393" spans="2:16" x14ac:dyDescent="0.2">
      <c r="B393" s="708">
        <f t="shared" si="37"/>
        <v>42184</v>
      </c>
      <c r="C393" s="634">
        <f>'[10]Lagged.Calendar HDDs'!E328</f>
        <v>0</v>
      </c>
      <c r="D393" s="634">
        <f>'[10]Lagged.Calendar HDDs'!F328</f>
        <v>0</v>
      </c>
      <c r="E393" s="634">
        <f>'[10]Lagged.Calendar HDDs'!G328</f>
        <v>0</v>
      </c>
      <c r="F393" s="634">
        <f>'[10]Lagged.Calendar HDDs'!H328</f>
        <v>0</v>
      </c>
      <c r="G393" s="634">
        <f>'[10]Lagged.Calendar HDDs'!I328</f>
        <v>0</v>
      </c>
      <c r="H393" s="706">
        <f t="shared" si="34"/>
        <v>0</v>
      </c>
      <c r="J393" s="699">
        <f t="shared" si="36"/>
        <v>42184</v>
      </c>
      <c r="K393" s="630">
        <f>'[10]10yr Lagged Norms'!E343</f>
        <v>0</v>
      </c>
      <c r="L393" s="630">
        <f>'[10]10yr Lagged Norms'!F343</f>
        <v>0</v>
      </c>
      <c r="M393" s="630">
        <f>'[10]10yr Lagged Norms'!G343</f>
        <v>0</v>
      </c>
      <c r="N393" s="630">
        <f>'[10]10yr Lagged Norms'!H343</f>
        <v>0</v>
      </c>
      <c r="O393" s="630">
        <f>'[10]10yr Lagged Norms'!I343</f>
        <v>0</v>
      </c>
      <c r="P393" s="707">
        <f t="shared" si="35"/>
        <v>0</v>
      </c>
    </row>
    <row r="394" spans="2:16" x14ac:dyDescent="0.2">
      <c r="B394" s="708">
        <f t="shared" si="37"/>
        <v>42185</v>
      </c>
      <c r="C394" s="634">
        <f>'[10]Lagged.Calendar HDDs'!E329</f>
        <v>0</v>
      </c>
      <c r="D394" s="634">
        <f>'[10]Lagged.Calendar HDDs'!F329</f>
        <v>0</v>
      </c>
      <c r="E394" s="634">
        <f>'[10]Lagged.Calendar HDDs'!G329</f>
        <v>0</v>
      </c>
      <c r="F394" s="634">
        <f>'[10]Lagged.Calendar HDDs'!H329</f>
        <v>0</v>
      </c>
      <c r="G394" s="634">
        <f>'[10]Lagged.Calendar HDDs'!I329</f>
        <v>0</v>
      </c>
      <c r="H394" s="706">
        <f t="shared" si="34"/>
        <v>0</v>
      </c>
      <c r="J394" s="699">
        <f t="shared" si="36"/>
        <v>42185</v>
      </c>
      <c r="K394" s="630">
        <f>'[10]10yr Lagged Norms'!E344</f>
        <v>0</v>
      </c>
      <c r="L394" s="630">
        <f>'[10]10yr Lagged Norms'!F344</f>
        <v>0</v>
      </c>
      <c r="M394" s="630">
        <f>'[10]10yr Lagged Norms'!G344</f>
        <v>0</v>
      </c>
      <c r="N394" s="630">
        <f>'[10]10yr Lagged Norms'!H344</f>
        <v>0</v>
      </c>
      <c r="O394" s="630">
        <f>'[10]10yr Lagged Norms'!I344</f>
        <v>0</v>
      </c>
      <c r="P394" s="707">
        <f t="shared" si="35"/>
        <v>0</v>
      </c>
    </row>
    <row r="395" spans="2:16" x14ac:dyDescent="0.2">
      <c r="B395" s="708">
        <f t="shared" si="37"/>
        <v>42186</v>
      </c>
      <c r="C395" s="634">
        <f>'[10]Lagged.Calendar HDDs'!E330</f>
        <v>0</v>
      </c>
      <c r="D395" s="634">
        <f>'[10]Lagged.Calendar HDDs'!F330</f>
        <v>0</v>
      </c>
      <c r="E395" s="634">
        <f>'[10]Lagged.Calendar HDDs'!G330</f>
        <v>0</v>
      </c>
      <c r="F395" s="634">
        <f>'[10]Lagged.Calendar HDDs'!H330</f>
        <v>0</v>
      </c>
      <c r="G395" s="634">
        <f>'[10]Lagged.Calendar HDDs'!I330</f>
        <v>0</v>
      </c>
      <c r="H395" s="706">
        <f t="shared" si="34"/>
        <v>0</v>
      </c>
      <c r="J395" s="699">
        <f t="shared" si="36"/>
        <v>42186</v>
      </c>
      <c r="K395" s="630">
        <f>'[10]10yr Lagged Norms'!E345</f>
        <v>0</v>
      </c>
      <c r="L395" s="630">
        <f>'[10]10yr Lagged Norms'!F345</f>
        <v>0</v>
      </c>
      <c r="M395" s="630">
        <f>'[10]10yr Lagged Norms'!G345</f>
        <v>0</v>
      </c>
      <c r="N395" s="630">
        <f>'[10]10yr Lagged Norms'!H345</f>
        <v>0</v>
      </c>
      <c r="O395" s="630">
        <f>'[10]10yr Lagged Norms'!I345</f>
        <v>0</v>
      </c>
      <c r="P395" s="707">
        <f t="shared" si="35"/>
        <v>0</v>
      </c>
    </row>
    <row r="396" spans="2:16" x14ac:dyDescent="0.2">
      <c r="B396" s="708">
        <f t="shared" si="37"/>
        <v>42187</v>
      </c>
      <c r="C396" s="634">
        <f>'[10]Lagged.Calendar HDDs'!E331</f>
        <v>0</v>
      </c>
      <c r="D396" s="634">
        <f>'[10]Lagged.Calendar HDDs'!F331</f>
        <v>0</v>
      </c>
      <c r="E396" s="634">
        <f>'[10]Lagged.Calendar HDDs'!G331</f>
        <v>0</v>
      </c>
      <c r="F396" s="634">
        <f>'[10]Lagged.Calendar HDDs'!H331</f>
        <v>0</v>
      </c>
      <c r="G396" s="634">
        <f>'[10]Lagged.Calendar HDDs'!I331</f>
        <v>0</v>
      </c>
      <c r="H396" s="706">
        <f t="shared" ref="H396:H456" si="38">IFERROR(ROUND((C396*C$70)+(D396*D$70)+(E396*E$70)+(F396*F$70)+(G396*G$70),0),0)</f>
        <v>0</v>
      </c>
      <c r="J396" s="699">
        <f t="shared" si="36"/>
        <v>42187</v>
      </c>
      <c r="K396" s="630">
        <f>'[10]10yr Lagged Norms'!E346</f>
        <v>0</v>
      </c>
      <c r="L396" s="630">
        <f>'[10]10yr Lagged Norms'!F346</f>
        <v>0</v>
      </c>
      <c r="M396" s="630">
        <f>'[10]10yr Lagged Norms'!G346</f>
        <v>0</v>
      </c>
      <c r="N396" s="630">
        <f>'[10]10yr Lagged Norms'!H346</f>
        <v>0</v>
      </c>
      <c r="O396" s="630">
        <f>'[10]10yr Lagged Norms'!I346</f>
        <v>0</v>
      </c>
      <c r="P396" s="707">
        <f t="shared" ref="P396:P456" si="39">IFERROR(ROUND((K396*C$70)+(L396*D$70)+(M396*E$70)+(N396*F$70)+(O396*G$70),0),0)</f>
        <v>0</v>
      </c>
    </row>
    <row r="397" spans="2:16" x14ac:dyDescent="0.2">
      <c r="B397" s="708">
        <f t="shared" si="37"/>
        <v>42188</v>
      </c>
      <c r="C397" s="634">
        <f>'[10]Lagged.Calendar HDDs'!E332</f>
        <v>0</v>
      </c>
      <c r="D397" s="634">
        <f>'[10]Lagged.Calendar HDDs'!F332</f>
        <v>0</v>
      </c>
      <c r="E397" s="634">
        <f>'[10]Lagged.Calendar HDDs'!G332</f>
        <v>0</v>
      </c>
      <c r="F397" s="634">
        <f>'[10]Lagged.Calendar HDDs'!H332</f>
        <v>0</v>
      </c>
      <c r="G397" s="634">
        <f>'[10]Lagged.Calendar HDDs'!I332</f>
        <v>0</v>
      </c>
      <c r="H397" s="706">
        <f t="shared" si="38"/>
        <v>0</v>
      </c>
      <c r="J397" s="699">
        <f t="shared" ref="J397:J456" si="40">B397</f>
        <v>42188</v>
      </c>
      <c r="K397" s="630">
        <f>'[10]10yr Lagged Norms'!E347</f>
        <v>0</v>
      </c>
      <c r="L397" s="630">
        <f>'[10]10yr Lagged Norms'!F347</f>
        <v>0</v>
      </c>
      <c r="M397" s="630">
        <f>'[10]10yr Lagged Norms'!G347</f>
        <v>0</v>
      </c>
      <c r="N397" s="630">
        <f>'[10]10yr Lagged Norms'!H347</f>
        <v>0</v>
      </c>
      <c r="O397" s="630">
        <f>'[10]10yr Lagged Norms'!I347</f>
        <v>0</v>
      </c>
      <c r="P397" s="707">
        <f t="shared" si="39"/>
        <v>0</v>
      </c>
    </row>
    <row r="398" spans="2:16" x14ac:dyDescent="0.2">
      <c r="B398" s="708">
        <f t="shared" ref="B398:B456" si="41">B397+1</f>
        <v>42189</v>
      </c>
      <c r="C398" s="634">
        <f>'[10]Lagged.Calendar HDDs'!E333</f>
        <v>0</v>
      </c>
      <c r="D398" s="634">
        <f>'[10]Lagged.Calendar HDDs'!F333</f>
        <v>0</v>
      </c>
      <c r="E398" s="634">
        <f>'[10]Lagged.Calendar HDDs'!G333</f>
        <v>0</v>
      </c>
      <c r="F398" s="634">
        <f>'[10]Lagged.Calendar HDDs'!H333</f>
        <v>0</v>
      </c>
      <c r="G398" s="634">
        <f>'[10]Lagged.Calendar HDDs'!I333</f>
        <v>0</v>
      </c>
      <c r="H398" s="706">
        <f t="shared" si="38"/>
        <v>0</v>
      </c>
      <c r="J398" s="699">
        <f t="shared" si="40"/>
        <v>42189</v>
      </c>
      <c r="K398" s="630">
        <f>'[10]10yr Lagged Norms'!E348</f>
        <v>0</v>
      </c>
      <c r="L398" s="630">
        <f>'[10]10yr Lagged Norms'!F348</f>
        <v>0</v>
      </c>
      <c r="M398" s="630">
        <f>'[10]10yr Lagged Norms'!G348</f>
        <v>0</v>
      </c>
      <c r="N398" s="630">
        <f>'[10]10yr Lagged Norms'!H348</f>
        <v>0</v>
      </c>
      <c r="O398" s="630">
        <f>'[10]10yr Lagged Norms'!I348</f>
        <v>0</v>
      </c>
      <c r="P398" s="707">
        <f t="shared" si="39"/>
        <v>0</v>
      </c>
    </row>
    <row r="399" spans="2:16" x14ac:dyDescent="0.2">
      <c r="B399" s="708">
        <f t="shared" si="41"/>
        <v>42190</v>
      </c>
      <c r="C399" s="634">
        <f>'[10]Lagged.Calendar HDDs'!E334</f>
        <v>0</v>
      </c>
      <c r="D399" s="634">
        <f>'[10]Lagged.Calendar HDDs'!F334</f>
        <v>0</v>
      </c>
      <c r="E399" s="634">
        <f>'[10]Lagged.Calendar HDDs'!G334</f>
        <v>0</v>
      </c>
      <c r="F399" s="634">
        <f>'[10]Lagged.Calendar HDDs'!H334</f>
        <v>0</v>
      </c>
      <c r="G399" s="634">
        <f>'[10]Lagged.Calendar HDDs'!I334</f>
        <v>0</v>
      </c>
      <c r="H399" s="706">
        <f t="shared" si="38"/>
        <v>0</v>
      </c>
      <c r="J399" s="699">
        <f t="shared" si="40"/>
        <v>42190</v>
      </c>
      <c r="K399" s="630">
        <f>'[10]10yr Lagged Norms'!E349</f>
        <v>0</v>
      </c>
      <c r="L399" s="630">
        <f>'[10]10yr Lagged Norms'!F349</f>
        <v>0</v>
      </c>
      <c r="M399" s="630">
        <f>'[10]10yr Lagged Norms'!G349</f>
        <v>0</v>
      </c>
      <c r="N399" s="630">
        <f>'[10]10yr Lagged Norms'!H349</f>
        <v>0</v>
      </c>
      <c r="O399" s="630">
        <f>'[10]10yr Lagged Norms'!I349</f>
        <v>0</v>
      </c>
      <c r="P399" s="707">
        <f t="shared" si="39"/>
        <v>0</v>
      </c>
    </row>
    <row r="400" spans="2:16" x14ac:dyDescent="0.2">
      <c r="B400" s="708">
        <f t="shared" si="41"/>
        <v>42191</v>
      </c>
      <c r="C400" s="634">
        <f>'[10]Lagged.Calendar HDDs'!E335</f>
        <v>0</v>
      </c>
      <c r="D400" s="634">
        <f>'[10]Lagged.Calendar HDDs'!F335</f>
        <v>0</v>
      </c>
      <c r="E400" s="634">
        <f>'[10]Lagged.Calendar HDDs'!G335</f>
        <v>0</v>
      </c>
      <c r="F400" s="634">
        <f>'[10]Lagged.Calendar HDDs'!H335</f>
        <v>0</v>
      </c>
      <c r="G400" s="634">
        <f>'[10]Lagged.Calendar HDDs'!I335</f>
        <v>0</v>
      </c>
      <c r="H400" s="706">
        <f t="shared" si="38"/>
        <v>0</v>
      </c>
      <c r="J400" s="699">
        <f t="shared" si="40"/>
        <v>42191</v>
      </c>
      <c r="K400" s="630">
        <f>'[10]10yr Lagged Norms'!E350</f>
        <v>0</v>
      </c>
      <c r="L400" s="630">
        <f>'[10]10yr Lagged Norms'!F350</f>
        <v>0</v>
      </c>
      <c r="M400" s="630">
        <f>'[10]10yr Lagged Norms'!G350</f>
        <v>0</v>
      </c>
      <c r="N400" s="630">
        <f>'[10]10yr Lagged Norms'!H350</f>
        <v>0</v>
      </c>
      <c r="O400" s="630">
        <f>'[10]10yr Lagged Norms'!I350</f>
        <v>0</v>
      </c>
      <c r="P400" s="707">
        <f t="shared" si="39"/>
        <v>0</v>
      </c>
    </row>
    <row r="401" spans="2:16" x14ac:dyDescent="0.2">
      <c r="B401" s="708">
        <f t="shared" si="41"/>
        <v>42192</v>
      </c>
      <c r="C401" s="634">
        <f>'[10]Lagged.Calendar HDDs'!E336</f>
        <v>0</v>
      </c>
      <c r="D401" s="634">
        <f>'[10]Lagged.Calendar HDDs'!F336</f>
        <v>0</v>
      </c>
      <c r="E401" s="634">
        <f>'[10]Lagged.Calendar HDDs'!G336</f>
        <v>0</v>
      </c>
      <c r="F401" s="634">
        <f>'[10]Lagged.Calendar HDDs'!H336</f>
        <v>0</v>
      </c>
      <c r="G401" s="634">
        <f>'[10]Lagged.Calendar HDDs'!I336</f>
        <v>0</v>
      </c>
      <c r="H401" s="706">
        <f t="shared" si="38"/>
        <v>0</v>
      </c>
      <c r="J401" s="699">
        <f t="shared" si="40"/>
        <v>42192</v>
      </c>
      <c r="K401" s="630">
        <f>'[10]10yr Lagged Norms'!E351</f>
        <v>0</v>
      </c>
      <c r="L401" s="630">
        <f>'[10]10yr Lagged Norms'!F351</f>
        <v>0</v>
      </c>
      <c r="M401" s="630">
        <f>'[10]10yr Lagged Norms'!G351</f>
        <v>0</v>
      </c>
      <c r="N401" s="630">
        <f>'[10]10yr Lagged Norms'!H351</f>
        <v>0</v>
      </c>
      <c r="O401" s="630">
        <f>'[10]10yr Lagged Norms'!I351</f>
        <v>0</v>
      </c>
      <c r="P401" s="707">
        <f t="shared" si="39"/>
        <v>0</v>
      </c>
    </row>
    <row r="402" spans="2:16" x14ac:dyDescent="0.2">
      <c r="B402" s="708">
        <f t="shared" si="41"/>
        <v>42193</v>
      </c>
      <c r="C402" s="634">
        <f>'[10]Lagged.Calendar HDDs'!E337</f>
        <v>0</v>
      </c>
      <c r="D402" s="634">
        <f>'[10]Lagged.Calendar HDDs'!F337</f>
        <v>0</v>
      </c>
      <c r="E402" s="634">
        <f>'[10]Lagged.Calendar HDDs'!G337</f>
        <v>0</v>
      </c>
      <c r="F402" s="634">
        <f>'[10]Lagged.Calendar HDDs'!H337</f>
        <v>0</v>
      </c>
      <c r="G402" s="634">
        <f>'[10]Lagged.Calendar HDDs'!I337</f>
        <v>0</v>
      </c>
      <c r="H402" s="706">
        <f t="shared" si="38"/>
        <v>0</v>
      </c>
      <c r="J402" s="699">
        <f t="shared" si="40"/>
        <v>42193</v>
      </c>
      <c r="K402" s="630">
        <f>'[10]10yr Lagged Norms'!E352</f>
        <v>0</v>
      </c>
      <c r="L402" s="630">
        <f>'[10]10yr Lagged Norms'!F352</f>
        <v>0</v>
      </c>
      <c r="M402" s="630">
        <f>'[10]10yr Lagged Norms'!G352</f>
        <v>0</v>
      </c>
      <c r="N402" s="630">
        <f>'[10]10yr Lagged Norms'!H352</f>
        <v>0</v>
      </c>
      <c r="O402" s="630">
        <f>'[10]10yr Lagged Norms'!I352</f>
        <v>0</v>
      </c>
      <c r="P402" s="707">
        <f t="shared" si="39"/>
        <v>0</v>
      </c>
    </row>
    <row r="403" spans="2:16" x14ac:dyDescent="0.2">
      <c r="B403" s="708">
        <f t="shared" si="41"/>
        <v>42194</v>
      </c>
      <c r="C403" s="634">
        <f>'[10]Lagged.Calendar HDDs'!E338</f>
        <v>0</v>
      </c>
      <c r="D403" s="634">
        <f>'[10]Lagged.Calendar HDDs'!F338</f>
        <v>0</v>
      </c>
      <c r="E403" s="634">
        <f>'[10]Lagged.Calendar HDDs'!G338</f>
        <v>0</v>
      </c>
      <c r="F403" s="634">
        <f>'[10]Lagged.Calendar HDDs'!H338</f>
        <v>0</v>
      </c>
      <c r="G403" s="634">
        <f>'[10]Lagged.Calendar HDDs'!I338</f>
        <v>0</v>
      </c>
      <c r="H403" s="706">
        <f t="shared" si="38"/>
        <v>0</v>
      </c>
      <c r="J403" s="699">
        <f t="shared" si="40"/>
        <v>42194</v>
      </c>
      <c r="K403" s="630">
        <f>'[10]10yr Lagged Norms'!E353</f>
        <v>0</v>
      </c>
      <c r="L403" s="630">
        <f>'[10]10yr Lagged Norms'!F353</f>
        <v>0</v>
      </c>
      <c r="M403" s="630">
        <f>'[10]10yr Lagged Norms'!G353</f>
        <v>0</v>
      </c>
      <c r="N403" s="630">
        <f>'[10]10yr Lagged Norms'!H353</f>
        <v>0</v>
      </c>
      <c r="O403" s="630">
        <f>'[10]10yr Lagged Norms'!I353</f>
        <v>0</v>
      </c>
      <c r="P403" s="707">
        <f t="shared" si="39"/>
        <v>0</v>
      </c>
    </row>
    <row r="404" spans="2:16" x14ac:dyDescent="0.2">
      <c r="B404" s="708">
        <f t="shared" si="41"/>
        <v>42195</v>
      </c>
      <c r="C404" s="634">
        <f>'[10]Lagged.Calendar HDDs'!E339</f>
        <v>0</v>
      </c>
      <c r="D404" s="634">
        <f>'[10]Lagged.Calendar HDDs'!F339</f>
        <v>0</v>
      </c>
      <c r="E404" s="634">
        <f>'[10]Lagged.Calendar HDDs'!G339</f>
        <v>0</v>
      </c>
      <c r="F404" s="634">
        <f>'[10]Lagged.Calendar HDDs'!H339</f>
        <v>0</v>
      </c>
      <c r="G404" s="634">
        <f>'[10]Lagged.Calendar HDDs'!I339</f>
        <v>0</v>
      </c>
      <c r="H404" s="706">
        <f t="shared" si="38"/>
        <v>0</v>
      </c>
      <c r="J404" s="699">
        <f t="shared" si="40"/>
        <v>42195</v>
      </c>
      <c r="K404" s="630">
        <f>'[10]10yr Lagged Norms'!E354</f>
        <v>0</v>
      </c>
      <c r="L404" s="630">
        <f>'[10]10yr Lagged Norms'!F354</f>
        <v>0</v>
      </c>
      <c r="M404" s="630">
        <f>'[10]10yr Lagged Norms'!G354</f>
        <v>0</v>
      </c>
      <c r="N404" s="630">
        <f>'[10]10yr Lagged Norms'!H354</f>
        <v>0</v>
      </c>
      <c r="O404" s="630">
        <f>'[10]10yr Lagged Norms'!I354</f>
        <v>0</v>
      </c>
      <c r="P404" s="707">
        <f t="shared" si="39"/>
        <v>0</v>
      </c>
    </row>
    <row r="405" spans="2:16" x14ac:dyDescent="0.2">
      <c r="B405" s="708">
        <f t="shared" si="41"/>
        <v>42196</v>
      </c>
      <c r="C405" s="634">
        <f>'[10]Lagged.Calendar HDDs'!E340</f>
        <v>0</v>
      </c>
      <c r="D405" s="634">
        <f>'[10]Lagged.Calendar HDDs'!F340</f>
        <v>0</v>
      </c>
      <c r="E405" s="634">
        <f>'[10]Lagged.Calendar HDDs'!G340</f>
        <v>0</v>
      </c>
      <c r="F405" s="634">
        <f>'[10]Lagged.Calendar HDDs'!H340</f>
        <v>0</v>
      </c>
      <c r="G405" s="634">
        <f>'[10]Lagged.Calendar HDDs'!I340</f>
        <v>0</v>
      </c>
      <c r="H405" s="706">
        <f t="shared" si="38"/>
        <v>0</v>
      </c>
      <c r="J405" s="699">
        <f t="shared" si="40"/>
        <v>42196</v>
      </c>
      <c r="K405" s="630">
        <f>'[10]10yr Lagged Norms'!E355</f>
        <v>0</v>
      </c>
      <c r="L405" s="630">
        <f>'[10]10yr Lagged Norms'!F355</f>
        <v>0</v>
      </c>
      <c r="M405" s="630">
        <f>'[10]10yr Lagged Norms'!G355</f>
        <v>0</v>
      </c>
      <c r="N405" s="630">
        <f>'[10]10yr Lagged Norms'!H355</f>
        <v>0</v>
      </c>
      <c r="O405" s="630">
        <f>'[10]10yr Lagged Norms'!I355</f>
        <v>0</v>
      </c>
      <c r="P405" s="707">
        <f t="shared" si="39"/>
        <v>0</v>
      </c>
    </row>
    <row r="406" spans="2:16" x14ac:dyDescent="0.2">
      <c r="B406" s="708">
        <f t="shared" si="41"/>
        <v>42197</v>
      </c>
      <c r="C406" s="634">
        <f>'[10]Lagged.Calendar HDDs'!E341</f>
        <v>0</v>
      </c>
      <c r="D406" s="634">
        <f>'[10]Lagged.Calendar HDDs'!F341</f>
        <v>0</v>
      </c>
      <c r="E406" s="634">
        <f>'[10]Lagged.Calendar HDDs'!G341</f>
        <v>0</v>
      </c>
      <c r="F406" s="634">
        <f>'[10]Lagged.Calendar HDDs'!H341</f>
        <v>0</v>
      </c>
      <c r="G406" s="634">
        <f>'[10]Lagged.Calendar HDDs'!I341</f>
        <v>0</v>
      </c>
      <c r="H406" s="706">
        <f t="shared" si="38"/>
        <v>0</v>
      </c>
      <c r="J406" s="699">
        <f t="shared" si="40"/>
        <v>42197</v>
      </c>
      <c r="K406" s="630">
        <f>'[10]10yr Lagged Norms'!E356</f>
        <v>0</v>
      </c>
      <c r="L406" s="630">
        <f>'[10]10yr Lagged Norms'!F356</f>
        <v>0</v>
      </c>
      <c r="M406" s="630">
        <f>'[10]10yr Lagged Norms'!G356</f>
        <v>0</v>
      </c>
      <c r="N406" s="630">
        <f>'[10]10yr Lagged Norms'!H356</f>
        <v>0</v>
      </c>
      <c r="O406" s="630">
        <f>'[10]10yr Lagged Norms'!I356</f>
        <v>0</v>
      </c>
      <c r="P406" s="707">
        <f t="shared" si="39"/>
        <v>0</v>
      </c>
    </row>
    <row r="407" spans="2:16" x14ac:dyDescent="0.2">
      <c r="B407" s="708">
        <f t="shared" si="41"/>
        <v>42198</v>
      </c>
      <c r="C407" s="634">
        <f>'[10]Lagged.Calendar HDDs'!E342</f>
        <v>0</v>
      </c>
      <c r="D407" s="634">
        <f>'[10]Lagged.Calendar HDDs'!F342</f>
        <v>0</v>
      </c>
      <c r="E407" s="634">
        <f>'[10]Lagged.Calendar HDDs'!G342</f>
        <v>0</v>
      </c>
      <c r="F407" s="634">
        <f>'[10]Lagged.Calendar HDDs'!H342</f>
        <v>0</v>
      </c>
      <c r="G407" s="634">
        <f>'[10]Lagged.Calendar HDDs'!I342</f>
        <v>0</v>
      </c>
      <c r="H407" s="706">
        <f t="shared" si="38"/>
        <v>0</v>
      </c>
      <c r="J407" s="699">
        <f t="shared" si="40"/>
        <v>42198</v>
      </c>
      <c r="K407" s="630">
        <f>'[10]10yr Lagged Norms'!E357</f>
        <v>0</v>
      </c>
      <c r="L407" s="630">
        <f>'[10]10yr Lagged Norms'!F357</f>
        <v>0</v>
      </c>
      <c r="M407" s="630">
        <f>'[10]10yr Lagged Norms'!G357</f>
        <v>0</v>
      </c>
      <c r="N407" s="630">
        <f>'[10]10yr Lagged Norms'!H357</f>
        <v>0</v>
      </c>
      <c r="O407" s="630">
        <f>'[10]10yr Lagged Norms'!I357</f>
        <v>0</v>
      </c>
      <c r="P407" s="707">
        <f t="shared" si="39"/>
        <v>0</v>
      </c>
    </row>
    <row r="408" spans="2:16" x14ac:dyDescent="0.2">
      <c r="B408" s="708">
        <f t="shared" si="41"/>
        <v>42199</v>
      </c>
      <c r="C408" s="634">
        <f>'[10]Lagged.Calendar HDDs'!E343</f>
        <v>0</v>
      </c>
      <c r="D408" s="634">
        <f>'[10]Lagged.Calendar HDDs'!F343</f>
        <v>0</v>
      </c>
      <c r="E408" s="634">
        <f>'[10]Lagged.Calendar HDDs'!G343</f>
        <v>0</v>
      </c>
      <c r="F408" s="634">
        <f>'[10]Lagged.Calendar HDDs'!H343</f>
        <v>0</v>
      </c>
      <c r="G408" s="634">
        <f>'[10]Lagged.Calendar HDDs'!I343</f>
        <v>0</v>
      </c>
      <c r="H408" s="706">
        <f t="shared" si="38"/>
        <v>0</v>
      </c>
      <c r="J408" s="699">
        <f t="shared" si="40"/>
        <v>42199</v>
      </c>
      <c r="K408" s="630">
        <f>'[10]10yr Lagged Norms'!E358</f>
        <v>0</v>
      </c>
      <c r="L408" s="630">
        <f>'[10]10yr Lagged Norms'!F358</f>
        <v>0</v>
      </c>
      <c r="M408" s="630">
        <f>'[10]10yr Lagged Norms'!G358</f>
        <v>0</v>
      </c>
      <c r="N408" s="630">
        <f>'[10]10yr Lagged Norms'!H358</f>
        <v>0</v>
      </c>
      <c r="O408" s="630">
        <f>'[10]10yr Lagged Norms'!I358</f>
        <v>0</v>
      </c>
      <c r="P408" s="707">
        <f t="shared" si="39"/>
        <v>0</v>
      </c>
    </row>
    <row r="409" spans="2:16" x14ac:dyDescent="0.2">
      <c r="B409" s="708">
        <f t="shared" si="41"/>
        <v>42200</v>
      </c>
      <c r="C409" s="634">
        <f>'[10]Lagged.Calendar HDDs'!E344</f>
        <v>0</v>
      </c>
      <c r="D409" s="634">
        <f>'[10]Lagged.Calendar HDDs'!F344</f>
        <v>0</v>
      </c>
      <c r="E409" s="634">
        <f>'[10]Lagged.Calendar HDDs'!G344</f>
        <v>0</v>
      </c>
      <c r="F409" s="634">
        <f>'[10]Lagged.Calendar HDDs'!H344</f>
        <v>0</v>
      </c>
      <c r="G409" s="634">
        <f>'[10]Lagged.Calendar HDDs'!I344</f>
        <v>0</v>
      </c>
      <c r="H409" s="706">
        <f t="shared" si="38"/>
        <v>0</v>
      </c>
      <c r="J409" s="699">
        <f t="shared" si="40"/>
        <v>42200</v>
      </c>
      <c r="K409" s="630">
        <f>'[10]10yr Lagged Norms'!E359</f>
        <v>0</v>
      </c>
      <c r="L409" s="630">
        <f>'[10]10yr Lagged Norms'!F359</f>
        <v>0</v>
      </c>
      <c r="M409" s="630">
        <f>'[10]10yr Lagged Norms'!G359</f>
        <v>0</v>
      </c>
      <c r="N409" s="630">
        <f>'[10]10yr Lagged Norms'!H359</f>
        <v>0</v>
      </c>
      <c r="O409" s="630">
        <f>'[10]10yr Lagged Norms'!I359</f>
        <v>0</v>
      </c>
      <c r="P409" s="707">
        <f t="shared" si="39"/>
        <v>0</v>
      </c>
    </row>
    <row r="410" spans="2:16" x14ac:dyDescent="0.2">
      <c r="B410" s="708">
        <f t="shared" si="41"/>
        <v>42201</v>
      </c>
      <c r="C410" s="634">
        <f>'[10]Lagged.Calendar HDDs'!E345</f>
        <v>0</v>
      </c>
      <c r="D410" s="634">
        <f>'[10]Lagged.Calendar HDDs'!F345</f>
        <v>0</v>
      </c>
      <c r="E410" s="634">
        <f>'[10]Lagged.Calendar HDDs'!G345</f>
        <v>0</v>
      </c>
      <c r="F410" s="634">
        <f>'[10]Lagged.Calendar HDDs'!H345</f>
        <v>0</v>
      </c>
      <c r="G410" s="634">
        <f>'[10]Lagged.Calendar HDDs'!I345</f>
        <v>0</v>
      </c>
      <c r="H410" s="706">
        <f t="shared" si="38"/>
        <v>0</v>
      </c>
      <c r="J410" s="699">
        <f t="shared" si="40"/>
        <v>42201</v>
      </c>
      <c r="K410" s="630">
        <f>'[10]10yr Lagged Norms'!E360</f>
        <v>0</v>
      </c>
      <c r="L410" s="630">
        <f>'[10]10yr Lagged Norms'!F360</f>
        <v>0</v>
      </c>
      <c r="M410" s="630">
        <f>'[10]10yr Lagged Norms'!G360</f>
        <v>0</v>
      </c>
      <c r="N410" s="630">
        <f>'[10]10yr Lagged Norms'!H360</f>
        <v>0</v>
      </c>
      <c r="O410" s="630">
        <f>'[10]10yr Lagged Norms'!I360</f>
        <v>0</v>
      </c>
      <c r="P410" s="707">
        <f t="shared" si="39"/>
        <v>0</v>
      </c>
    </row>
    <row r="411" spans="2:16" x14ac:dyDescent="0.2">
      <c r="B411" s="708">
        <f t="shared" si="41"/>
        <v>42202</v>
      </c>
      <c r="C411" s="634">
        <f>'[10]Lagged.Calendar HDDs'!E346</f>
        <v>0</v>
      </c>
      <c r="D411" s="634">
        <f>'[10]Lagged.Calendar HDDs'!F346</f>
        <v>0</v>
      </c>
      <c r="E411" s="634">
        <f>'[10]Lagged.Calendar HDDs'!G346</f>
        <v>0</v>
      </c>
      <c r="F411" s="634">
        <f>'[10]Lagged.Calendar HDDs'!H346</f>
        <v>0</v>
      </c>
      <c r="G411" s="634">
        <f>'[10]Lagged.Calendar HDDs'!I346</f>
        <v>0</v>
      </c>
      <c r="H411" s="706">
        <f t="shared" si="38"/>
        <v>0</v>
      </c>
      <c r="J411" s="699">
        <f t="shared" si="40"/>
        <v>42202</v>
      </c>
      <c r="K411" s="630">
        <f>'[10]10yr Lagged Norms'!E361</f>
        <v>0</v>
      </c>
      <c r="L411" s="630">
        <f>'[10]10yr Lagged Norms'!F361</f>
        <v>0</v>
      </c>
      <c r="M411" s="630">
        <f>'[10]10yr Lagged Norms'!G361</f>
        <v>0</v>
      </c>
      <c r="N411" s="630">
        <f>'[10]10yr Lagged Norms'!H361</f>
        <v>0</v>
      </c>
      <c r="O411" s="630">
        <f>'[10]10yr Lagged Norms'!I361</f>
        <v>0</v>
      </c>
      <c r="P411" s="707">
        <f t="shared" si="39"/>
        <v>0</v>
      </c>
    </row>
    <row r="412" spans="2:16" x14ac:dyDescent="0.2">
      <c r="B412" s="708">
        <f t="shared" si="41"/>
        <v>42203</v>
      </c>
      <c r="C412" s="634">
        <f>'[10]Lagged.Calendar HDDs'!E347</f>
        <v>0</v>
      </c>
      <c r="D412" s="634">
        <f>'[10]Lagged.Calendar HDDs'!F347</f>
        <v>0</v>
      </c>
      <c r="E412" s="634">
        <f>'[10]Lagged.Calendar HDDs'!G347</f>
        <v>0</v>
      </c>
      <c r="F412" s="634">
        <f>'[10]Lagged.Calendar HDDs'!H347</f>
        <v>0</v>
      </c>
      <c r="G412" s="634">
        <f>'[10]Lagged.Calendar HDDs'!I347</f>
        <v>0</v>
      </c>
      <c r="H412" s="706">
        <f t="shared" si="38"/>
        <v>0</v>
      </c>
      <c r="J412" s="699">
        <f t="shared" si="40"/>
        <v>42203</v>
      </c>
      <c r="K412" s="630">
        <f>'[10]10yr Lagged Norms'!E362</f>
        <v>0</v>
      </c>
      <c r="L412" s="630">
        <f>'[10]10yr Lagged Norms'!F362</f>
        <v>0</v>
      </c>
      <c r="M412" s="630">
        <f>'[10]10yr Lagged Norms'!G362</f>
        <v>0.2</v>
      </c>
      <c r="N412" s="630">
        <f>'[10]10yr Lagged Norms'!H362</f>
        <v>0</v>
      </c>
      <c r="O412" s="630">
        <f>'[10]10yr Lagged Norms'!I362</f>
        <v>0</v>
      </c>
      <c r="P412" s="707">
        <f t="shared" si="39"/>
        <v>0</v>
      </c>
    </row>
    <row r="413" spans="2:16" x14ac:dyDescent="0.2">
      <c r="B413" s="708">
        <f t="shared" si="41"/>
        <v>42204</v>
      </c>
      <c r="C413" s="634">
        <f>'[10]Lagged.Calendar HDDs'!E348</f>
        <v>0</v>
      </c>
      <c r="D413" s="634">
        <f>'[10]Lagged.Calendar HDDs'!F348</f>
        <v>0</v>
      </c>
      <c r="E413" s="634">
        <f>'[10]Lagged.Calendar HDDs'!G348</f>
        <v>0</v>
      </c>
      <c r="F413" s="634">
        <f>'[10]Lagged.Calendar HDDs'!H348</f>
        <v>0</v>
      </c>
      <c r="G413" s="634">
        <f>'[10]Lagged.Calendar HDDs'!I348</f>
        <v>0</v>
      </c>
      <c r="H413" s="706">
        <f t="shared" si="38"/>
        <v>0</v>
      </c>
      <c r="J413" s="699">
        <f t="shared" si="40"/>
        <v>42204</v>
      </c>
      <c r="K413" s="630">
        <f>'[10]10yr Lagged Norms'!E363</f>
        <v>0</v>
      </c>
      <c r="L413" s="630">
        <f>'[10]10yr Lagged Norms'!F363</f>
        <v>0</v>
      </c>
      <c r="M413" s="630">
        <f>'[10]10yr Lagged Norms'!G363</f>
        <v>0.1</v>
      </c>
      <c r="N413" s="630">
        <f>'[10]10yr Lagged Norms'!H363</f>
        <v>0</v>
      </c>
      <c r="O413" s="630">
        <f>'[10]10yr Lagged Norms'!I363</f>
        <v>0</v>
      </c>
      <c r="P413" s="707">
        <f t="shared" si="39"/>
        <v>0</v>
      </c>
    </row>
    <row r="414" spans="2:16" x14ac:dyDescent="0.2">
      <c r="B414" s="708">
        <f t="shared" si="41"/>
        <v>42205</v>
      </c>
      <c r="C414" s="634">
        <f>'[10]Lagged.Calendar HDDs'!E349</f>
        <v>0</v>
      </c>
      <c r="D414" s="634">
        <f>'[10]Lagged.Calendar HDDs'!F349</f>
        <v>0</v>
      </c>
      <c r="E414" s="634">
        <f>'[10]Lagged.Calendar HDDs'!G349</f>
        <v>0</v>
      </c>
      <c r="F414" s="634">
        <f>'[10]Lagged.Calendar HDDs'!H349</f>
        <v>0</v>
      </c>
      <c r="G414" s="634">
        <f>'[10]Lagged.Calendar HDDs'!I349</f>
        <v>0</v>
      </c>
      <c r="H414" s="706">
        <f t="shared" si="38"/>
        <v>0</v>
      </c>
      <c r="J414" s="699">
        <f t="shared" si="40"/>
        <v>42205</v>
      </c>
      <c r="K414" s="630">
        <f>'[10]10yr Lagged Norms'!E364</f>
        <v>0</v>
      </c>
      <c r="L414" s="630">
        <f>'[10]10yr Lagged Norms'!F364</f>
        <v>0</v>
      </c>
      <c r="M414" s="630">
        <f>'[10]10yr Lagged Norms'!G364</f>
        <v>0</v>
      </c>
      <c r="N414" s="630">
        <f>'[10]10yr Lagged Norms'!H364</f>
        <v>0</v>
      </c>
      <c r="O414" s="630">
        <f>'[10]10yr Lagged Norms'!I364</f>
        <v>0</v>
      </c>
      <c r="P414" s="707">
        <f t="shared" si="39"/>
        <v>0</v>
      </c>
    </row>
    <row r="415" spans="2:16" x14ac:dyDescent="0.2">
      <c r="B415" s="708">
        <f t="shared" si="41"/>
        <v>42206</v>
      </c>
      <c r="C415" s="634">
        <f>'[10]Lagged.Calendar HDDs'!E350</f>
        <v>0</v>
      </c>
      <c r="D415" s="634">
        <f>'[10]Lagged.Calendar HDDs'!F350</f>
        <v>0</v>
      </c>
      <c r="E415" s="634">
        <f>'[10]Lagged.Calendar HDDs'!G350</f>
        <v>0</v>
      </c>
      <c r="F415" s="634">
        <f>'[10]Lagged.Calendar HDDs'!H350</f>
        <v>0</v>
      </c>
      <c r="G415" s="634">
        <f>'[10]Lagged.Calendar HDDs'!I350</f>
        <v>0</v>
      </c>
      <c r="H415" s="706">
        <f t="shared" si="38"/>
        <v>0</v>
      </c>
      <c r="J415" s="699">
        <f t="shared" si="40"/>
        <v>42206</v>
      </c>
      <c r="K415" s="630">
        <f>'[10]10yr Lagged Norms'!E365</f>
        <v>0</v>
      </c>
      <c r="L415" s="630">
        <f>'[10]10yr Lagged Norms'!F365</f>
        <v>0</v>
      </c>
      <c r="M415" s="630">
        <f>'[10]10yr Lagged Norms'!G365</f>
        <v>0</v>
      </c>
      <c r="N415" s="630">
        <f>'[10]10yr Lagged Norms'!H365</f>
        <v>0</v>
      </c>
      <c r="O415" s="630">
        <f>'[10]10yr Lagged Norms'!I365</f>
        <v>0</v>
      </c>
      <c r="P415" s="707">
        <f t="shared" si="39"/>
        <v>0</v>
      </c>
    </row>
    <row r="416" spans="2:16" x14ac:dyDescent="0.2">
      <c r="B416" s="708">
        <f t="shared" si="41"/>
        <v>42207</v>
      </c>
      <c r="C416" s="634">
        <f>'[10]Lagged.Calendar HDDs'!E351</f>
        <v>0</v>
      </c>
      <c r="D416" s="634">
        <f>'[10]Lagged.Calendar HDDs'!F351</f>
        <v>0</v>
      </c>
      <c r="E416" s="634">
        <f>'[10]Lagged.Calendar HDDs'!G351</f>
        <v>0</v>
      </c>
      <c r="F416" s="634">
        <f>'[10]Lagged.Calendar HDDs'!H351</f>
        <v>0</v>
      </c>
      <c r="G416" s="634">
        <f>'[10]Lagged.Calendar HDDs'!I351</f>
        <v>0</v>
      </c>
      <c r="H416" s="706">
        <f t="shared" si="38"/>
        <v>0</v>
      </c>
      <c r="J416" s="699">
        <f t="shared" si="40"/>
        <v>42207</v>
      </c>
      <c r="K416" s="630">
        <f>'[10]10yr Lagged Norms'!E366</f>
        <v>0</v>
      </c>
      <c r="L416" s="630">
        <f>'[10]10yr Lagged Norms'!F366</f>
        <v>0</v>
      </c>
      <c r="M416" s="630">
        <f>'[10]10yr Lagged Norms'!G366</f>
        <v>0</v>
      </c>
      <c r="N416" s="630">
        <f>'[10]10yr Lagged Norms'!H366</f>
        <v>0</v>
      </c>
      <c r="O416" s="630">
        <f>'[10]10yr Lagged Norms'!I366</f>
        <v>0</v>
      </c>
      <c r="P416" s="707">
        <f t="shared" si="39"/>
        <v>0</v>
      </c>
    </row>
    <row r="417" spans="2:16" x14ac:dyDescent="0.2">
      <c r="B417" s="708">
        <f t="shared" si="41"/>
        <v>42208</v>
      </c>
      <c r="C417" s="634">
        <f>'[10]Lagged.Calendar HDDs'!E352</f>
        <v>0</v>
      </c>
      <c r="D417" s="634">
        <f>'[10]Lagged.Calendar HDDs'!F352</f>
        <v>0</v>
      </c>
      <c r="E417" s="634">
        <f>'[10]Lagged.Calendar HDDs'!G352</f>
        <v>0</v>
      </c>
      <c r="F417" s="634">
        <f>'[10]Lagged.Calendar HDDs'!H352</f>
        <v>0</v>
      </c>
      <c r="G417" s="634">
        <f>'[10]Lagged.Calendar HDDs'!I352</f>
        <v>0</v>
      </c>
      <c r="H417" s="706">
        <f t="shared" si="38"/>
        <v>0</v>
      </c>
      <c r="J417" s="699">
        <f t="shared" si="40"/>
        <v>42208</v>
      </c>
      <c r="K417" s="630">
        <f>'[10]10yr Lagged Norms'!E367</f>
        <v>0</v>
      </c>
      <c r="L417" s="630">
        <f>'[10]10yr Lagged Norms'!F367</f>
        <v>0</v>
      </c>
      <c r="M417" s="630">
        <f>'[10]10yr Lagged Norms'!G367</f>
        <v>0</v>
      </c>
      <c r="N417" s="630">
        <f>'[10]10yr Lagged Norms'!H367</f>
        <v>0</v>
      </c>
      <c r="O417" s="630">
        <f>'[10]10yr Lagged Norms'!I367</f>
        <v>0</v>
      </c>
      <c r="P417" s="707">
        <f t="shared" si="39"/>
        <v>0</v>
      </c>
    </row>
    <row r="418" spans="2:16" x14ac:dyDescent="0.2">
      <c r="B418" s="708">
        <f t="shared" si="41"/>
        <v>42209</v>
      </c>
      <c r="C418" s="634">
        <f>'[10]Lagged.Calendar HDDs'!E353</f>
        <v>0</v>
      </c>
      <c r="D418" s="634">
        <f>'[10]Lagged.Calendar HDDs'!F353</f>
        <v>0</v>
      </c>
      <c r="E418" s="634">
        <f>'[10]Lagged.Calendar HDDs'!G353</f>
        <v>0</v>
      </c>
      <c r="F418" s="634">
        <f>'[10]Lagged.Calendar HDDs'!H353</f>
        <v>0</v>
      </c>
      <c r="G418" s="634">
        <f>'[10]Lagged.Calendar HDDs'!I353</f>
        <v>0</v>
      </c>
      <c r="H418" s="706">
        <f t="shared" si="38"/>
        <v>0</v>
      </c>
      <c r="J418" s="699">
        <f t="shared" si="40"/>
        <v>42209</v>
      </c>
      <c r="K418" s="630">
        <f>'[10]10yr Lagged Norms'!E368</f>
        <v>0</v>
      </c>
      <c r="L418" s="630">
        <f>'[10]10yr Lagged Norms'!F368</f>
        <v>0</v>
      </c>
      <c r="M418" s="630">
        <f>'[10]10yr Lagged Norms'!G368</f>
        <v>0</v>
      </c>
      <c r="N418" s="630">
        <f>'[10]10yr Lagged Norms'!H368</f>
        <v>0</v>
      </c>
      <c r="O418" s="630">
        <f>'[10]10yr Lagged Norms'!I368</f>
        <v>0</v>
      </c>
      <c r="P418" s="707">
        <f t="shared" si="39"/>
        <v>0</v>
      </c>
    </row>
    <row r="419" spans="2:16" x14ac:dyDescent="0.2">
      <c r="B419" s="708">
        <f t="shared" si="41"/>
        <v>42210</v>
      </c>
      <c r="C419" s="634">
        <f>'[10]Lagged.Calendar HDDs'!E354</f>
        <v>0</v>
      </c>
      <c r="D419" s="634">
        <f>'[10]Lagged.Calendar HDDs'!F354</f>
        <v>0</v>
      </c>
      <c r="E419" s="634">
        <f>'[10]Lagged.Calendar HDDs'!G354</f>
        <v>0</v>
      </c>
      <c r="F419" s="634">
        <f>'[10]Lagged.Calendar HDDs'!H354</f>
        <v>0</v>
      </c>
      <c r="G419" s="634">
        <f>'[10]Lagged.Calendar HDDs'!I354</f>
        <v>0</v>
      </c>
      <c r="H419" s="706">
        <f t="shared" si="38"/>
        <v>0</v>
      </c>
      <c r="J419" s="699">
        <f t="shared" si="40"/>
        <v>42210</v>
      </c>
      <c r="K419" s="630">
        <f>'[10]10yr Lagged Norms'!E369</f>
        <v>0</v>
      </c>
      <c r="L419" s="630">
        <f>'[10]10yr Lagged Norms'!F369</f>
        <v>0</v>
      </c>
      <c r="M419" s="630">
        <f>'[10]10yr Lagged Norms'!G369</f>
        <v>0</v>
      </c>
      <c r="N419" s="630">
        <f>'[10]10yr Lagged Norms'!H369</f>
        <v>0</v>
      </c>
      <c r="O419" s="630">
        <f>'[10]10yr Lagged Norms'!I369</f>
        <v>0</v>
      </c>
      <c r="P419" s="707">
        <f t="shared" si="39"/>
        <v>0</v>
      </c>
    </row>
    <row r="420" spans="2:16" x14ac:dyDescent="0.2">
      <c r="B420" s="708">
        <f t="shared" si="41"/>
        <v>42211</v>
      </c>
      <c r="C420" s="634">
        <f>'[10]Lagged.Calendar HDDs'!E355</f>
        <v>0</v>
      </c>
      <c r="D420" s="634">
        <f>'[10]Lagged.Calendar HDDs'!F355</f>
        <v>0</v>
      </c>
      <c r="E420" s="634">
        <f>'[10]Lagged.Calendar HDDs'!G355</f>
        <v>0</v>
      </c>
      <c r="F420" s="634">
        <f>'[10]Lagged.Calendar HDDs'!H355</f>
        <v>0</v>
      </c>
      <c r="G420" s="634">
        <f>'[10]Lagged.Calendar HDDs'!I355</f>
        <v>0</v>
      </c>
      <c r="H420" s="706">
        <f t="shared" si="38"/>
        <v>0</v>
      </c>
      <c r="J420" s="699">
        <f t="shared" si="40"/>
        <v>42211</v>
      </c>
      <c r="K420" s="630">
        <f>'[10]10yr Lagged Norms'!E370</f>
        <v>0</v>
      </c>
      <c r="L420" s="630">
        <f>'[10]10yr Lagged Norms'!F370</f>
        <v>0</v>
      </c>
      <c r="M420" s="630">
        <f>'[10]10yr Lagged Norms'!G370</f>
        <v>0</v>
      </c>
      <c r="N420" s="630">
        <f>'[10]10yr Lagged Norms'!H370</f>
        <v>0</v>
      </c>
      <c r="O420" s="630">
        <f>'[10]10yr Lagged Norms'!I370</f>
        <v>0</v>
      </c>
      <c r="P420" s="707">
        <f t="shared" si="39"/>
        <v>0</v>
      </c>
    </row>
    <row r="421" spans="2:16" x14ac:dyDescent="0.2">
      <c r="B421" s="708">
        <f t="shared" si="41"/>
        <v>42212</v>
      </c>
      <c r="C421" s="634">
        <f>'[10]Lagged.Calendar HDDs'!E356</f>
        <v>0</v>
      </c>
      <c r="D421" s="634">
        <f>'[10]Lagged.Calendar HDDs'!F356</f>
        <v>0</v>
      </c>
      <c r="E421" s="634">
        <f>'[10]Lagged.Calendar HDDs'!G356</f>
        <v>0</v>
      </c>
      <c r="F421" s="634">
        <f>'[10]Lagged.Calendar HDDs'!H356</f>
        <v>0</v>
      </c>
      <c r="G421" s="634">
        <f>'[10]Lagged.Calendar HDDs'!I356</f>
        <v>0</v>
      </c>
      <c r="H421" s="706">
        <f t="shared" si="38"/>
        <v>0</v>
      </c>
      <c r="J421" s="699">
        <f t="shared" si="40"/>
        <v>42212</v>
      </c>
      <c r="K421" s="630">
        <f>'[10]10yr Lagged Norms'!E371</f>
        <v>0</v>
      </c>
      <c r="L421" s="630">
        <f>'[10]10yr Lagged Norms'!F371</f>
        <v>0</v>
      </c>
      <c r="M421" s="630">
        <f>'[10]10yr Lagged Norms'!G371</f>
        <v>0</v>
      </c>
      <c r="N421" s="630">
        <f>'[10]10yr Lagged Norms'!H371</f>
        <v>0</v>
      </c>
      <c r="O421" s="630">
        <f>'[10]10yr Lagged Norms'!I371</f>
        <v>0</v>
      </c>
      <c r="P421" s="707">
        <f t="shared" si="39"/>
        <v>0</v>
      </c>
    </row>
    <row r="422" spans="2:16" x14ac:dyDescent="0.2">
      <c r="B422" s="708">
        <f t="shared" si="41"/>
        <v>42213</v>
      </c>
      <c r="C422" s="634">
        <f>'[10]Lagged.Calendar HDDs'!E357</f>
        <v>0</v>
      </c>
      <c r="D422" s="634">
        <f>'[10]Lagged.Calendar HDDs'!F357</f>
        <v>0</v>
      </c>
      <c r="E422" s="634">
        <f>'[10]Lagged.Calendar HDDs'!G357</f>
        <v>0</v>
      </c>
      <c r="F422" s="634">
        <f>'[10]Lagged.Calendar HDDs'!H357</f>
        <v>0</v>
      </c>
      <c r="G422" s="634">
        <f>'[10]Lagged.Calendar HDDs'!I357</f>
        <v>0</v>
      </c>
      <c r="H422" s="706">
        <f t="shared" si="38"/>
        <v>0</v>
      </c>
      <c r="J422" s="699">
        <f t="shared" si="40"/>
        <v>42213</v>
      </c>
      <c r="K422" s="630">
        <f>'[10]10yr Lagged Norms'!E372</f>
        <v>0</v>
      </c>
      <c r="L422" s="630">
        <f>'[10]10yr Lagged Norms'!F372</f>
        <v>0</v>
      </c>
      <c r="M422" s="630">
        <f>'[10]10yr Lagged Norms'!G372</f>
        <v>0</v>
      </c>
      <c r="N422" s="630">
        <f>'[10]10yr Lagged Norms'!H372</f>
        <v>0</v>
      </c>
      <c r="O422" s="630">
        <f>'[10]10yr Lagged Norms'!I372</f>
        <v>0</v>
      </c>
      <c r="P422" s="707">
        <f t="shared" si="39"/>
        <v>0</v>
      </c>
    </row>
    <row r="423" spans="2:16" x14ac:dyDescent="0.2">
      <c r="B423" s="708">
        <f t="shared" si="41"/>
        <v>42214</v>
      </c>
      <c r="C423" s="634">
        <f>'[10]Lagged.Calendar HDDs'!E358</f>
        <v>0</v>
      </c>
      <c r="D423" s="634">
        <f>'[10]Lagged.Calendar HDDs'!F358</f>
        <v>0</v>
      </c>
      <c r="E423" s="634">
        <f>'[10]Lagged.Calendar HDDs'!G358</f>
        <v>0</v>
      </c>
      <c r="F423" s="634">
        <f>'[10]Lagged.Calendar HDDs'!H358</f>
        <v>0</v>
      </c>
      <c r="G423" s="634">
        <f>'[10]Lagged.Calendar HDDs'!I358</f>
        <v>0</v>
      </c>
      <c r="H423" s="706">
        <f t="shared" si="38"/>
        <v>0</v>
      </c>
      <c r="J423" s="699">
        <f t="shared" si="40"/>
        <v>42214</v>
      </c>
      <c r="K423" s="630">
        <f>'[10]10yr Lagged Norms'!E373</f>
        <v>0</v>
      </c>
      <c r="L423" s="630">
        <f>'[10]10yr Lagged Norms'!F373</f>
        <v>0</v>
      </c>
      <c r="M423" s="630">
        <f>'[10]10yr Lagged Norms'!G373</f>
        <v>0.2</v>
      </c>
      <c r="N423" s="630">
        <f>'[10]10yr Lagged Norms'!H373</f>
        <v>0</v>
      </c>
      <c r="O423" s="630">
        <f>'[10]10yr Lagged Norms'!I373</f>
        <v>0</v>
      </c>
      <c r="P423" s="707">
        <f t="shared" si="39"/>
        <v>0</v>
      </c>
    </row>
    <row r="424" spans="2:16" x14ac:dyDescent="0.2">
      <c r="B424" s="708">
        <f t="shared" si="41"/>
        <v>42215</v>
      </c>
      <c r="C424" s="634">
        <f>'[10]Lagged.Calendar HDDs'!E359</f>
        <v>0</v>
      </c>
      <c r="D424" s="634">
        <f>'[10]Lagged.Calendar HDDs'!F359</f>
        <v>0</v>
      </c>
      <c r="E424" s="634">
        <f>'[10]Lagged.Calendar HDDs'!G359</f>
        <v>0</v>
      </c>
      <c r="F424" s="634">
        <f>'[10]Lagged.Calendar HDDs'!H359</f>
        <v>0</v>
      </c>
      <c r="G424" s="634">
        <f>'[10]Lagged.Calendar HDDs'!I359</f>
        <v>0</v>
      </c>
      <c r="H424" s="706">
        <f t="shared" si="38"/>
        <v>0</v>
      </c>
      <c r="J424" s="699">
        <f t="shared" si="40"/>
        <v>42215</v>
      </c>
      <c r="K424" s="630">
        <f>'[10]10yr Lagged Norms'!E374</f>
        <v>0</v>
      </c>
      <c r="L424" s="630">
        <f>'[10]10yr Lagged Norms'!F374</f>
        <v>0</v>
      </c>
      <c r="M424" s="630">
        <f>'[10]10yr Lagged Norms'!G374</f>
        <v>0</v>
      </c>
      <c r="N424" s="630">
        <f>'[10]10yr Lagged Norms'!H374</f>
        <v>0</v>
      </c>
      <c r="O424" s="630">
        <f>'[10]10yr Lagged Norms'!I374</f>
        <v>0</v>
      </c>
      <c r="P424" s="707">
        <f t="shared" si="39"/>
        <v>0</v>
      </c>
    </row>
    <row r="425" spans="2:16" x14ac:dyDescent="0.2">
      <c r="B425" s="708">
        <f t="shared" si="41"/>
        <v>42216</v>
      </c>
      <c r="C425" s="634">
        <f>'[10]Lagged.Calendar HDDs'!E360</f>
        <v>0</v>
      </c>
      <c r="D425" s="634">
        <f>'[10]Lagged.Calendar HDDs'!F360</f>
        <v>0</v>
      </c>
      <c r="E425" s="634">
        <f>'[10]Lagged.Calendar HDDs'!G360</f>
        <v>0</v>
      </c>
      <c r="F425" s="634">
        <f>'[10]Lagged.Calendar HDDs'!H360</f>
        <v>0</v>
      </c>
      <c r="G425" s="634">
        <f>'[10]Lagged.Calendar HDDs'!I360</f>
        <v>0</v>
      </c>
      <c r="H425" s="706">
        <f t="shared" si="38"/>
        <v>0</v>
      </c>
      <c r="J425" s="699">
        <f t="shared" si="40"/>
        <v>42216</v>
      </c>
      <c r="K425" s="630">
        <f>'[10]10yr Lagged Norms'!E375</f>
        <v>0</v>
      </c>
      <c r="L425" s="630">
        <f>'[10]10yr Lagged Norms'!F375</f>
        <v>0</v>
      </c>
      <c r="M425" s="630">
        <f>'[10]10yr Lagged Norms'!G375</f>
        <v>0</v>
      </c>
      <c r="N425" s="630">
        <f>'[10]10yr Lagged Norms'!H375</f>
        <v>0</v>
      </c>
      <c r="O425" s="630">
        <f>'[10]10yr Lagged Norms'!I375</f>
        <v>0</v>
      </c>
      <c r="P425" s="707">
        <f t="shared" si="39"/>
        <v>0</v>
      </c>
    </row>
    <row r="426" spans="2:16" x14ac:dyDescent="0.2">
      <c r="B426" s="708">
        <f t="shared" si="41"/>
        <v>42217</v>
      </c>
      <c r="C426" s="634">
        <f>'[10]Lagged.Calendar HDDs'!E361</f>
        <v>0</v>
      </c>
      <c r="D426" s="634">
        <f>'[10]Lagged.Calendar HDDs'!F361</f>
        <v>0</v>
      </c>
      <c r="E426" s="634">
        <f>'[10]Lagged.Calendar HDDs'!G361</f>
        <v>0</v>
      </c>
      <c r="F426" s="634">
        <f>'[10]Lagged.Calendar HDDs'!H361</f>
        <v>0</v>
      </c>
      <c r="G426" s="634">
        <f>'[10]Lagged.Calendar HDDs'!I361</f>
        <v>0</v>
      </c>
      <c r="H426" s="706">
        <f t="shared" si="38"/>
        <v>0</v>
      </c>
      <c r="J426" s="699">
        <f t="shared" si="40"/>
        <v>42217</v>
      </c>
      <c r="K426" s="630">
        <f>'[10]10yr Lagged Norms'!E11</f>
        <v>0</v>
      </c>
      <c r="L426" s="630">
        <f>'[10]10yr Lagged Norms'!F11</f>
        <v>0</v>
      </c>
      <c r="M426" s="630">
        <f>'[10]10yr Lagged Norms'!G11</f>
        <v>0</v>
      </c>
      <c r="N426" s="630">
        <f>'[10]10yr Lagged Norms'!H11</f>
        <v>0</v>
      </c>
      <c r="O426" s="630">
        <f>'[10]10yr Lagged Norms'!I11</f>
        <v>0</v>
      </c>
      <c r="P426" s="707">
        <f t="shared" si="39"/>
        <v>0</v>
      </c>
    </row>
    <row r="427" spans="2:16" x14ac:dyDescent="0.2">
      <c r="B427" s="708">
        <f t="shared" si="41"/>
        <v>42218</v>
      </c>
      <c r="C427" s="634">
        <f>'[10]Lagged.Calendar HDDs'!E362</f>
        <v>0</v>
      </c>
      <c r="D427" s="634">
        <f>'[10]Lagged.Calendar HDDs'!F362</f>
        <v>0</v>
      </c>
      <c r="E427" s="634">
        <f>'[10]Lagged.Calendar HDDs'!G362</f>
        <v>0</v>
      </c>
      <c r="F427" s="634">
        <f>'[10]Lagged.Calendar HDDs'!H362</f>
        <v>0</v>
      </c>
      <c r="G427" s="634">
        <f>'[10]Lagged.Calendar HDDs'!I362</f>
        <v>0</v>
      </c>
      <c r="H427" s="706">
        <f t="shared" si="38"/>
        <v>0</v>
      </c>
      <c r="J427" s="699">
        <f t="shared" si="40"/>
        <v>42218</v>
      </c>
      <c r="K427" s="630">
        <f>'[10]10yr Lagged Norms'!E12</f>
        <v>0</v>
      </c>
      <c r="L427" s="630">
        <f>'[10]10yr Lagged Norms'!F12</f>
        <v>0</v>
      </c>
      <c r="M427" s="630">
        <f>'[10]10yr Lagged Norms'!G12</f>
        <v>0</v>
      </c>
      <c r="N427" s="630">
        <f>'[10]10yr Lagged Norms'!H12</f>
        <v>0</v>
      </c>
      <c r="O427" s="630">
        <f>'[10]10yr Lagged Norms'!I12</f>
        <v>0</v>
      </c>
      <c r="P427" s="707">
        <f t="shared" si="39"/>
        <v>0</v>
      </c>
    </row>
    <row r="428" spans="2:16" x14ac:dyDescent="0.2">
      <c r="B428" s="708">
        <f t="shared" si="41"/>
        <v>42219</v>
      </c>
      <c r="C428" s="634">
        <f>'[10]Lagged.Calendar HDDs'!E363</f>
        <v>0</v>
      </c>
      <c r="D428" s="634">
        <f>'[10]Lagged.Calendar HDDs'!F363</f>
        <v>0</v>
      </c>
      <c r="E428" s="634">
        <f>'[10]Lagged.Calendar HDDs'!G363</f>
        <v>0</v>
      </c>
      <c r="F428" s="634">
        <f>'[10]Lagged.Calendar HDDs'!H363</f>
        <v>0</v>
      </c>
      <c r="G428" s="634">
        <f>'[10]Lagged.Calendar HDDs'!I363</f>
        <v>0</v>
      </c>
      <c r="H428" s="706">
        <f t="shared" si="38"/>
        <v>0</v>
      </c>
      <c r="J428" s="699">
        <f t="shared" si="40"/>
        <v>42219</v>
      </c>
      <c r="K428" s="630">
        <f>'[10]10yr Lagged Norms'!E13</f>
        <v>0</v>
      </c>
      <c r="L428" s="630">
        <f>'[10]10yr Lagged Norms'!F13</f>
        <v>0</v>
      </c>
      <c r="M428" s="630">
        <f>'[10]10yr Lagged Norms'!G13</f>
        <v>0</v>
      </c>
      <c r="N428" s="630">
        <f>'[10]10yr Lagged Norms'!H13</f>
        <v>0</v>
      </c>
      <c r="O428" s="630">
        <f>'[10]10yr Lagged Norms'!I13</f>
        <v>0</v>
      </c>
      <c r="P428" s="707">
        <f t="shared" si="39"/>
        <v>0</v>
      </c>
    </row>
    <row r="429" spans="2:16" x14ac:dyDescent="0.2">
      <c r="B429" s="708">
        <f t="shared" si="41"/>
        <v>42220</v>
      </c>
      <c r="C429" s="634">
        <f>'[10]Lagged.Calendar HDDs'!E364</f>
        <v>0</v>
      </c>
      <c r="D429" s="634">
        <f>'[10]Lagged.Calendar HDDs'!F364</f>
        <v>0</v>
      </c>
      <c r="E429" s="634">
        <f>'[10]Lagged.Calendar HDDs'!G364</f>
        <v>0</v>
      </c>
      <c r="F429" s="634">
        <f>'[10]Lagged.Calendar HDDs'!H364</f>
        <v>0</v>
      </c>
      <c r="G429" s="634">
        <f>'[10]Lagged.Calendar HDDs'!I364</f>
        <v>0</v>
      </c>
      <c r="H429" s="706">
        <f t="shared" si="38"/>
        <v>0</v>
      </c>
      <c r="J429" s="699">
        <f t="shared" si="40"/>
        <v>42220</v>
      </c>
      <c r="K429" s="630">
        <f>'[10]10yr Lagged Norms'!E14</f>
        <v>0</v>
      </c>
      <c r="L429" s="630">
        <f>'[10]10yr Lagged Norms'!F14</f>
        <v>0</v>
      </c>
      <c r="M429" s="630">
        <f>'[10]10yr Lagged Norms'!G14</f>
        <v>0</v>
      </c>
      <c r="N429" s="630">
        <f>'[10]10yr Lagged Norms'!H14</f>
        <v>0</v>
      </c>
      <c r="O429" s="630">
        <f>'[10]10yr Lagged Norms'!I14</f>
        <v>0</v>
      </c>
      <c r="P429" s="707">
        <f t="shared" si="39"/>
        <v>0</v>
      </c>
    </row>
    <row r="430" spans="2:16" x14ac:dyDescent="0.2">
      <c r="B430" s="708">
        <f t="shared" si="41"/>
        <v>42221</v>
      </c>
      <c r="C430" s="634">
        <f>'[10]Lagged.Calendar HDDs'!E365</f>
        <v>0</v>
      </c>
      <c r="D430" s="634">
        <f>'[10]Lagged.Calendar HDDs'!F365</f>
        <v>0</v>
      </c>
      <c r="E430" s="634">
        <f>'[10]Lagged.Calendar HDDs'!G365</f>
        <v>0</v>
      </c>
      <c r="F430" s="634">
        <f>'[10]Lagged.Calendar HDDs'!H365</f>
        <v>0</v>
      </c>
      <c r="G430" s="634">
        <f>'[10]Lagged.Calendar HDDs'!I365</f>
        <v>0</v>
      </c>
      <c r="H430" s="706">
        <f t="shared" si="38"/>
        <v>0</v>
      </c>
      <c r="J430" s="699">
        <f t="shared" si="40"/>
        <v>42221</v>
      </c>
      <c r="K430" s="630">
        <f>'[10]10yr Lagged Norms'!E15</f>
        <v>0</v>
      </c>
      <c r="L430" s="630">
        <f>'[10]10yr Lagged Norms'!F15</f>
        <v>0</v>
      </c>
      <c r="M430" s="630">
        <f>'[10]10yr Lagged Norms'!G15</f>
        <v>0</v>
      </c>
      <c r="N430" s="630">
        <f>'[10]10yr Lagged Norms'!H15</f>
        <v>0</v>
      </c>
      <c r="O430" s="630">
        <f>'[10]10yr Lagged Norms'!I15</f>
        <v>0</v>
      </c>
      <c r="P430" s="707">
        <f t="shared" si="39"/>
        <v>0</v>
      </c>
    </row>
    <row r="431" spans="2:16" x14ac:dyDescent="0.2">
      <c r="B431" s="708">
        <f t="shared" si="41"/>
        <v>42222</v>
      </c>
      <c r="C431" s="634">
        <f>'[10]Lagged.Calendar HDDs'!E366</f>
        <v>0</v>
      </c>
      <c r="D431" s="634">
        <f>'[10]Lagged.Calendar HDDs'!F366</f>
        <v>0</v>
      </c>
      <c r="E431" s="634">
        <f>'[10]Lagged.Calendar HDDs'!G366</f>
        <v>0</v>
      </c>
      <c r="F431" s="634">
        <f>'[10]Lagged.Calendar HDDs'!H366</f>
        <v>0</v>
      </c>
      <c r="G431" s="634">
        <f>'[10]Lagged.Calendar HDDs'!I366</f>
        <v>0</v>
      </c>
      <c r="H431" s="706">
        <f t="shared" si="38"/>
        <v>0</v>
      </c>
      <c r="J431" s="699">
        <f t="shared" si="40"/>
        <v>42222</v>
      </c>
      <c r="K431" s="630">
        <f>'[10]10yr Lagged Norms'!E16</f>
        <v>0</v>
      </c>
      <c r="L431" s="630">
        <f>'[10]10yr Lagged Norms'!F16</f>
        <v>0</v>
      </c>
      <c r="M431" s="630">
        <f>'[10]10yr Lagged Norms'!G16</f>
        <v>0</v>
      </c>
      <c r="N431" s="630">
        <f>'[10]10yr Lagged Norms'!H16</f>
        <v>0</v>
      </c>
      <c r="O431" s="630">
        <f>'[10]10yr Lagged Norms'!I16</f>
        <v>0</v>
      </c>
      <c r="P431" s="707">
        <f t="shared" si="39"/>
        <v>0</v>
      </c>
    </row>
    <row r="432" spans="2:16" x14ac:dyDescent="0.2">
      <c r="B432" s="708">
        <f t="shared" si="41"/>
        <v>42223</v>
      </c>
      <c r="C432" s="634">
        <f>'[10]Lagged.Calendar HDDs'!E367</f>
        <v>0</v>
      </c>
      <c r="D432" s="634">
        <f>'[10]Lagged.Calendar HDDs'!F367</f>
        <v>0</v>
      </c>
      <c r="E432" s="634">
        <f>'[10]Lagged.Calendar HDDs'!G367</f>
        <v>0</v>
      </c>
      <c r="F432" s="634">
        <f>'[10]Lagged.Calendar HDDs'!H367</f>
        <v>0</v>
      </c>
      <c r="G432" s="634">
        <f>'[10]Lagged.Calendar HDDs'!I367</f>
        <v>0</v>
      </c>
      <c r="H432" s="706">
        <f t="shared" si="38"/>
        <v>0</v>
      </c>
      <c r="J432" s="699">
        <f t="shared" si="40"/>
        <v>42223</v>
      </c>
      <c r="K432" s="630">
        <f>'[10]10yr Lagged Norms'!E17</f>
        <v>0</v>
      </c>
      <c r="L432" s="630">
        <f>'[10]10yr Lagged Norms'!F17</f>
        <v>0</v>
      </c>
      <c r="M432" s="630">
        <f>'[10]10yr Lagged Norms'!G17</f>
        <v>0</v>
      </c>
      <c r="N432" s="630">
        <f>'[10]10yr Lagged Norms'!H17</f>
        <v>0</v>
      </c>
      <c r="O432" s="630">
        <f>'[10]10yr Lagged Norms'!I17</f>
        <v>0</v>
      </c>
      <c r="P432" s="707">
        <f t="shared" si="39"/>
        <v>0</v>
      </c>
    </row>
    <row r="433" spans="2:16" x14ac:dyDescent="0.2">
      <c r="B433" s="708">
        <f t="shared" si="41"/>
        <v>42224</v>
      </c>
      <c r="C433" s="634">
        <f>'[10]Lagged.Calendar HDDs'!E368</f>
        <v>0</v>
      </c>
      <c r="D433" s="634">
        <f>'[10]Lagged.Calendar HDDs'!F368</f>
        <v>0</v>
      </c>
      <c r="E433" s="634">
        <f>'[10]Lagged.Calendar HDDs'!G368</f>
        <v>0</v>
      </c>
      <c r="F433" s="634">
        <f>'[10]Lagged.Calendar HDDs'!H368</f>
        <v>0</v>
      </c>
      <c r="G433" s="634">
        <f>'[10]Lagged.Calendar HDDs'!I368</f>
        <v>0</v>
      </c>
      <c r="H433" s="706">
        <f t="shared" si="38"/>
        <v>0</v>
      </c>
      <c r="J433" s="699">
        <f t="shared" si="40"/>
        <v>42224</v>
      </c>
      <c r="K433" s="630">
        <f>'[10]10yr Lagged Norms'!E18</f>
        <v>0</v>
      </c>
      <c r="L433" s="630">
        <f>'[10]10yr Lagged Norms'!F18</f>
        <v>0</v>
      </c>
      <c r="M433" s="630">
        <f>'[10]10yr Lagged Norms'!G18</f>
        <v>0</v>
      </c>
      <c r="N433" s="630">
        <f>'[10]10yr Lagged Norms'!H18</f>
        <v>0</v>
      </c>
      <c r="O433" s="630">
        <f>'[10]10yr Lagged Norms'!I18</f>
        <v>0</v>
      </c>
      <c r="P433" s="707">
        <f t="shared" si="39"/>
        <v>0</v>
      </c>
    </row>
    <row r="434" spans="2:16" x14ac:dyDescent="0.2">
      <c r="B434" s="708">
        <f t="shared" si="41"/>
        <v>42225</v>
      </c>
      <c r="C434" s="634">
        <f>'[10]Lagged.Calendar HDDs'!E369</f>
        <v>0</v>
      </c>
      <c r="D434" s="634">
        <f>'[10]Lagged.Calendar HDDs'!F369</f>
        <v>0</v>
      </c>
      <c r="E434" s="634">
        <f>'[10]Lagged.Calendar HDDs'!G369</f>
        <v>0</v>
      </c>
      <c r="F434" s="634">
        <f>'[10]Lagged.Calendar HDDs'!H369</f>
        <v>0</v>
      </c>
      <c r="G434" s="634">
        <f>'[10]Lagged.Calendar HDDs'!I369</f>
        <v>0</v>
      </c>
      <c r="H434" s="706">
        <f t="shared" si="38"/>
        <v>0</v>
      </c>
      <c r="J434" s="699">
        <f t="shared" si="40"/>
        <v>42225</v>
      </c>
      <c r="K434" s="630">
        <f>'[10]10yr Lagged Norms'!E19</f>
        <v>0</v>
      </c>
      <c r="L434" s="630">
        <f>'[10]10yr Lagged Norms'!F19</f>
        <v>0</v>
      </c>
      <c r="M434" s="630">
        <f>'[10]10yr Lagged Norms'!G19</f>
        <v>0</v>
      </c>
      <c r="N434" s="630">
        <f>'[10]10yr Lagged Norms'!H19</f>
        <v>0</v>
      </c>
      <c r="O434" s="630">
        <f>'[10]10yr Lagged Norms'!I19</f>
        <v>0</v>
      </c>
      <c r="P434" s="707">
        <f t="shared" si="39"/>
        <v>0</v>
      </c>
    </row>
    <row r="435" spans="2:16" x14ac:dyDescent="0.2">
      <c r="B435" s="708">
        <f t="shared" si="41"/>
        <v>42226</v>
      </c>
      <c r="C435" s="634">
        <f>'[10]Lagged.Calendar HDDs'!E370</f>
        <v>0</v>
      </c>
      <c r="D435" s="634">
        <f>'[10]Lagged.Calendar HDDs'!F370</f>
        <v>0</v>
      </c>
      <c r="E435" s="634">
        <f>'[10]Lagged.Calendar HDDs'!G370</f>
        <v>0</v>
      </c>
      <c r="F435" s="634">
        <f>'[10]Lagged.Calendar HDDs'!H370</f>
        <v>0</v>
      </c>
      <c r="G435" s="634">
        <f>'[10]Lagged.Calendar HDDs'!I370</f>
        <v>0</v>
      </c>
      <c r="H435" s="706">
        <f t="shared" si="38"/>
        <v>0</v>
      </c>
      <c r="J435" s="699">
        <f t="shared" si="40"/>
        <v>42226</v>
      </c>
      <c r="K435" s="630">
        <f>'[10]10yr Lagged Norms'!E20</f>
        <v>0</v>
      </c>
      <c r="L435" s="630">
        <f>'[10]10yr Lagged Norms'!F20</f>
        <v>0</v>
      </c>
      <c r="M435" s="630">
        <f>'[10]10yr Lagged Norms'!G20</f>
        <v>0</v>
      </c>
      <c r="N435" s="630">
        <f>'[10]10yr Lagged Norms'!H20</f>
        <v>0</v>
      </c>
      <c r="O435" s="630">
        <f>'[10]10yr Lagged Norms'!I20</f>
        <v>0</v>
      </c>
      <c r="P435" s="707">
        <f t="shared" si="39"/>
        <v>0</v>
      </c>
    </row>
    <row r="436" spans="2:16" x14ac:dyDescent="0.2">
      <c r="B436" s="708">
        <f t="shared" si="41"/>
        <v>42227</v>
      </c>
      <c r="C436" s="634">
        <f>'[10]Lagged.Calendar HDDs'!E371</f>
        <v>0</v>
      </c>
      <c r="D436" s="634">
        <f>'[10]Lagged.Calendar HDDs'!F371</f>
        <v>0</v>
      </c>
      <c r="E436" s="634">
        <f>'[10]Lagged.Calendar HDDs'!G371</f>
        <v>0</v>
      </c>
      <c r="F436" s="634">
        <f>'[10]Lagged.Calendar HDDs'!H371</f>
        <v>0</v>
      </c>
      <c r="G436" s="634">
        <f>'[10]Lagged.Calendar HDDs'!I371</f>
        <v>0</v>
      </c>
      <c r="H436" s="706">
        <f t="shared" si="38"/>
        <v>0</v>
      </c>
      <c r="J436" s="699">
        <f t="shared" si="40"/>
        <v>42227</v>
      </c>
      <c r="K436" s="630">
        <f>'[10]10yr Lagged Norms'!E21</f>
        <v>0</v>
      </c>
      <c r="L436" s="630">
        <f>'[10]10yr Lagged Norms'!F21</f>
        <v>0</v>
      </c>
      <c r="M436" s="630">
        <f>'[10]10yr Lagged Norms'!G21</f>
        <v>0</v>
      </c>
      <c r="N436" s="630">
        <f>'[10]10yr Lagged Norms'!H21</f>
        <v>0</v>
      </c>
      <c r="O436" s="630">
        <f>'[10]10yr Lagged Norms'!I21</f>
        <v>0</v>
      </c>
      <c r="P436" s="707">
        <f t="shared" si="39"/>
        <v>0</v>
      </c>
    </row>
    <row r="437" spans="2:16" x14ac:dyDescent="0.2">
      <c r="B437" s="708">
        <f t="shared" si="41"/>
        <v>42228</v>
      </c>
      <c r="C437" s="634">
        <f>'[10]Lagged.Calendar HDDs'!E372</f>
        <v>0</v>
      </c>
      <c r="D437" s="634">
        <f>'[10]Lagged.Calendar HDDs'!F372</f>
        <v>0</v>
      </c>
      <c r="E437" s="634">
        <f>'[10]Lagged.Calendar HDDs'!G372</f>
        <v>0</v>
      </c>
      <c r="F437" s="634">
        <f>'[10]Lagged.Calendar HDDs'!H372</f>
        <v>0</v>
      </c>
      <c r="G437" s="634">
        <f>'[10]Lagged.Calendar HDDs'!I372</f>
        <v>0</v>
      </c>
      <c r="H437" s="706">
        <f t="shared" si="38"/>
        <v>0</v>
      </c>
      <c r="J437" s="699">
        <f t="shared" si="40"/>
        <v>42228</v>
      </c>
      <c r="K437" s="630">
        <f>'[10]10yr Lagged Norms'!E22</f>
        <v>0</v>
      </c>
      <c r="L437" s="630">
        <f>'[10]10yr Lagged Norms'!F22</f>
        <v>0</v>
      </c>
      <c r="M437" s="630">
        <f>'[10]10yr Lagged Norms'!G22</f>
        <v>0</v>
      </c>
      <c r="N437" s="630">
        <f>'[10]10yr Lagged Norms'!H22</f>
        <v>0</v>
      </c>
      <c r="O437" s="630">
        <f>'[10]10yr Lagged Norms'!I22</f>
        <v>0</v>
      </c>
      <c r="P437" s="707">
        <f t="shared" si="39"/>
        <v>0</v>
      </c>
    </row>
    <row r="438" spans="2:16" x14ac:dyDescent="0.2">
      <c r="B438" s="708">
        <f t="shared" si="41"/>
        <v>42229</v>
      </c>
      <c r="C438" s="634">
        <f>'[10]Lagged.Calendar HDDs'!E373</f>
        <v>0</v>
      </c>
      <c r="D438" s="634">
        <f>'[10]Lagged.Calendar HDDs'!F373</f>
        <v>0</v>
      </c>
      <c r="E438" s="634">
        <f>'[10]Lagged.Calendar HDDs'!G373</f>
        <v>0</v>
      </c>
      <c r="F438" s="634">
        <f>'[10]Lagged.Calendar HDDs'!H373</f>
        <v>0</v>
      </c>
      <c r="G438" s="634">
        <f>'[10]Lagged.Calendar HDDs'!I373</f>
        <v>0</v>
      </c>
      <c r="H438" s="706">
        <f t="shared" si="38"/>
        <v>0</v>
      </c>
      <c r="J438" s="699">
        <f t="shared" si="40"/>
        <v>42229</v>
      </c>
      <c r="K438" s="630">
        <f>'[10]10yr Lagged Norms'!E23</f>
        <v>0</v>
      </c>
      <c r="L438" s="630">
        <f>'[10]10yr Lagged Norms'!F23</f>
        <v>0</v>
      </c>
      <c r="M438" s="630">
        <f>'[10]10yr Lagged Norms'!G23</f>
        <v>0</v>
      </c>
      <c r="N438" s="630">
        <f>'[10]10yr Lagged Norms'!H23</f>
        <v>0</v>
      </c>
      <c r="O438" s="630">
        <f>'[10]10yr Lagged Norms'!I23</f>
        <v>0</v>
      </c>
      <c r="P438" s="707">
        <f t="shared" si="39"/>
        <v>0</v>
      </c>
    </row>
    <row r="439" spans="2:16" x14ac:dyDescent="0.2">
      <c r="B439" s="708">
        <f t="shared" si="41"/>
        <v>42230</v>
      </c>
      <c r="C439" s="634">
        <f>'[10]Lagged.Calendar HDDs'!E374</f>
        <v>0</v>
      </c>
      <c r="D439" s="634">
        <f>'[10]Lagged.Calendar HDDs'!F374</f>
        <v>0</v>
      </c>
      <c r="E439" s="634">
        <f>'[10]Lagged.Calendar HDDs'!G374</f>
        <v>0</v>
      </c>
      <c r="F439" s="634">
        <f>'[10]Lagged.Calendar HDDs'!H374</f>
        <v>0</v>
      </c>
      <c r="G439" s="634">
        <f>'[10]Lagged.Calendar HDDs'!I374</f>
        <v>0</v>
      </c>
      <c r="H439" s="706">
        <f t="shared" si="38"/>
        <v>0</v>
      </c>
      <c r="J439" s="699">
        <f t="shared" si="40"/>
        <v>42230</v>
      </c>
      <c r="K439" s="630">
        <f>'[10]10yr Lagged Norms'!E24</f>
        <v>0</v>
      </c>
      <c r="L439" s="630">
        <f>'[10]10yr Lagged Norms'!F24</f>
        <v>0</v>
      </c>
      <c r="M439" s="630">
        <f>'[10]10yr Lagged Norms'!G24</f>
        <v>0.2</v>
      </c>
      <c r="N439" s="630">
        <f>'[10]10yr Lagged Norms'!H24</f>
        <v>0</v>
      </c>
      <c r="O439" s="630">
        <f>'[10]10yr Lagged Norms'!I24</f>
        <v>0</v>
      </c>
      <c r="P439" s="707">
        <f t="shared" si="39"/>
        <v>0</v>
      </c>
    </row>
    <row r="440" spans="2:16" x14ac:dyDescent="0.2">
      <c r="B440" s="708">
        <f t="shared" si="41"/>
        <v>42231</v>
      </c>
      <c r="C440" s="634">
        <f>'[10]Lagged.Calendar HDDs'!E375</f>
        <v>0</v>
      </c>
      <c r="D440" s="634">
        <f>'[10]Lagged.Calendar HDDs'!F375</f>
        <v>0</v>
      </c>
      <c r="E440" s="634">
        <f>'[10]Lagged.Calendar HDDs'!G375</f>
        <v>0</v>
      </c>
      <c r="F440" s="634">
        <f>'[10]Lagged.Calendar HDDs'!H375</f>
        <v>0</v>
      </c>
      <c r="G440" s="634">
        <f>'[10]Lagged.Calendar HDDs'!I375</f>
        <v>0</v>
      </c>
      <c r="H440" s="706">
        <f t="shared" si="38"/>
        <v>0</v>
      </c>
      <c r="J440" s="699">
        <f t="shared" si="40"/>
        <v>42231</v>
      </c>
      <c r="K440" s="630">
        <f>'[10]10yr Lagged Norms'!E25</f>
        <v>0</v>
      </c>
      <c r="L440" s="630">
        <f>'[10]10yr Lagged Norms'!F25</f>
        <v>0</v>
      </c>
      <c r="M440" s="630">
        <f>'[10]10yr Lagged Norms'!G25</f>
        <v>0.1</v>
      </c>
      <c r="N440" s="630">
        <f>'[10]10yr Lagged Norms'!H25</f>
        <v>0</v>
      </c>
      <c r="O440" s="630">
        <f>'[10]10yr Lagged Norms'!I25</f>
        <v>0</v>
      </c>
      <c r="P440" s="707">
        <f t="shared" si="39"/>
        <v>0</v>
      </c>
    </row>
    <row r="441" spans="2:16" x14ac:dyDescent="0.2">
      <c r="B441" s="708">
        <f t="shared" si="41"/>
        <v>42232</v>
      </c>
      <c r="C441" s="634">
        <f>'[10]Lagged.Calendar HDDs'!E376</f>
        <v>0</v>
      </c>
      <c r="D441" s="634">
        <f>'[10]Lagged.Calendar HDDs'!F376</f>
        <v>0</v>
      </c>
      <c r="E441" s="634">
        <f>'[10]Lagged.Calendar HDDs'!G376</f>
        <v>0</v>
      </c>
      <c r="F441" s="634">
        <f>'[10]Lagged.Calendar HDDs'!H376</f>
        <v>0</v>
      </c>
      <c r="G441" s="634">
        <f>'[10]Lagged.Calendar HDDs'!I376</f>
        <v>0</v>
      </c>
      <c r="H441" s="706">
        <f t="shared" si="38"/>
        <v>0</v>
      </c>
      <c r="J441" s="699">
        <f t="shared" si="40"/>
        <v>42232</v>
      </c>
      <c r="K441" s="630">
        <f>K76</f>
        <v>0</v>
      </c>
      <c r="L441" s="630">
        <f t="shared" ref="L441:O441" si="42">L76</f>
        <v>0</v>
      </c>
      <c r="M441" s="630">
        <f t="shared" si="42"/>
        <v>0</v>
      </c>
      <c r="N441" s="630">
        <f t="shared" si="42"/>
        <v>0</v>
      </c>
      <c r="O441" s="630">
        <f t="shared" si="42"/>
        <v>0</v>
      </c>
      <c r="P441" s="707">
        <f t="shared" si="39"/>
        <v>0</v>
      </c>
    </row>
    <row r="442" spans="2:16" x14ac:dyDescent="0.2">
      <c r="B442" s="708">
        <f t="shared" si="41"/>
        <v>42233</v>
      </c>
      <c r="C442" s="634">
        <f>'[10]Lagged.Calendar HDDs'!E377</f>
        <v>0</v>
      </c>
      <c r="D442" s="634">
        <f>'[10]Lagged.Calendar HDDs'!F377</f>
        <v>0</v>
      </c>
      <c r="E442" s="634">
        <f>'[10]Lagged.Calendar HDDs'!G377</f>
        <v>0</v>
      </c>
      <c r="F442" s="634">
        <f>'[10]Lagged.Calendar HDDs'!H377</f>
        <v>0</v>
      </c>
      <c r="G442" s="634">
        <f>'[10]Lagged.Calendar HDDs'!I377</f>
        <v>0</v>
      </c>
      <c r="H442" s="706">
        <f t="shared" si="38"/>
        <v>0</v>
      </c>
      <c r="J442" s="699">
        <f t="shared" si="40"/>
        <v>42233</v>
      </c>
      <c r="K442" s="630">
        <f t="shared" ref="K442:O456" si="43">K77</f>
        <v>0</v>
      </c>
      <c r="L442" s="630">
        <f t="shared" si="43"/>
        <v>0</v>
      </c>
      <c r="M442" s="630">
        <f t="shared" si="43"/>
        <v>0</v>
      </c>
      <c r="N442" s="630">
        <f t="shared" si="43"/>
        <v>0</v>
      </c>
      <c r="O442" s="630">
        <f t="shared" si="43"/>
        <v>0</v>
      </c>
      <c r="P442" s="707">
        <f t="shared" si="39"/>
        <v>0</v>
      </c>
    </row>
    <row r="443" spans="2:16" x14ac:dyDescent="0.2">
      <c r="B443" s="708">
        <f t="shared" si="41"/>
        <v>42234</v>
      </c>
      <c r="C443" s="634">
        <f>'[10]Lagged.Calendar HDDs'!E378</f>
        <v>0</v>
      </c>
      <c r="D443" s="634">
        <f>'[10]Lagged.Calendar HDDs'!F378</f>
        <v>0</v>
      </c>
      <c r="E443" s="634">
        <f>'[10]Lagged.Calendar HDDs'!G378</f>
        <v>0</v>
      </c>
      <c r="F443" s="634">
        <f>'[10]Lagged.Calendar HDDs'!H378</f>
        <v>0</v>
      </c>
      <c r="G443" s="634">
        <f>'[10]Lagged.Calendar HDDs'!I378</f>
        <v>0</v>
      </c>
      <c r="H443" s="706">
        <f t="shared" si="38"/>
        <v>0</v>
      </c>
      <c r="J443" s="699">
        <f t="shared" si="40"/>
        <v>42234</v>
      </c>
      <c r="K443" s="630">
        <f t="shared" si="43"/>
        <v>0</v>
      </c>
      <c r="L443" s="630">
        <f t="shared" si="43"/>
        <v>0</v>
      </c>
      <c r="M443" s="630">
        <f t="shared" si="43"/>
        <v>0</v>
      </c>
      <c r="N443" s="630">
        <f t="shared" si="43"/>
        <v>0</v>
      </c>
      <c r="O443" s="630">
        <f t="shared" si="43"/>
        <v>0</v>
      </c>
      <c r="P443" s="707">
        <f t="shared" si="39"/>
        <v>0</v>
      </c>
    </row>
    <row r="444" spans="2:16" x14ac:dyDescent="0.2">
      <c r="B444" s="708">
        <f t="shared" si="41"/>
        <v>42235</v>
      </c>
      <c r="C444" s="634">
        <f>'[10]Lagged.Calendar HDDs'!E379</f>
        <v>0</v>
      </c>
      <c r="D444" s="634">
        <f>'[10]Lagged.Calendar HDDs'!F379</f>
        <v>0</v>
      </c>
      <c r="E444" s="634">
        <f>'[10]Lagged.Calendar HDDs'!G379</f>
        <v>0</v>
      </c>
      <c r="F444" s="634">
        <f>'[10]Lagged.Calendar HDDs'!H379</f>
        <v>0</v>
      </c>
      <c r="G444" s="634">
        <f>'[10]Lagged.Calendar HDDs'!I379</f>
        <v>0</v>
      </c>
      <c r="H444" s="706">
        <f t="shared" si="38"/>
        <v>0</v>
      </c>
      <c r="J444" s="699">
        <f t="shared" si="40"/>
        <v>42235</v>
      </c>
      <c r="K444" s="630">
        <f t="shared" si="43"/>
        <v>0</v>
      </c>
      <c r="L444" s="630">
        <f t="shared" si="43"/>
        <v>0</v>
      </c>
      <c r="M444" s="630">
        <f t="shared" si="43"/>
        <v>0</v>
      </c>
      <c r="N444" s="630">
        <f t="shared" si="43"/>
        <v>0</v>
      </c>
      <c r="O444" s="630">
        <f t="shared" si="43"/>
        <v>0</v>
      </c>
      <c r="P444" s="707">
        <f t="shared" si="39"/>
        <v>0</v>
      </c>
    </row>
    <row r="445" spans="2:16" x14ac:dyDescent="0.2">
      <c r="B445" s="708">
        <f t="shared" si="41"/>
        <v>42236</v>
      </c>
      <c r="C445" s="634">
        <f>'[10]Lagged.Calendar HDDs'!E380</f>
        <v>0</v>
      </c>
      <c r="D445" s="634">
        <f>'[10]Lagged.Calendar HDDs'!F380</f>
        <v>0</v>
      </c>
      <c r="E445" s="634">
        <f>'[10]Lagged.Calendar HDDs'!G380</f>
        <v>0</v>
      </c>
      <c r="F445" s="634">
        <f>'[10]Lagged.Calendar HDDs'!H380</f>
        <v>0</v>
      </c>
      <c r="G445" s="634">
        <f>'[10]Lagged.Calendar HDDs'!I380</f>
        <v>0</v>
      </c>
      <c r="H445" s="706">
        <f t="shared" si="38"/>
        <v>0</v>
      </c>
      <c r="J445" s="699">
        <f t="shared" si="40"/>
        <v>42236</v>
      </c>
      <c r="K445" s="630">
        <f t="shared" si="43"/>
        <v>0</v>
      </c>
      <c r="L445" s="630">
        <f t="shared" si="43"/>
        <v>0</v>
      </c>
      <c r="M445" s="630">
        <f t="shared" si="43"/>
        <v>0</v>
      </c>
      <c r="N445" s="630">
        <f t="shared" si="43"/>
        <v>0</v>
      </c>
      <c r="O445" s="630">
        <f t="shared" si="43"/>
        <v>0</v>
      </c>
      <c r="P445" s="707">
        <f t="shared" si="39"/>
        <v>0</v>
      </c>
    </row>
    <row r="446" spans="2:16" x14ac:dyDescent="0.2">
      <c r="B446" s="708">
        <f t="shared" si="41"/>
        <v>42237</v>
      </c>
      <c r="C446" s="634">
        <f>'[10]Lagged.Calendar HDDs'!E381</f>
        <v>0</v>
      </c>
      <c r="D446" s="634">
        <f>'[10]Lagged.Calendar HDDs'!F381</f>
        <v>0</v>
      </c>
      <c r="E446" s="634">
        <f>'[10]Lagged.Calendar HDDs'!G381</f>
        <v>0</v>
      </c>
      <c r="F446" s="634">
        <f>'[10]Lagged.Calendar HDDs'!H381</f>
        <v>0</v>
      </c>
      <c r="G446" s="634">
        <f>'[10]Lagged.Calendar HDDs'!I381</f>
        <v>0</v>
      </c>
      <c r="H446" s="706">
        <f t="shared" si="38"/>
        <v>0</v>
      </c>
      <c r="J446" s="699">
        <f t="shared" si="40"/>
        <v>42237</v>
      </c>
      <c r="K446" s="630">
        <f t="shared" si="43"/>
        <v>0</v>
      </c>
      <c r="L446" s="630">
        <f t="shared" si="43"/>
        <v>0</v>
      </c>
      <c r="M446" s="630">
        <f t="shared" si="43"/>
        <v>0</v>
      </c>
      <c r="N446" s="630">
        <f t="shared" si="43"/>
        <v>0</v>
      </c>
      <c r="O446" s="630">
        <f t="shared" si="43"/>
        <v>0</v>
      </c>
      <c r="P446" s="707">
        <f t="shared" si="39"/>
        <v>0</v>
      </c>
    </row>
    <row r="447" spans="2:16" x14ac:dyDescent="0.2">
      <c r="B447" s="708">
        <f t="shared" si="41"/>
        <v>42238</v>
      </c>
      <c r="C447" s="634">
        <f>'[10]Lagged.Calendar HDDs'!E382</f>
        <v>0</v>
      </c>
      <c r="D447" s="634">
        <f>'[10]Lagged.Calendar HDDs'!F382</f>
        <v>0</v>
      </c>
      <c r="E447" s="634">
        <f>'[10]Lagged.Calendar HDDs'!G382</f>
        <v>0</v>
      </c>
      <c r="F447" s="634">
        <f>'[10]Lagged.Calendar HDDs'!H382</f>
        <v>0</v>
      </c>
      <c r="G447" s="634">
        <f>'[10]Lagged.Calendar HDDs'!I382</f>
        <v>0</v>
      </c>
      <c r="H447" s="706">
        <f t="shared" si="38"/>
        <v>0</v>
      </c>
      <c r="J447" s="699">
        <f t="shared" si="40"/>
        <v>42238</v>
      </c>
      <c r="K447" s="630">
        <f t="shared" si="43"/>
        <v>0</v>
      </c>
      <c r="L447" s="630">
        <f t="shared" si="43"/>
        <v>0</v>
      </c>
      <c r="M447" s="630">
        <f t="shared" si="43"/>
        <v>0</v>
      </c>
      <c r="N447" s="630">
        <f t="shared" si="43"/>
        <v>0</v>
      </c>
      <c r="O447" s="630">
        <f t="shared" si="43"/>
        <v>0</v>
      </c>
      <c r="P447" s="707">
        <f t="shared" si="39"/>
        <v>0</v>
      </c>
    </row>
    <row r="448" spans="2:16" x14ac:dyDescent="0.2">
      <c r="B448" s="708">
        <f t="shared" si="41"/>
        <v>42239</v>
      </c>
      <c r="C448" s="634">
        <f>'[10]Lagged.Calendar HDDs'!E383</f>
        <v>0</v>
      </c>
      <c r="D448" s="634">
        <f>'[10]Lagged.Calendar HDDs'!F383</f>
        <v>0</v>
      </c>
      <c r="E448" s="634">
        <f>'[10]Lagged.Calendar HDDs'!G383</f>
        <v>0</v>
      </c>
      <c r="F448" s="634">
        <f>'[10]Lagged.Calendar HDDs'!H383</f>
        <v>0</v>
      </c>
      <c r="G448" s="634">
        <f>'[10]Lagged.Calendar HDDs'!I383</f>
        <v>0</v>
      </c>
      <c r="H448" s="706">
        <f t="shared" si="38"/>
        <v>0</v>
      </c>
      <c r="J448" s="699">
        <f t="shared" si="40"/>
        <v>42239</v>
      </c>
      <c r="K448" s="630">
        <f t="shared" si="43"/>
        <v>0</v>
      </c>
      <c r="L448" s="630">
        <f t="shared" si="43"/>
        <v>0</v>
      </c>
      <c r="M448" s="630">
        <f t="shared" si="43"/>
        <v>0</v>
      </c>
      <c r="N448" s="630">
        <f t="shared" si="43"/>
        <v>0</v>
      </c>
      <c r="O448" s="630">
        <f t="shared" si="43"/>
        <v>0</v>
      </c>
      <c r="P448" s="707">
        <f t="shared" si="39"/>
        <v>0</v>
      </c>
    </row>
    <row r="449" spans="2:16" x14ac:dyDescent="0.2">
      <c r="B449" s="708">
        <f t="shared" si="41"/>
        <v>42240</v>
      </c>
      <c r="C449" s="634">
        <f>'[10]Lagged.Calendar HDDs'!E384</f>
        <v>0</v>
      </c>
      <c r="D449" s="634">
        <f>'[10]Lagged.Calendar HDDs'!F384</f>
        <v>0</v>
      </c>
      <c r="E449" s="634">
        <f>'[10]Lagged.Calendar HDDs'!G384</f>
        <v>0</v>
      </c>
      <c r="F449" s="634">
        <f>'[10]Lagged.Calendar HDDs'!H384</f>
        <v>0</v>
      </c>
      <c r="G449" s="634">
        <f>'[10]Lagged.Calendar HDDs'!I384</f>
        <v>0</v>
      </c>
      <c r="H449" s="706">
        <f t="shared" si="38"/>
        <v>0</v>
      </c>
      <c r="J449" s="699">
        <f t="shared" si="40"/>
        <v>42240</v>
      </c>
      <c r="K449" s="630">
        <f t="shared" si="43"/>
        <v>0</v>
      </c>
      <c r="L449" s="630">
        <f t="shared" si="43"/>
        <v>0</v>
      </c>
      <c r="M449" s="630">
        <f t="shared" si="43"/>
        <v>0</v>
      </c>
      <c r="N449" s="630">
        <f t="shared" si="43"/>
        <v>0</v>
      </c>
      <c r="O449" s="630">
        <f t="shared" si="43"/>
        <v>0</v>
      </c>
      <c r="P449" s="707">
        <f t="shared" si="39"/>
        <v>0</v>
      </c>
    </row>
    <row r="450" spans="2:16" x14ac:dyDescent="0.2">
      <c r="B450" s="708">
        <f t="shared" si="41"/>
        <v>42241</v>
      </c>
      <c r="C450" s="634">
        <f>'[10]Lagged.Calendar HDDs'!E385</f>
        <v>0</v>
      </c>
      <c r="D450" s="634">
        <f>'[10]Lagged.Calendar HDDs'!F385</f>
        <v>0</v>
      </c>
      <c r="E450" s="634">
        <f>'[10]Lagged.Calendar HDDs'!G385</f>
        <v>0</v>
      </c>
      <c r="F450" s="634">
        <f>'[10]Lagged.Calendar HDDs'!H385</f>
        <v>0</v>
      </c>
      <c r="G450" s="634">
        <f>'[10]Lagged.Calendar HDDs'!I385</f>
        <v>0</v>
      </c>
      <c r="H450" s="706">
        <f t="shared" si="38"/>
        <v>0</v>
      </c>
      <c r="J450" s="699">
        <f t="shared" si="40"/>
        <v>42241</v>
      </c>
      <c r="K450" s="630">
        <f t="shared" si="43"/>
        <v>0</v>
      </c>
      <c r="L450" s="630">
        <f t="shared" si="43"/>
        <v>0</v>
      </c>
      <c r="M450" s="630">
        <f t="shared" si="43"/>
        <v>0</v>
      </c>
      <c r="N450" s="630">
        <f t="shared" si="43"/>
        <v>0</v>
      </c>
      <c r="O450" s="630">
        <f t="shared" si="43"/>
        <v>0</v>
      </c>
      <c r="P450" s="707">
        <f t="shared" si="39"/>
        <v>0</v>
      </c>
    </row>
    <row r="451" spans="2:16" x14ac:dyDescent="0.2">
      <c r="B451" s="708">
        <f t="shared" si="41"/>
        <v>42242</v>
      </c>
      <c r="C451" s="634">
        <f>'[10]Lagged.Calendar HDDs'!E386</f>
        <v>0</v>
      </c>
      <c r="D451" s="634">
        <f>'[10]Lagged.Calendar HDDs'!F386</f>
        <v>0</v>
      </c>
      <c r="E451" s="634">
        <f>'[10]Lagged.Calendar HDDs'!G386</f>
        <v>0</v>
      </c>
      <c r="F451" s="634">
        <f>'[10]Lagged.Calendar HDDs'!H386</f>
        <v>0</v>
      </c>
      <c r="G451" s="634">
        <f>'[10]Lagged.Calendar HDDs'!I386</f>
        <v>0</v>
      </c>
      <c r="H451" s="706">
        <f t="shared" si="38"/>
        <v>0</v>
      </c>
      <c r="J451" s="699">
        <f t="shared" si="40"/>
        <v>42242</v>
      </c>
      <c r="K451" s="630">
        <f t="shared" si="43"/>
        <v>0</v>
      </c>
      <c r="L451" s="630">
        <f t="shared" si="43"/>
        <v>0</v>
      </c>
      <c r="M451" s="630">
        <f t="shared" si="43"/>
        <v>0</v>
      </c>
      <c r="N451" s="630">
        <f t="shared" si="43"/>
        <v>0</v>
      </c>
      <c r="O451" s="630">
        <f t="shared" si="43"/>
        <v>0</v>
      </c>
      <c r="P451" s="707">
        <f t="shared" si="39"/>
        <v>0</v>
      </c>
    </row>
    <row r="452" spans="2:16" x14ac:dyDescent="0.2">
      <c r="B452" s="708">
        <f t="shared" si="41"/>
        <v>42243</v>
      </c>
      <c r="C452" s="634">
        <f>'[10]Lagged.Calendar HDDs'!E387</f>
        <v>0</v>
      </c>
      <c r="D452" s="634">
        <f>'[10]Lagged.Calendar HDDs'!F387</f>
        <v>0</v>
      </c>
      <c r="E452" s="634">
        <f>'[10]Lagged.Calendar HDDs'!G387</f>
        <v>0</v>
      </c>
      <c r="F452" s="634">
        <f>'[10]Lagged.Calendar HDDs'!H387</f>
        <v>0</v>
      </c>
      <c r="G452" s="634">
        <f>'[10]Lagged.Calendar HDDs'!I387</f>
        <v>0</v>
      </c>
      <c r="H452" s="706">
        <f t="shared" si="38"/>
        <v>0</v>
      </c>
      <c r="J452" s="699">
        <f t="shared" si="40"/>
        <v>42243</v>
      </c>
      <c r="K452" s="630">
        <f t="shared" si="43"/>
        <v>0</v>
      </c>
      <c r="L452" s="630">
        <f t="shared" si="43"/>
        <v>0</v>
      </c>
      <c r="M452" s="630">
        <f t="shared" si="43"/>
        <v>0</v>
      </c>
      <c r="N452" s="630">
        <f t="shared" si="43"/>
        <v>0</v>
      </c>
      <c r="O452" s="630">
        <f t="shared" si="43"/>
        <v>0</v>
      </c>
      <c r="P452" s="707">
        <f t="shared" si="39"/>
        <v>0</v>
      </c>
    </row>
    <row r="453" spans="2:16" x14ac:dyDescent="0.2">
      <c r="B453" s="708">
        <f t="shared" si="41"/>
        <v>42244</v>
      </c>
      <c r="C453" s="634">
        <f>'[10]Lagged.Calendar HDDs'!E388</f>
        <v>0</v>
      </c>
      <c r="D453" s="634">
        <f>'[10]Lagged.Calendar HDDs'!F388</f>
        <v>0</v>
      </c>
      <c r="E453" s="634">
        <f>'[10]Lagged.Calendar HDDs'!G388</f>
        <v>0</v>
      </c>
      <c r="F453" s="634">
        <f>'[10]Lagged.Calendar HDDs'!H388</f>
        <v>0</v>
      </c>
      <c r="G453" s="634">
        <f>'[10]Lagged.Calendar HDDs'!I388</f>
        <v>0</v>
      </c>
      <c r="H453" s="706">
        <f t="shared" si="38"/>
        <v>0</v>
      </c>
      <c r="J453" s="699">
        <f t="shared" si="40"/>
        <v>42244</v>
      </c>
      <c r="K453" s="630">
        <f t="shared" si="43"/>
        <v>0</v>
      </c>
      <c r="L453" s="630">
        <f t="shared" si="43"/>
        <v>0</v>
      </c>
      <c r="M453" s="630">
        <f t="shared" si="43"/>
        <v>0</v>
      </c>
      <c r="N453" s="630">
        <f t="shared" si="43"/>
        <v>0</v>
      </c>
      <c r="O453" s="630">
        <f t="shared" si="43"/>
        <v>0</v>
      </c>
      <c r="P453" s="707">
        <f t="shared" si="39"/>
        <v>0</v>
      </c>
    </row>
    <row r="454" spans="2:16" x14ac:dyDescent="0.2">
      <c r="B454" s="708">
        <f t="shared" si="41"/>
        <v>42245</v>
      </c>
      <c r="C454" s="634">
        <f>'[10]Lagged.Calendar HDDs'!E389</f>
        <v>0</v>
      </c>
      <c r="D454" s="634">
        <f>'[10]Lagged.Calendar HDDs'!F389</f>
        <v>0</v>
      </c>
      <c r="E454" s="634">
        <f>'[10]Lagged.Calendar HDDs'!G389</f>
        <v>0</v>
      </c>
      <c r="F454" s="634">
        <f>'[10]Lagged.Calendar HDDs'!H389</f>
        <v>0</v>
      </c>
      <c r="G454" s="634">
        <f>'[10]Lagged.Calendar HDDs'!I389</f>
        <v>0</v>
      </c>
      <c r="H454" s="706">
        <f t="shared" si="38"/>
        <v>0</v>
      </c>
      <c r="J454" s="699">
        <f t="shared" si="40"/>
        <v>42245</v>
      </c>
      <c r="K454" s="630">
        <f t="shared" si="43"/>
        <v>0</v>
      </c>
      <c r="L454" s="630">
        <f t="shared" si="43"/>
        <v>0</v>
      </c>
      <c r="M454" s="630">
        <f t="shared" si="43"/>
        <v>0</v>
      </c>
      <c r="N454" s="630">
        <f t="shared" si="43"/>
        <v>0</v>
      </c>
      <c r="O454" s="630">
        <f t="shared" si="43"/>
        <v>0</v>
      </c>
      <c r="P454" s="707">
        <f t="shared" si="39"/>
        <v>0</v>
      </c>
    </row>
    <row r="455" spans="2:16" x14ac:dyDescent="0.2">
      <c r="B455" s="708">
        <f t="shared" si="41"/>
        <v>42246</v>
      </c>
      <c r="C455" s="634">
        <f>'[10]Lagged.Calendar HDDs'!E390</f>
        <v>0</v>
      </c>
      <c r="D455" s="634">
        <f>'[10]Lagged.Calendar HDDs'!F390</f>
        <v>0</v>
      </c>
      <c r="E455" s="634">
        <f>'[10]Lagged.Calendar HDDs'!G390</f>
        <v>0</v>
      </c>
      <c r="F455" s="634">
        <f>'[10]Lagged.Calendar HDDs'!H390</f>
        <v>0</v>
      </c>
      <c r="G455" s="634">
        <f>'[10]Lagged.Calendar HDDs'!I390</f>
        <v>0</v>
      </c>
      <c r="H455" s="706">
        <f t="shared" si="38"/>
        <v>0</v>
      </c>
      <c r="J455" s="699">
        <f t="shared" si="40"/>
        <v>42246</v>
      </c>
      <c r="K455" s="630">
        <f t="shared" si="43"/>
        <v>0</v>
      </c>
      <c r="L455" s="630">
        <f t="shared" si="43"/>
        <v>0</v>
      </c>
      <c r="M455" s="630">
        <f t="shared" si="43"/>
        <v>0</v>
      </c>
      <c r="N455" s="630">
        <f t="shared" si="43"/>
        <v>0</v>
      </c>
      <c r="O455" s="630">
        <f t="shared" si="43"/>
        <v>0</v>
      </c>
      <c r="P455" s="707">
        <f t="shared" si="39"/>
        <v>0</v>
      </c>
    </row>
    <row r="456" spans="2:16" x14ac:dyDescent="0.2">
      <c r="B456" s="708">
        <f t="shared" si="41"/>
        <v>42247</v>
      </c>
      <c r="C456" s="634">
        <f>'[10]Lagged.Calendar HDDs'!E391</f>
        <v>0</v>
      </c>
      <c r="D456" s="634">
        <f>'[10]Lagged.Calendar HDDs'!F391</f>
        <v>0</v>
      </c>
      <c r="E456" s="634">
        <f>'[10]Lagged.Calendar HDDs'!G391</f>
        <v>0</v>
      </c>
      <c r="F456" s="634">
        <f>'[10]Lagged.Calendar HDDs'!H391</f>
        <v>0</v>
      </c>
      <c r="G456" s="634">
        <f>'[10]Lagged.Calendar HDDs'!I391</f>
        <v>0</v>
      </c>
      <c r="H456" s="706">
        <f t="shared" si="38"/>
        <v>0</v>
      </c>
      <c r="J456" s="699">
        <f t="shared" si="40"/>
        <v>42247</v>
      </c>
      <c r="K456" s="630">
        <f t="shared" si="43"/>
        <v>0</v>
      </c>
      <c r="L456" s="630">
        <f t="shared" si="43"/>
        <v>0</v>
      </c>
      <c r="M456" s="630">
        <f t="shared" si="43"/>
        <v>0.3</v>
      </c>
      <c r="N456" s="630">
        <f t="shared" si="43"/>
        <v>0</v>
      </c>
      <c r="O456" s="630">
        <f t="shared" si="43"/>
        <v>0</v>
      </c>
      <c r="P456" s="707">
        <f t="shared" si="39"/>
        <v>0</v>
      </c>
    </row>
    <row r="457" spans="2:16" x14ac:dyDescent="0.2">
      <c r="J457" s="709"/>
      <c r="P457" s="707"/>
    </row>
    <row r="459" spans="2:16" x14ac:dyDescent="0.2">
      <c r="B459" s="210" t="s">
        <v>570</v>
      </c>
      <c r="C459" s="45">
        <f t="shared" ref="C459:H459" si="44">SUM(C92:C458)</f>
        <v>4713</v>
      </c>
      <c r="D459" s="45">
        <f t="shared" si="44"/>
        <v>3778</v>
      </c>
      <c r="E459" s="45">
        <f t="shared" si="44"/>
        <v>4962</v>
      </c>
      <c r="F459" s="45">
        <f t="shared" si="44"/>
        <v>4393</v>
      </c>
      <c r="G459" s="45">
        <f t="shared" si="44"/>
        <v>4478</v>
      </c>
      <c r="H459" s="45">
        <f t="shared" si="44"/>
        <v>4438</v>
      </c>
      <c r="K459" s="45">
        <f>SUM(K76:K458)</f>
        <v>4412.8999999999951</v>
      </c>
      <c r="L459" s="45">
        <f t="shared" ref="L459:O459" si="45">SUM(L76:L458)</f>
        <v>3526.4000000000005</v>
      </c>
      <c r="M459" s="45">
        <f t="shared" si="45"/>
        <v>4561.0999999999967</v>
      </c>
      <c r="N459" s="45">
        <f t="shared" si="45"/>
        <v>4047.1000000000013</v>
      </c>
      <c r="O459" s="45">
        <f t="shared" si="45"/>
        <v>4074.8999999999996</v>
      </c>
      <c r="P459" s="45">
        <f t="shared" ref="P459" si="46">SUM(P92:P458)</f>
        <v>4102</v>
      </c>
    </row>
    <row r="461" spans="2:16" x14ac:dyDescent="0.2">
      <c r="B461" s="210" t="s">
        <v>571</v>
      </c>
      <c r="C461" s="659">
        <f>C459/K459</f>
        <v>1.0680051666704447</v>
      </c>
      <c r="D461" s="659">
        <f t="shared" ref="D461:H461" si="47">D459/L459</f>
        <v>1.0713475499092557</v>
      </c>
      <c r="E461" s="659">
        <f t="shared" si="47"/>
        <v>1.0878954638135545</v>
      </c>
      <c r="F461" s="659">
        <f t="shared" si="47"/>
        <v>1.0854686071507991</v>
      </c>
      <c r="G461" s="659">
        <f t="shared" si="47"/>
        <v>1.0989226729490296</v>
      </c>
      <c r="H461" s="659">
        <f t="shared" si="47"/>
        <v>1.0819112627986349</v>
      </c>
      <c r="K461" s="45"/>
      <c r="L461" s="45"/>
      <c r="M461" s="45"/>
      <c r="N461" s="45"/>
      <c r="O461" s="45"/>
      <c r="P461" s="45"/>
    </row>
    <row r="462" spans="2:16" x14ac:dyDescent="0.2">
      <c r="P462" s="707"/>
    </row>
    <row r="463" spans="2:16" x14ac:dyDescent="0.2">
      <c r="C463" s="45"/>
      <c r="D463" s="45"/>
      <c r="E463" s="45"/>
      <c r="F463" s="45"/>
      <c r="G463" s="45"/>
      <c r="H463" s="707"/>
      <c r="K463" s="474"/>
      <c r="L463" s="474"/>
      <c r="M463" s="474"/>
      <c r="N463" s="474"/>
      <c r="O463" s="474"/>
      <c r="P463" s="707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scale="87" orientation="portrait" r:id="rId1"/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00FF00"/>
  </sheetPr>
  <dimension ref="A1:CN156"/>
  <sheetViews>
    <sheetView view="pageBreakPreview" zoomScale="75" zoomScaleNormal="90" zoomScaleSheetLayoutView="75" workbookViewId="0">
      <pane xSplit="2" ySplit="4" topLeftCell="C5" activePane="bottomRight" state="frozen"/>
      <selection activeCell="O13" sqref="O13"/>
      <selection pane="topRight" activeCell="O13" sqref="O13"/>
      <selection pane="bottomLeft" activeCell="O13" sqref="O13"/>
      <selection pane="bottomRight" activeCell="C5" sqref="C5"/>
    </sheetView>
  </sheetViews>
  <sheetFormatPr defaultColWidth="9.140625" defaultRowHeight="12.75" x14ac:dyDescent="0.2"/>
  <cols>
    <col min="1" max="1" width="9.5703125" style="225" customWidth="1"/>
    <col min="2" max="2" width="27" style="225" customWidth="1"/>
    <col min="3" max="7" width="14.42578125" style="225" customWidth="1"/>
    <col min="8" max="8" width="13.140625" style="226" bestFit="1" customWidth="1"/>
    <col min="9" max="9" width="17.5703125" style="226" bestFit="1" customWidth="1"/>
    <col min="10" max="15" width="13" style="226" bestFit="1" customWidth="1"/>
    <col min="16" max="16" width="13.5703125" style="226" bestFit="1" customWidth="1"/>
    <col min="17" max="17" width="13.140625" style="226" bestFit="1" customWidth="1"/>
    <col min="18" max="19" width="13" style="226" bestFit="1" customWidth="1"/>
    <col min="20" max="20" width="15.42578125" style="226" customWidth="1"/>
    <col min="21" max="22" width="13.5703125" style="226" bestFit="1" customWidth="1"/>
    <col min="23" max="23" width="13" style="226" bestFit="1" customWidth="1"/>
    <col min="24" max="24" width="13.42578125" style="226" bestFit="1" customWidth="1"/>
    <col min="25" max="25" width="13.5703125" style="226" bestFit="1" customWidth="1"/>
    <col min="26" max="86" width="13.85546875" style="226" customWidth="1"/>
    <col min="87" max="87" width="11.42578125" style="226" bestFit="1" customWidth="1"/>
    <col min="88" max="88" width="12.42578125" style="226" bestFit="1" customWidth="1"/>
    <col min="89" max="16384" width="9.140625" style="226"/>
  </cols>
  <sheetData>
    <row r="1" spans="1:91" ht="13.5" x14ac:dyDescent="0.25">
      <c r="A1" s="22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</row>
    <row r="2" spans="1:91" ht="13.5" x14ac:dyDescent="0.25">
      <c r="A2" s="224"/>
      <c r="B2" s="225" t="s">
        <v>413</v>
      </c>
      <c r="H2"/>
      <c r="I2"/>
      <c r="N2" s="34"/>
      <c r="O2" s="34"/>
      <c r="P2" s="34"/>
      <c r="Q2" s="34"/>
      <c r="R2" s="34"/>
      <c r="S2" s="34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</row>
    <row r="3" spans="1:91" ht="13.5" x14ac:dyDescent="0.25">
      <c r="A3" s="224"/>
      <c r="G3" s="478" t="s">
        <v>620</v>
      </c>
      <c r="H3" s="226" t="s">
        <v>619</v>
      </c>
      <c r="CE3" s="225"/>
    </row>
    <row r="4" spans="1:91" x14ac:dyDescent="0.2">
      <c r="C4" s="656">
        <f>'Monthly Forecast'!K8</f>
        <v>42124</v>
      </c>
      <c r="D4" s="656">
        <f>'Monthly Forecast'!L8</f>
        <v>42155</v>
      </c>
      <c r="E4" s="656">
        <f>'Monthly Forecast'!M8</f>
        <v>42185</v>
      </c>
      <c r="F4" s="656">
        <f>'Monthly Forecast'!N8</f>
        <v>42216</v>
      </c>
      <c r="G4" s="656">
        <f>'Monthly Forecast'!O8</f>
        <v>42247</v>
      </c>
      <c r="H4" s="656">
        <f>'Monthly Forecast'!P8</f>
        <v>42277</v>
      </c>
      <c r="I4" s="656">
        <f>'Monthly Forecast'!Q8</f>
        <v>42308</v>
      </c>
      <c r="J4" s="656">
        <f>'Monthly Forecast'!R8</f>
        <v>42338</v>
      </c>
      <c r="K4" s="656">
        <f>'Monthly Forecast'!S8</f>
        <v>42369</v>
      </c>
      <c r="L4" s="656">
        <f>'Monthly Forecast'!T8</f>
        <v>42400</v>
      </c>
      <c r="M4" s="656">
        <f>'Monthly Forecast'!U8</f>
        <v>42429</v>
      </c>
      <c r="N4" s="656">
        <f>'Monthly Forecast'!V8</f>
        <v>42460</v>
      </c>
      <c r="O4" s="656">
        <f>'Monthly Forecast'!W8</f>
        <v>42490</v>
      </c>
      <c r="P4" s="656">
        <f>'Monthly Forecast'!X8</f>
        <v>42521</v>
      </c>
      <c r="Q4" s="656">
        <f>'Monthly Forecast'!Y8</f>
        <v>42551</v>
      </c>
      <c r="R4" s="656">
        <f>'Monthly Forecast'!Z8</f>
        <v>42582</v>
      </c>
      <c r="S4" s="656">
        <f>'Monthly Forecast'!AA8</f>
        <v>42613</v>
      </c>
      <c r="T4" s="656">
        <f>'Monthly Forecast'!AB8</f>
        <v>42643</v>
      </c>
      <c r="U4" s="656">
        <f>'Monthly Forecast'!AC8</f>
        <v>42674</v>
      </c>
      <c r="V4" s="656">
        <f>'Monthly Forecast'!AD8</f>
        <v>42704</v>
      </c>
      <c r="W4" s="656">
        <f>'Monthly Forecast'!AE8</f>
        <v>42735</v>
      </c>
      <c r="X4" s="656">
        <f>'Monthly Forecast'!AF8</f>
        <v>42766</v>
      </c>
      <c r="Y4" s="656">
        <f>'Monthly Forecast'!AG8</f>
        <v>42794</v>
      </c>
      <c r="Z4" s="656">
        <f>'Monthly Forecast'!AH8</f>
        <v>42825</v>
      </c>
      <c r="AA4" s="656">
        <f>'Monthly Forecast'!AI8</f>
        <v>42855</v>
      </c>
      <c r="AB4" s="656">
        <f>'Monthly Forecast'!AJ8</f>
        <v>42886</v>
      </c>
      <c r="AC4" s="656">
        <f>'Monthly Forecast'!AK8</f>
        <v>42916</v>
      </c>
      <c r="AD4" s="656">
        <f>'Monthly Forecast'!AL8</f>
        <v>42947</v>
      </c>
      <c r="AE4" s="656">
        <f>'Monthly Forecast'!AM8</f>
        <v>42978</v>
      </c>
      <c r="AF4" s="656">
        <f>'Monthly Forecast'!AN8</f>
        <v>43008</v>
      </c>
      <c r="AG4" s="656">
        <f>'Monthly Forecast'!AO8</f>
        <v>43039</v>
      </c>
      <c r="AH4" s="656">
        <f>'Monthly Forecast'!AP8</f>
        <v>43069</v>
      </c>
      <c r="AI4" s="656">
        <f>'Monthly Forecast'!AQ8</f>
        <v>43100</v>
      </c>
      <c r="AJ4" s="656">
        <f>'Monthly Forecast'!AR8</f>
        <v>43131</v>
      </c>
      <c r="AK4" s="656">
        <f>'Monthly Forecast'!AS8</f>
        <v>43159</v>
      </c>
      <c r="AL4" s="656">
        <f>'Monthly Forecast'!AT8</f>
        <v>43190</v>
      </c>
      <c r="AM4" s="656">
        <f>'Monthly Forecast'!AU8</f>
        <v>43220</v>
      </c>
      <c r="AN4" s="656">
        <f>'Monthly Forecast'!AV8</f>
        <v>43251</v>
      </c>
      <c r="AO4" s="656">
        <f>'Monthly Forecast'!AW8</f>
        <v>43281</v>
      </c>
      <c r="AP4" s="656">
        <f>'Monthly Forecast'!AX8</f>
        <v>43312</v>
      </c>
      <c r="AQ4" s="656">
        <f>'Monthly Forecast'!AY8</f>
        <v>43343</v>
      </c>
      <c r="AR4" s="656">
        <f>'Monthly Forecast'!AZ8</f>
        <v>43373</v>
      </c>
      <c r="AS4" s="656">
        <f>'Monthly Forecast'!BA8</f>
        <v>43404</v>
      </c>
      <c r="AT4" s="656">
        <f>'Monthly Forecast'!BB8</f>
        <v>43434</v>
      </c>
      <c r="AU4" s="656">
        <f>'Monthly Forecast'!BC8</f>
        <v>43465</v>
      </c>
      <c r="AV4" s="656">
        <f>'Monthly Forecast'!BD8</f>
        <v>43496</v>
      </c>
      <c r="AW4" s="656">
        <f>'Monthly Forecast'!BE8</f>
        <v>43524</v>
      </c>
      <c r="AX4" s="656">
        <f>'Monthly Forecast'!BF8</f>
        <v>43555</v>
      </c>
      <c r="AY4" s="656">
        <f>'Monthly Forecast'!BG8</f>
        <v>43585</v>
      </c>
      <c r="AZ4" s="656">
        <f>'Monthly Forecast'!BH8</f>
        <v>43616</v>
      </c>
      <c r="BA4" s="656">
        <f>'Monthly Forecast'!BI8</f>
        <v>43646</v>
      </c>
      <c r="BB4" s="656">
        <f>'Monthly Forecast'!BJ8</f>
        <v>43677</v>
      </c>
      <c r="BC4" s="656">
        <f>'Monthly Forecast'!BK8</f>
        <v>43708</v>
      </c>
      <c r="BD4" s="656">
        <f>'Monthly Forecast'!BL8</f>
        <v>43738</v>
      </c>
      <c r="BE4" s="656">
        <f>'Monthly Forecast'!BM8</f>
        <v>43769</v>
      </c>
      <c r="BF4" s="656">
        <f>'Monthly Forecast'!BN8</f>
        <v>43799</v>
      </c>
      <c r="BG4" s="656">
        <f>'Monthly Forecast'!BO8</f>
        <v>43830</v>
      </c>
      <c r="BH4" s="656">
        <f>'Monthly Forecast'!BP8</f>
        <v>43861</v>
      </c>
      <c r="BI4" s="656">
        <f>'Monthly Forecast'!BQ8</f>
        <v>43890</v>
      </c>
      <c r="BJ4" s="656">
        <f>'Monthly Forecast'!BR8</f>
        <v>43921</v>
      </c>
      <c r="BK4" s="656">
        <f>'Monthly Forecast'!BS8</f>
        <v>43951</v>
      </c>
      <c r="BL4" s="656">
        <f>'Monthly Forecast'!BT8</f>
        <v>43982</v>
      </c>
      <c r="BM4" s="656">
        <f>'Monthly Forecast'!BU8</f>
        <v>44012</v>
      </c>
      <c r="BN4" s="656">
        <f>'Monthly Forecast'!BV8</f>
        <v>44043</v>
      </c>
      <c r="BO4" s="656">
        <f>'Monthly Forecast'!BW8</f>
        <v>44074</v>
      </c>
      <c r="BP4" s="656">
        <f>'Monthly Forecast'!BX8</f>
        <v>44104</v>
      </c>
      <c r="BQ4" s="656">
        <f>'Monthly Forecast'!BY8</f>
        <v>44135</v>
      </c>
      <c r="BR4" s="656">
        <f>'Monthly Forecast'!BZ8</f>
        <v>44165</v>
      </c>
      <c r="BS4" s="656">
        <f>'Monthly Forecast'!CA8</f>
        <v>44196</v>
      </c>
      <c r="BT4" s="656">
        <f>'Monthly Forecast'!CB8</f>
        <v>44227</v>
      </c>
      <c r="BU4" s="656">
        <f>'Monthly Forecast'!CC8</f>
        <v>44255</v>
      </c>
      <c r="BV4" s="656">
        <f>'Monthly Forecast'!CD8</f>
        <v>44286</v>
      </c>
      <c r="BW4" s="656">
        <f>'Monthly Forecast'!CE8</f>
        <v>44316</v>
      </c>
      <c r="BX4" s="656">
        <f>'Monthly Forecast'!CF8</f>
        <v>44347</v>
      </c>
      <c r="BY4" s="656">
        <f>'Monthly Forecast'!CG8</f>
        <v>44377</v>
      </c>
      <c r="BZ4" s="656">
        <f>'Monthly Forecast'!CH8</f>
        <v>44408</v>
      </c>
      <c r="CA4" s="656">
        <f>'Monthly Forecast'!CI8</f>
        <v>44439</v>
      </c>
      <c r="CB4" s="656">
        <f t="shared" ref="CB4" si="0">EOMONTH(CA4,1)</f>
        <v>44469</v>
      </c>
      <c r="CC4" s="656">
        <f t="shared" ref="CC4" si="1">EOMONTH(CB4,1)</f>
        <v>44500</v>
      </c>
      <c r="CD4" s="656">
        <f t="shared" ref="CD4" si="2">EOMONTH(CC4,1)</f>
        <v>44530</v>
      </c>
      <c r="CE4" s="656"/>
      <c r="CF4" s="228"/>
      <c r="CG4" s="228"/>
      <c r="CH4" s="228"/>
      <c r="CI4" s="228"/>
      <c r="CJ4" s="228"/>
      <c r="CK4" s="228"/>
    </row>
    <row r="5" spans="1:91" x14ac:dyDescent="0.2">
      <c r="B5" s="225" t="s">
        <v>414</v>
      </c>
      <c r="C5" s="231">
        <f>+'Monthly Forecast'!K110</f>
        <v>1057307.0466315101</v>
      </c>
      <c r="D5" s="231">
        <f>+'Monthly Forecast'!L110</f>
        <v>561207.4237975335</v>
      </c>
      <c r="E5" s="231">
        <f>+'Monthly Forecast'!M110</f>
        <v>370550.54406635324</v>
      </c>
      <c r="F5" s="231">
        <f>+'Monthly Forecast'!N110</f>
        <v>361539.37020851014</v>
      </c>
      <c r="G5" s="231">
        <f>+'Monthly Forecast'!O110</f>
        <v>363883.1718262338</v>
      </c>
      <c r="H5" s="231">
        <f>+'Monthly Forecast'!P110</f>
        <v>428731.66460264154</v>
      </c>
      <c r="I5" s="231">
        <f>+'Monthly Forecast'!Q110</f>
        <v>1051322.1604847971</v>
      </c>
      <c r="J5" s="231">
        <f>+'Monthly Forecast'!R110</f>
        <v>1944865.0064397592</v>
      </c>
      <c r="K5" s="231">
        <f>+'Monthly Forecast'!S110</f>
        <v>2866166.8105204795</v>
      </c>
      <c r="L5" s="231">
        <f>+'Monthly Forecast'!T110</f>
        <v>3268503.3246593992</v>
      </c>
      <c r="M5" s="231">
        <f>+'Monthly Forecast'!U110</f>
        <v>2599398.0210402757</v>
      </c>
      <c r="N5" s="231">
        <f>+'Monthly Forecast'!V110</f>
        <v>2217582.2820591023</v>
      </c>
      <c r="O5" s="231">
        <f>+'Monthly Forecast'!W110</f>
        <v>1058860.9315781847</v>
      </c>
      <c r="P5" s="231">
        <f>+'Monthly Forecast'!X110</f>
        <v>561969.13469660771</v>
      </c>
      <c r="Q5" s="231">
        <f>+'Monthly Forecast'!Y110</f>
        <v>370991.25176667387</v>
      </c>
      <c r="R5" s="231">
        <f>+'Monthly Forecast'!Z110</f>
        <v>361974.90968832892</v>
      </c>
      <c r="S5" s="231">
        <f>+'Monthly Forecast'!AA110</f>
        <v>364318.72267584217</v>
      </c>
      <c r="T5" s="231">
        <f>+'Monthly Forecast'!AB110</f>
        <v>429286.15523730242</v>
      </c>
      <c r="U5" s="231">
        <f>+'Monthly Forecast'!AC110</f>
        <v>1052974.4453632608</v>
      </c>
      <c r="V5" s="231">
        <f>+'Monthly Forecast'!AD110</f>
        <v>1948065.5992701116</v>
      </c>
      <c r="W5" s="231">
        <f>+'Monthly Forecast'!AE110</f>
        <v>2870750.3182224883</v>
      </c>
      <c r="X5" s="231">
        <f>+'Monthly Forecast'!AF110</f>
        <v>3273718.6331070974</v>
      </c>
      <c r="Y5" s="231">
        <f>+'Monthly Forecast'!AG110</f>
        <v>2603980.5871853214</v>
      </c>
      <c r="Z5" s="231">
        <f>+'Monthly Forecast'!AH110</f>
        <v>2220633.4709501942</v>
      </c>
      <c r="AA5" s="231">
        <f>+'Monthly Forecast'!AI110</f>
        <v>1060414.8918187167</v>
      </c>
      <c r="AB5" s="231">
        <f>+'Monthly Forecast'!AJ110</f>
        <v>562730.74828169099</v>
      </c>
      <c r="AC5" s="231">
        <f>+'Monthly Forecast'!AK110</f>
        <v>371431.79282290797</v>
      </c>
      <c r="AD5" s="231">
        <f>+'Monthly Forecast'!AL110</f>
        <v>362410.28345343226</v>
      </c>
      <c r="AE5" s="231">
        <f>+'Monthly Forecast'!AM110</f>
        <v>364754.11047727772</v>
      </c>
      <c r="AF5" s="231">
        <f>+'Monthly Forecast'!AN110</f>
        <v>429840.60407768539</v>
      </c>
      <c r="AG5" s="231">
        <f>+'Monthly Forecast'!AO110</f>
        <v>1054626.7042951249</v>
      </c>
      <c r="AH5" s="231">
        <f>+'Monthly Forecast'!AP110</f>
        <v>1951266.1891025987</v>
      </c>
      <c r="AI5" s="231">
        <f>+'Monthly Forecast'!AQ110</f>
        <v>2875333.8424964529</v>
      </c>
      <c r="AJ5" s="231">
        <f>+'Monthly Forecast'!AR110</f>
        <v>3278933.9675458106</v>
      </c>
      <c r="AK5" s="231">
        <f>+'Monthly Forecast'!AS110</f>
        <v>2608563.172949275</v>
      </c>
      <c r="AL5" s="231">
        <f>+'Monthly Forecast'!AT110</f>
        <v>2223684.6498168805</v>
      </c>
      <c r="AM5" s="231">
        <f>+'Monthly Forecast'!AU110</f>
        <v>1061968.8232414522</v>
      </c>
      <c r="AN5" s="231">
        <f>+'Monthly Forecast'!AV110</f>
        <v>563492.32159145316</v>
      </c>
      <c r="AO5" s="231">
        <f>+'Monthly Forecast'!AW110</f>
        <v>371872.28896183736</v>
      </c>
      <c r="AP5" s="231">
        <f>+'Monthly Forecast'!AX110</f>
        <v>362845.61278949218</v>
      </c>
      <c r="AQ5" s="231">
        <f>+'Monthly Forecast'!AY110</f>
        <v>365189.45439944445</v>
      </c>
      <c r="AR5" s="231">
        <f>+'Monthly Forecast'!AZ110</f>
        <v>430395.04617298453</v>
      </c>
      <c r="AS5" s="231">
        <f>+'Monthly Forecast'!BA110</f>
        <v>1056278.9346715261</v>
      </c>
      <c r="AT5" s="231">
        <f>+'Monthly Forecast'!BB110</f>
        <v>1954466.7197374573</v>
      </c>
      <c r="AU5" s="231">
        <f>+'Monthly Forecast'!BC110</f>
        <v>2879917.2754655397</v>
      </c>
      <c r="AV5" s="231">
        <f>+'Monthly Forecast'!BD110</f>
        <v>3284149.197490159</v>
      </c>
      <c r="AW5" s="231">
        <f>+'Monthly Forecast'!BE110</f>
        <v>2613145.6816959651</v>
      </c>
      <c r="AX5" s="231">
        <f>+'Monthly Forecast'!BF110</f>
        <v>2226735.7601155816</v>
      </c>
      <c r="AY5" s="231">
        <f>+'Monthly Forecast'!BG110</f>
        <v>1063522.7267527913</v>
      </c>
      <c r="AZ5" s="231">
        <f>+'Monthly Forecast'!BH110</f>
        <v>564253.88374055177</v>
      </c>
      <c r="BA5" s="231">
        <f>+'Monthly Forecast'!BI110</f>
        <v>372312.78058579919</v>
      </c>
      <c r="BB5" s="231">
        <f>+'Monthly Forecast'!BJ110</f>
        <v>363280.93771304074</v>
      </c>
      <c r="BC5" s="231">
        <f>+'Monthly Forecast'!BK110</f>
        <v>365624.79390382097</v>
      </c>
      <c r="BD5" s="231">
        <f>+'Monthly Forecast'!BL110</f>
        <v>430949.47757707833</v>
      </c>
      <c r="BE5" s="231">
        <f>+'Monthly Forecast'!BM110</f>
        <v>1057931.1139777687</v>
      </c>
      <c r="BF5" s="231">
        <f>+'Monthly Forecast'!BN110</f>
        <v>1957667.1425645377</v>
      </c>
      <c r="BG5" s="231">
        <f>+'Monthly Forecast'!BO110</f>
        <v>2884500.5426631356</v>
      </c>
      <c r="BH5" s="231">
        <f>+'Monthly Forecast'!BP110</f>
        <v>3289364.2374675744</v>
      </c>
      <c r="BI5" s="231">
        <f>+'Monthly Forecast'!BQ110</f>
        <v>2617728.0466460707</v>
      </c>
      <c r="BJ5" s="231">
        <f>+'Monthly Forecast'!BR110</f>
        <v>2229786.7490081717</v>
      </c>
      <c r="BK5" s="231">
        <f>+'Monthly Forecast'!BS110</f>
        <v>1065076.580736923</v>
      </c>
      <c r="BL5" s="231">
        <f>+'Monthly Forecast'!BT110</f>
        <v>565015.42704730784</v>
      </c>
      <c r="BM5" s="231">
        <f>+'Monthly Forecast'!BU110</f>
        <v>372753.26558260462</v>
      </c>
      <c r="BN5" s="231">
        <f>+'Monthly Forecast'!BV110</f>
        <v>363716.25622698688</v>
      </c>
      <c r="BO5" s="231">
        <f>+'Monthly Forecast'!BW110</f>
        <v>366060.12702476484</v>
      </c>
      <c r="BP5" s="231">
        <f>+'Monthly Forecast'!BX110</f>
        <v>431503.66682638298</v>
      </c>
      <c r="BQ5" s="231">
        <f>+'Monthly Forecast'!BY110</f>
        <v>1059582.5316902124</v>
      </c>
      <c r="BR5" s="231">
        <f>+'Monthly Forecast'!BZ110</f>
        <v>1960866.0757257787</v>
      </c>
      <c r="BS5" s="231">
        <f>+'Monthly Forecast'!CA110</f>
        <v>2889081.5915395138</v>
      </c>
      <c r="BT5" s="231">
        <f>+'Monthly Forecast'!CB110</f>
        <v>3294576.7516779746</v>
      </c>
      <c r="BU5" s="231">
        <f>+'Monthly Forecast'!CC110</f>
        <v>2622308.4293919546</v>
      </c>
      <c r="BV5" s="231">
        <f>+'Monthly Forecast'!CD110</f>
        <v>2232836.1045258404</v>
      </c>
      <c r="BW5" s="231">
        <f>+'Monthly Forecast'!CE110</f>
        <v>1066629.6927605474</v>
      </c>
      <c r="BX5" s="231">
        <f>+'Monthly Forecast'!CF110</f>
        <v>565776.61906403885</v>
      </c>
      <c r="BY5" s="231">
        <f>+'Monthly Forecast'!CG110</f>
        <v>373193.55520501168</v>
      </c>
      <c r="BZ5" s="231">
        <f>+'Monthly Forecast'!CH110</f>
        <v>364151.38423740125</v>
      </c>
      <c r="CA5" s="231">
        <f>+'Monthly Forecast'!CI110</f>
        <v>366495.27255597705</v>
      </c>
      <c r="CB5" s="231">
        <f>BP5</f>
        <v>431503.66682638298</v>
      </c>
      <c r="CC5" s="231">
        <f t="shared" ref="CC5:CD6" si="3">BQ5</f>
        <v>1059582.5316902124</v>
      </c>
      <c r="CD5" s="231">
        <f t="shared" si="3"/>
        <v>1960866.0757257787</v>
      </c>
      <c r="CE5" s="231"/>
      <c r="CF5" s="227"/>
      <c r="CG5" s="227"/>
      <c r="CH5" s="227"/>
      <c r="CI5" s="227"/>
      <c r="CJ5" s="227"/>
      <c r="CK5" s="227"/>
    </row>
    <row r="6" spans="1:91" x14ac:dyDescent="0.2">
      <c r="B6" s="225" t="s">
        <v>239</v>
      </c>
      <c r="C6" s="231">
        <f>+'Monthly Forecast'!K115</f>
        <v>25314.518400000001</v>
      </c>
      <c r="D6" s="231">
        <f>+'Monthly Forecast'!L115</f>
        <v>41796.549199999994</v>
      </c>
      <c r="E6" s="231">
        <f>+'Monthly Forecast'!M115</f>
        <v>36104.598000000005</v>
      </c>
      <c r="F6" s="231">
        <f>+'Monthly Forecast'!N115</f>
        <v>16523.8724</v>
      </c>
      <c r="G6" s="231">
        <f>+'Monthly Forecast'!O115</f>
        <v>18634.435200000004</v>
      </c>
      <c r="H6" s="231">
        <f>+'Monthly Forecast'!P115</f>
        <v>11182.257599999999</v>
      </c>
      <c r="I6" s="231">
        <f>+'Monthly Forecast'!Q115</f>
        <v>28312.226299999998</v>
      </c>
      <c r="J6" s="231">
        <f>+'Monthly Forecast'!R115</f>
        <v>13287.966599999998</v>
      </c>
      <c r="K6" s="231">
        <f>+'Monthly Forecast'!S115</f>
        <v>27487.1695</v>
      </c>
      <c r="L6" s="231">
        <f>+'Monthly Forecast'!T115</f>
        <v>34197.4882</v>
      </c>
      <c r="M6" s="231">
        <f>+'Monthly Forecast'!U115</f>
        <v>22426.699500000002</v>
      </c>
      <c r="N6" s="231">
        <f>+'Monthly Forecast'!V115</f>
        <v>53510.237100000013</v>
      </c>
      <c r="O6" s="231">
        <f>+'Monthly Forecast'!W115</f>
        <v>25314.518400000001</v>
      </c>
      <c r="P6" s="231">
        <f>+'Monthly Forecast'!X115</f>
        <v>41796.549199999994</v>
      </c>
      <c r="Q6" s="231">
        <f>+'Monthly Forecast'!Y115</f>
        <v>36104.598000000005</v>
      </c>
      <c r="R6" s="231">
        <f>+'Monthly Forecast'!Z115</f>
        <v>16523.8724</v>
      </c>
      <c r="S6" s="231">
        <f>+'Monthly Forecast'!AA115</f>
        <v>18634.435200000004</v>
      </c>
      <c r="T6" s="231">
        <f>+'Monthly Forecast'!AB115</f>
        <v>11182.257599999999</v>
      </c>
      <c r="U6" s="231">
        <f>+'Monthly Forecast'!AC115</f>
        <v>28312.226299999998</v>
      </c>
      <c r="V6" s="231">
        <f>+'Monthly Forecast'!AD115</f>
        <v>13287.966599999998</v>
      </c>
      <c r="W6" s="231">
        <f>+'Monthly Forecast'!AE115</f>
        <v>27487.1695</v>
      </c>
      <c r="X6" s="231">
        <f>+'Monthly Forecast'!AF115</f>
        <v>34197.4882</v>
      </c>
      <c r="Y6" s="231">
        <f>+'Monthly Forecast'!AG115</f>
        <v>22426.699500000002</v>
      </c>
      <c r="Z6" s="231">
        <f>+'Monthly Forecast'!AH115</f>
        <v>53510.237100000013</v>
      </c>
      <c r="AA6" s="231">
        <f>+'Monthly Forecast'!AI115</f>
        <v>25314.518400000001</v>
      </c>
      <c r="AB6" s="231">
        <f>+'Monthly Forecast'!AJ115</f>
        <v>41796.549199999994</v>
      </c>
      <c r="AC6" s="231">
        <f>+'Monthly Forecast'!AK115</f>
        <v>36104.598000000005</v>
      </c>
      <c r="AD6" s="231">
        <f>+'Monthly Forecast'!AL115</f>
        <v>16523.8724</v>
      </c>
      <c r="AE6" s="231">
        <f>+'Monthly Forecast'!AM115</f>
        <v>18634.435200000004</v>
      </c>
      <c r="AF6" s="231">
        <f>+'Monthly Forecast'!AN115</f>
        <v>11182.257599999999</v>
      </c>
      <c r="AG6" s="231">
        <f>+'Monthly Forecast'!AO115</f>
        <v>28312.226299999998</v>
      </c>
      <c r="AH6" s="231">
        <f>+'Monthly Forecast'!AP115</f>
        <v>13287.966599999998</v>
      </c>
      <c r="AI6" s="231">
        <f>+'Monthly Forecast'!AQ115</f>
        <v>27487.1695</v>
      </c>
      <c r="AJ6" s="231">
        <f>+'Monthly Forecast'!AR115</f>
        <v>34197.4882</v>
      </c>
      <c r="AK6" s="231">
        <f>+'Monthly Forecast'!AS115</f>
        <v>22426.699500000002</v>
      </c>
      <c r="AL6" s="231">
        <f>+'Monthly Forecast'!AT115</f>
        <v>53510.237100000013</v>
      </c>
      <c r="AM6" s="231">
        <f>+'Monthly Forecast'!AU115</f>
        <v>25314.518400000001</v>
      </c>
      <c r="AN6" s="231">
        <f>+'Monthly Forecast'!AV115</f>
        <v>41796.549199999994</v>
      </c>
      <c r="AO6" s="231">
        <f>+'Monthly Forecast'!AW115</f>
        <v>36104.598000000005</v>
      </c>
      <c r="AP6" s="231">
        <f>+'Monthly Forecast'!AX115</f>
        <v>16523.8724</v>
      </c>
      <c r="AQ6" s="231">
        <f>+'Monthly Forecast'!AY115</f>
        <v>18634.435200000004</v>
      </c>
      <c r="AR6" s="231">
        <f>+'Monthly Forecast'!AZ115</f>
        <v>11182.257599999999</v>
      </c>
      <c r="AS6" s="231">
        <f>+'Monthly Forecast'!BA115</f>
        <v>28312.226299999998</v>
      </c>
      <c r="AT6" s="231">
        <f>+'Monthly Forecast'!BB115</f>
        <v>13287.966599999998</v>
      </c>
      <c r="AU6" s="231">
        <f>+'Monthly Forecast'!BC115</f>
        <v>27487.1695</v>
      </c>
      <c r="AV6" s="231">
        <f>+'Monthly Forecast'!BD115</f>
        <v>34197.4882</v>
      </c>
      <c r="AW6" s="231">
        <f>+'Monthly Forecast'!BE115</f>
        <v>22426.699500000002</v>
      </c>
      <c r="AX6" s="231">
        <f>+'Monthly Forecast'!BF115</f>
        <v>53510.237100000013</v>
      </c>
      <c r="AY6" s="231">
        <f>+'Monthly Forecast'!BG115</f>
        <v>25314.518400000001</v>
      </c>
      <c r="AZ6" s="231">
        <f>+'Monthly Forecast'!BH115</f>
        <v>41796.549199999994</v>
      </c>
      <c r="BA6" s="231">
        <f>+'Monthly Forecast'!BI115</f>
        <v>36104.598000000005</v>
      </c>
      <c r="BB6" s="231">
        <f>+'Monthly Forecast'!BJ115</f>
        <v>16523.8724</v>
      </c>
      <c r="BC6" s="231">
        <f>+'Monthly Forecast'!BK115</f>
        <v>18634.435200000004</v>
      </c>
      <c r="BD6" s="231">
        <f>+'Monthly Forecast'!BL115</f>
        <v>11182.257599999999</v>
      </c>
      <c r="BE6" s="231">
        <f>+'Monthly Forecast'!BM115</f>
        <v>28312.226299999998</v>
      </c>
      <c r="BF6" s="231">
        <f>+'Monthly Forecast'!BN115</f>
        <v>13287.966599999998</v>
      </c>
      <c r="BG6" s="231">
        <f>+'Monthly Forecast'!BO115</f>
        <v>27487.1695</v>
      </c>
      <c r="BH6" s="231">
        <f>+'Monthly Forecast'!BP115</f>
        <v>34197.4882</v>
      </c>
      <c r="BI6" s="231">
        <f>+'Monthly Forecast'!BQ115</f>
        <v>22426.699500000002</v>
      </c>
      <c r="BJ6" s="231">
        <f>+'Monthly Forecast'!BR115</f>
        <v>53510.237100000013</v>
      </c>
      <c r="BK6" s="231">
        <f>+'Monthly Forecast'!BS115</f>
        <v>25314.518400000001</v>
      </c>
      <c r="BL6" s="231">
        <f>+'Monthly Forecast'!BT115</f>
        <v>41796.549199999994</v>
      </c>
      <c r="BM6" s="231">
        <f>+'Monthly Forecast'!BU115</f>
        <v>36104.598000000005</v>
      </c>
      <c r="BN6" s="231">
        <f>+'Monthly Forecast'!BV115</f>
        <v>16523.8724</v>
      </c>
      <c r="BO6" s="231">
        <f>+'Monthly Forecast'!BW115</f>
        <v>18634.435200000004</v>
      </c>
      <c r="BP6" s="231">
        <f>+'Monthly Forecast'!BX115</f>
        <v>11182.257599999999</v>
      </c>
      <c r="BQ6" s="231">
        <f>+'Monthly Forecast'!BY115</f>
        <v>28312.226299999998</v>
      </c>
      <c r="BR6" s="231">
        <f>+'Monthly Forecast'!BZ115</f>
        <v>13287.966599999998</v>
      </c>
      <c r="BS6" s="231">
        <f>+'Monthly Forecast'!CA115</f>
        <v>27487.1695</v>
      </c>
      <c r="BT6" s="231">
        <f>+'Monthly Forecast'!CB115</f>
        <v>34197.4882</v>
      </c>
      <c r="BU6" s="231">
        <f>+'Monthly Forecast'!CC115</f>
        <v>22426.699500000002</v>
      </c>
      <c r="BV6" s="231">
        <f>+'Monthly Forecast'!CD115</f>
        <v>53510.237100000013</v>
      </c>
      <c r="BW6" s="231">
        <f>+'Monthly Forecast'!CE115</f>
        <v>25314.518400000001</v>
      </c>
      <c r="BX6" s="231">
        <f>+'Monthly Forecast'!CF115</f>
        <v>41796.549199999994</v>
      </c>
      <c r="BY6" s="231">
        <f>+'Monthly Forecast'!CG115</f>
        <v>36104.598000000005</v>
      </c>
      <c r="BZ6" s="231">
        <f>+'Monthly Forecast'!CH115</f>
        <v>16523.8724</v>
      </c>
      <c r="CA6" s="231">
        <f>+'Monthly Forecast'!CI115</f>
        <v>18634.435200000004</v>
      </c>
      <c r="CB6" s="231">
        <f>BP6</f>
        <v>11182.257599999999</v>
      </c>
      <c r="CC6" s="231">
        <f t="shared" si="3"/>
        <v>28312.226299999998</v>
      </c>
      <c r="CD6" s="231">
        <f t="shared" si="3"/>
        <v>13287.966599999998</v>
      </c>
      <c r="CE6" s="231"/>
      <c r="CF6" s="227"/>
      <c r="CG6" s="227"/>
      <c r="CH6" s="227"/>
      <c r="CI6" s="227"/>
      <c r="CJ6" s="227"/>
      <c r="CK6" s="227"/>
    </row>
    <row r="7" spans="1:91" x14ac:dyDescent="0.2">
      <c r="B7" s="225" t="s">
        <v>415</v>
      </c>
      <c r="C7" s="231">
        <f t="shared" ref="C7:G7" si="4">SUM(C5:C6)</f>
        <v>1082621.5650315101</v>
      </c>
      <c r="D7" s="231">
        <f t="shared" si="4"/>
        <v>603003.97299753351</v>
      </c>
      <c r="E7" s="231">
        <f t="shared" si="4"/>
        <v>406655.14206635323</v>
      </c>
      <c r="F7" s="231">
        <f t="shared" si="4"/>
        <v>378063.24260851013</v>
      </c>
      <c r="G7" s="231">
        <f t="shared" si="4"/>
        <v>382517.6070262338</v>
      </c>
      <c r="H7" s="231">
        <f t="shared" ref="H7:AM7" si="5">SUM(H5:H6)</f>
        <v>439913.92220264155</v>
      </c>
      <c r="I7" s="231">
        <f t="shared" si="5"/>
        <v>1079634.3867847971</v>
      </c>
      <c r="J7" s="231">
        <f t="shared" si="5"/>
        <v>1958152.9730397591</v>
      </c>
      <c r="K7" s="231">
        <f t="shared" si="5"/>
        <v>2893653.9800204793</v>
      </c>
      <c r="L7" s="231">
        <f t="shared" si="5"/>
        <v>3302700.8128593992</v>
      </c>
      <c r="M7" s="231">
        <f t="shared" si="5"/>
        <v>2621824.7205402758</v>
      </c>
      <c r="N7" s="231">
        <f t="shared" si="5"/>
        <v>2271092.5191591023</v>
      </c>
      <c r="O7" s="231">
        <f t="shared" si="5"/>
        <v>1084175.4499781847</v>
      </c>
      <c r="P7" s="231">
        <f t="shared" si="5"/>
        <v>603765.68389660772</v>
      </c>
      <c r="Q7" s="231">
        <f t="shared" si="5"/>
        <v>407095.84976667387</v>
      </c>
      <c r="R7" s="231">
        <f t="shared" si="5"/>
        <v>378498.78208832891</v>
      </c>
      <c r="S7" s="231">
        <f t="shared" si="5"/>
        <v>382953.15787584218</v>
      </c>
      <c r="T7" s="231">
        <f t="shared" si="5"/>
        <v>440468.41283730243</v>
      </c>
      <c r="U7" s="231">
        <f t="shared" si="5"/>
        <v>1081286.6716632608</v>
      </c>
      <c r="V7" s="231">
        <f t="shared" si="5"/>
        <v>1961353.5658701116</v>
      </c>
      <c r="W7" s="231">
        <f t="shared" si="5"/>
        <v>2898237.4877224881</v>
      </c>
      <c r="X7" s="231">
        <f t="shared" si="5"/>
        <v>3307916.1213070974</v>
      </c>
      <c r="Y7" s="231">
        <f t="shared" si="5"/>
        <v>2626407.2866853215</v>
      </c>
      <c r="Z7" s="231">
        <f t="shared" si="5"/>
        <v>2274143.7080501942</v>
      </c>
      <c r="AA7" s="45">
        <f t="shared" si="5"/>
        <v>1085729.4102187166</v>
      </c>
      <c r="AB7" s="45">
        <f t="shared" si="5"/>
        <v>604527.297481691</v>
      </c>
      <c r="AC7" s="45">
        <f t="shared" si="5"/>
        <v>407536.39082290797</v>
      </c>
      <c r="AD7" s="45">
        <f t="shared" si="5"/>
        <v>378934.15585343225</v>
      </c>
      <c r="AE7" s="45">
        <f t="shared" si="5"/>
        <v>383388.54567727773</v>
      </c>
      <c r="AF7" s="45">
        <f t="shared" si="5"/>
        <v>441022.8616776854</v>
      </c>
      <c r="AG7" s="45">
        <f t="shared" si="5"/>
        <v>1082938.9305951248</v>
      </c>
      <c r="AH7" s="45">
        <f t="shared" si="5"/>
        <v>1964554.1557025986</v>
      </c>
      <c r="AI7" s="45">
        <f t="shared" si="5"/>
        <v>2902821.0119964527</v>
      </c>
      <c r="AJ7" s="45">
        <f t="shared" si="5"/>
        <v>3313131.4557458106</v>
      </c>
      <c r="AK7" s="45">
        <f t="shared" si="5"/>
        <v>2630989.8724492751</v>
      </c>
      <c r="AL7" s="45">
        <f t="shared" si="5"/>
        <v>2277194.8869168805</v>
      </c>
      <c r="AM7" s="45">
        <f t="shared" si="5"/>
        <v>1087283.3416414522</v>
      </c>
      <c r="AN7" s="45">
        <f t="shared" ref="AN7:BS7" si="6">SUM(AN5:AN6)</f>
        <v>605288.87079145317</v>
      </c>
      <c r="AO7" s="45">
        <f t="shared" si="6"/>
        <v>407976.88696183736</v>
      </c>
      <c r="AP7" s="45">
        <f t="shared" si="6"/>
        <v>379369.48518949217</v>
      </c>
      <c r="AQ7" s="45">
        <f t="shared" si="6"/>
        <v>383823.88959944446</v>
      </c>
      <c r="AR7" s="45">
        <f t="shared" si="6"/>
        <v>441577.30377298454</v>
      </c>
      <c r="AS7" s="45">
        <f t="shared" si="6"/>
        <v>1084591.1609715261</v>
      </c>
      <c r="AT7" s="45">
        <f t="shared" si="6"/>
        <v>1967754.6863374573</v>
      </c>
      <c r="AU7" s="45">
        <f t="shared" si="6"/>
        <v>2907404.4449655395</v>
      </c>
      <c r="AV7" s="45">
        <f t="shared" si="6"/>
        <v>3318346.685690159</v>
      </c>
      <c r="AW7" s="45">
        <f t="shared" si="6"/>
        <v>2635572.3811959652</v>
      </c>
      <c r="AX7" s="45">
        <f t="shared" si="6"/>
        <v>2280245.9972155816</v>
      </c>
      <c r="AY7" s="45">
        <f t="shared" si="6"/>
        <v>1088837.2451527913</v>
      </c>
      <c r="AZ7" s="45">
        <f t="shared" si="6"/>
        <v>606050.43294055178</v>
      </c>
      <c r="BA7" s="45">
        <f t="shared" si="6"/>
        <v>408417.37858579919</v>
      </c>
      <c r="BB7" s="45">
        <f t="shared" si="6"/>
        <v>379804.81011304073</v>
      </c>
      <c r="BC7" s="45">
        <f t="shared" si="6"/>
        <v>384259.22910382098</v>
      </c>
      <c r="BD7" s="45">
        <f t="shared" si="6"/>
        <v>442131.73517707834</v>
      </c>
      <c r="BE7" s="45">
        <f t="shared" si="6"/>
        <v>1086243.3402777687</v>
      </c>
      <c r="BF7" s="45">
        <f t="shared" si="6"/>
        <v>1970955.1091645376</v>
      </c>
      <c r="BG7" s="45">
        <f t="shared" si="6"/>
        <v>2911987.7121631354</v>
      </c>
      <c r="BH7" s="45">
        <f t="shared" si="6"/>
        <v>3323561.7256675744</v>
      </c>
      <c r="BI7" s="45">
        <f t="shared" si="6"/>
        <v>2640154.7461460708</v>
      </c>
      <c r="BJ7" s="45">
        <f t="shared" si="6"/>
        <v>2283296.9861081718</v>
      </c>
      <c r="BK7" s="45">
        <f t="shared" si="6"/>
        <v>1090391.099136923</v>
      </c>
      <c r="BL7" s="45">
        <f t="shared" si="6"/>
        <v>606811.97624730784</v>
      </c>
      <c r="BM7" s="45">
        <f t="shared" si="6"/>
        <v>408857.86358260462</v>
      </c>
      <c r="BN7" s="45">
        <f t="shared" si="6"/>
        <v>380240.12862698687</v>
      </c>
      <c r="BO7" s="45">
        <f t="shared" si="6"/>
        <v>384694.56222476484</v>
      </c>
      <c r="BP7" s="45">
        <f t="shared" si="6"/>
        <v>442685.92442638299</v>
      </c>
      <c r="BQ7" s="45">
        <f t="shared" si="6"/>
        <v>1087894.7579902124</v>
      </c>
      <c r="BR7" s="45">
        <f t="shared" si="6"/>
        <v>1974154.0423257786</v>
      </c>
      <c r="BS7" s="45">
        <f t="shared" si="6"/>
        <v>2916568.7610395136</v>
      </c>
      <c r="BT7" s="45">
        <f t="shared" ref="BT7:CD7" si="7">SUM(BT5:BT6)</f>
        <v>3328774.2398779746</v>
      </c>
      <c r="BU7" s="45">
        <f t="shared" si="7"/>
        <v>2644735.1288919547</v>
      </c>
      <c r="BV7" s="45">
        <f t="shared" si="7"/>
        <v>2286346.3416258404</v>
      </c>
      <c r="BW7" s="45">
        <f t="shared" si="7"/>
        <v>1091944.2111605473</v>
      </c>
      <c r="BX7" s="45">
        <f t="shared" si="7"/>
        <v>607573.16826403886</v>
      </c>
      <c r="BY7" s="45">
        <f t="shared" si="7"/>
        <v>409298.15320501168</v>
      </c>
      <c r="BZ7" s="45">
        <f t="shared" si="7"/>
        <v>380675.25663740124</v>
      </c>
      <c r="CA7" s="45">
        <f t="shared" si="7"/>
        <v>385129.70775597706</v>
      </c>
      <c r="CB7" s="45">
        <f t="shared" si="7"/>
        <v>442685.92442638299</v>
      </c>
      <c r="CC7" s="45">
        <f t="shared" si="7"/>
        <v>1087894.7579902124</v>
      </c>
      <c r="CD7" s="45">
        <f t="shared" si="7"/>
        <v>1974154.0423257786</v>
      </c>
      <c r="CE7" s="247"/>
      <c r="CF7" s="229"/>
      <c r="CG7" s="229"/>
      <c r="CH7" s="229"/>
      <c r="CI7" s="229"/>
      <c r="CJ7" s="229"/>
      <c r="CK7" s="230"/>
    </row>
    <row r="8" spans="1:91" x14ac:dyDescent="0.2">
      <c r="A8" s="657">
        <f>[7]B.7!$D$39</f>
        <v>1.1599999999999999E-2</v>
      </c>
      <c r="B8" s="225" t="s">
        <v>416</v>
      </c>
      <c r="C8" s="231">
        <f t="shared" ref="C8:G8" si="8">ROUND(((C5+C6)*$A$8),0)</f>
        <v>12558</v>
      </c>
      <c r="D8" s="231">
        <f t="shared" si="8"/>
        <v>6995</v>
      </c>
      <c r="E8" s="231">
        <f t="shared" si="8"/>
        <v>4717</v>
      </c>
      <c r="F8" s="231">
        <f t="shared" si="8"/>
        <v>4386</v>
      </c>
      <c r="G8" s="231">
        <f t="shared" si="8"/>
        <v>4437</v>
      </c>
      <c r="H8" s="231">
        <f t="shared" ref="H8:AM8" si="9">ROUND(((H5+H6)*$A$8),0)</f>
        <v>5103</v>
      </c>
      <c r="I8" s="231">
        <f t="shared" si="9"/>
        <v>12524</v>
      </c>
      <c r="J8" s="231">
        <f t="shared" si="9"/>
        <v>22715</v>
      </c>
      <c r="K8" s="231">
        <f t="shared" si="9"/>
        <v>33566</v>
      </c>
      <c r="L8" s="231">
        <f t="shared" si="9"/>
        <v>38311</v>
      </c>
      <c r="M8" s="231">
        <f t="shared" si="9"/>
        <v>30413</v>
      </c>
      <c r="N8" s="231">
        <f t="shared" si="9"/>
        <v>26345</v>
      </c>
      <c r="O8" s="231">
        <f t="shared" si="9"/>
        <v>12576</v>
      </c>
      <c r="P8" s="231">
        <f t="shared" si="9"/>
        <v>7004</v>
      </c>
      <c r="Q8" s="231">
        <f t="shared" si="9"/>
        <v>4722</v>
      </c>
      <c r="R8" s="231">
        <f t="shared" si="9"/>
        <v>4391</v>
      </c>
      <c r="S8" s="231">
        <f t="shared" si="9"/>
        <v>4442</v>
      </c>
      <c r="T8" s="231">
        <f t="shared" si="9"/>
        <v>5109</v>
      </c>
      <c r="U8" s="231">
        <f t="shared" si="9"/>
        <v>12543</v>
      </c>
      <c r="V8" s="231">
        <f t="shared" si="9"/>
        <v>22752</v>
      </c>
      <c r="W8" s="231">
        <f t="shared" si="9"/>
        <v>33620</v>
      </c>
      <c r="X8" s="231">
        <f t="shared" si="9"/>
        <v>38372</v>
      </c>
      <c r="Y8" s="231">
        <f t="shared" si="9"/>
        <v>30466</v>
      </c>
      <c r="Z8" s="231">
        <f t="shared" si="9"/>
        <v>26380</v>
      </c>
      <c r="AA8" s="45">
        <f t="shared" si="9"/>
        <v>12594</v>
      </c>
      <c r="AB8" s="45">
        <f t="shared" si="9"/>
        <v>7013</v>
      </c>
      <c r="AC8" s="45">
        <f t="shared" si="9"/>
        <v>4727</v>
      </c>
      <c r="AD8" s="45">
        <f t="shared" si="9"/>
        <v>4396</v>
      </c>
      <c r="AE8" s="45">
        <f t="shared" si="9"/>
        <v>4447</v>
      </c>
      <c r="AF8" s="45">
        <f t="shared" si="9"/>
        <v>5116</v>
      </c>
      <c r="AG8" s="45">
        <f t="shared" si="9"/>
        <v>12562</v>
      </c>
      <c r="AH8" s="45">
        <f t="shared" si="9"/>
        <v>22789</v>
      </c>
      <c r="AI8" s="45">
        <f t="shared" si="9"/>
        <v>33673</v>
      </c>
      <c r="AJ8" s="45">
        <f t="shared" si="9"/>
        <v>38432</v>
      </c>
      <c r="AK8" s="45">
        <f t="shared" si="9"/>
        <v>30519</v>
      </c>
      <c r="AL8" s="45">
        <f t="shared" si="9"/>
        <v>26415</v>
      </c>
      <c r="AM8" s="45">
        <f t="shared" si="9"/>
        <v>12612</v>
      </c>
      <c r="AN8" s="45">
        <f t="shared" ref="AN8:BS8" si="10">ROUND(((AN5+AN6)*$A$8),0)</f>
        <v>7021</v>
      </c>
      <c r="AO8" s="45">
        <f t="shared" si="10"/>
        <v>4733</v>
      </c>
      <c r="AP8" s="45">
        <f t="shared" si="10"/>
        <v>4401</v>
      </c>
      <c r="AQ8" s="45">
        <f t="shared" si="10"/>
        <v>4452</v>
      </c>
      <c r="AR8" s="45">
        <f t="shared" si="10"/>
        <v>5122</v>
      </c>
      <c r="AS8" s="45">
        <f t="shared" si="10"/>
        <v>12581</v>
      </c>
      <c r="AT8" s="45">
        <f t="shared" si="10"/>
        <v>22826</v>
      </c>
      <c r="AU8" s="45">
        <f t="shared" si="10"/>
        <v>33726</v>
      </c>
      <c r="AV8" s="45">
        <f t="shared" si="10"/>
        <v>38493</v>
      </c>
      <c r="AW8" s="45">
        <f t="shared" si="10"/>
        <v>30573</v>
      </c>
      <c r="AX8" s="45">
        <f t="shared" si="10"/>
        <v>26451</v>
      </c>
      <c r="AY8" s="45">
        <f t="shared" si="10"/>
        <v>12631</v>
      </c>
      <c r="AZ8" s="45">
        <f t="shared" si="10"/>
        <v>7030</v>
      </c>
      <c r="BA8" s="45">
        <f t="shared" si="10"/>
        <v>4738</v>
      </c>
      <c r="BB8" s="45">
        <f t="shared" si="10"/>
        <v>4406</v>
      </c>
      <c r="BC8" s="45">
        <f t="shared" si="10"/>
        <v>4457</v>
      </c>
      <c r="BD8" s="45">
        <f t="shared" si="10"/>
        <v>5129</v>
      </c>
      <c r="BE8" s="45">
        <f t="shared" si="10"/>
        <v>12600</v>
      </c>
      <c r="BF8" s="45">
        <f t="shared" si="10"/>
        <v>22863</v>
      </c>
      <c r="BG8" s="45">
        <f t="shared" si="10"/>
        <v>33779</v>
      </c>
      <c r="BH8" s="45">
        <f t="shared" si="10"/>
        <v>38553</v>
      </c>
      <c r="BI8" s="45">
        <f t="shared" si="10"/>
        <v>30626</v>
      </c>
      <c r="BJ8" s="45">
        <f t="shared" si="10"/>
        <v>26486</v>
      </c>
      <c r="BK8" s="45">
        <f t="shared" si="10"/>
        <v>12649</v>
      </c>
      <c r="BL8" s="45">
        <f t="shared" si="10"/>
        <v>7039</v>
      </c>
      <c r="BM8" s="45">
        <f t="shared" si="10"/>
        <v>4743</v>
      </c>
      <c r="BN8" s="45">
        <f t="shared" si="10"/>
        <v>4411</v>
      </c>
      <c r="BO8" s="45">
        <f t="shared" si="10"/>
        <v>4462</v>
      </c>
      <c r="BP8" s="45">
        <f t="shared" si="10"/>
        <v>5135</v>
      </c>
      <c r="BQ8" s="45">
        <f t="shared" si="10"/>
        <v>12620</v>
      </c>
      <c r="BR8" s="45">
        <f t="shared" si="10"/>
        <v>22900</v>
      </c>
      <c r="BS8" s="45">
        <f t="shared" si="10"/>
        <v>33832</v>
      </c>
      <c r="BT8" s="45">
        <f t="shared" ref="BT8:CD8" si="11">ROUND(((BT5+BT6)*$A$8),0)</f>
        <v>38614</v>
      </c>
      <c r="BU8" s="45">
        <f t="shared" si="11"/>
        <v>30679</v>
      </c>
      <c r="BV8" s="45">
        <f t="shared" si="11"/>
        <v>26522</v>
      </c>
      <c r="BW8" s="45">
        <f t="shared" si="11"/>
        <v>12667</v>
      </c>
      <c r="BX8" s="45">
        <f t="shared" si="11"/>
        <v>7048</v>
      </c>
      <c r="BY8" s="45">
        <f t="shared" si="11"/>
        <v>4748</v>
      </c>
      <c r="BZ8" s="45">
        <f t="shared" si="11"/>
        <v>4416</v>
      </c>
      <c r="CA8" s="45">
        <f t="shared" si="11"/>
        <v>4468</v>
      </c>
      <c r="CB8" s="45">
        <f t="shared" si="11"/>
        <v>5135</v>
      </c>
      <c r="CC8" s="45">
        <f t="shared" si="11"/>
        <v>12620</v>
      </c>
      <c r="CD8" s="45">
        <f t="shared" si="11"/>
        <v>22900</v>
      </c>
      <c r="CE8" s="247"/>
      <c r="CF8" s="229"/>
      <c r="CG8" s="229"/>
      <c r="CH8" s="229"/>
      <c r="CI8" s="229"/>
      <c r="CJ8" s="229"/>
      <c r="CK8" s="230"/>
    </row>
    <row r="9" spans="1:91" x14ac:dyDescent="0.2">
      <c r="B9" s="225" t="s">
        <v>417</v>
      </c>
      <c r="C9" s="231">
        <f t="shared" ref="C9:G9" si="12">+C8+C5+C6</f>
        <v>1095179.5650315101</v>
      </c>
      <c r="D9" s="231">
        <f t="shared" si="12"/>
        <v>609998.97299753351</v>
      </c>
      <c r="E9" s="231">
        <f t="shared" si="12"/>
        <v>411372.14206635323</v>
      </c>
      <c r="F9" s="231">
        <f t="shared" si="12"/>
        <v>382449.24260851013</v>
      </c>
      <c r="G9" s="231">
        <f t="shared" si="12"/>
        <v>386954.6070262338</v>
      </c>
      <c r="H9" s="231">
        <f t="shared" ref="H9:AM9" si="13">+H8+H5+H6</f>
        <v>445016.92220264155</v>
      </c>
      <c r="I9" s="231">
        <f t="shared" si="13"/>
        <v>1092158.3867847971</v>
      </c>
      <c r="J9" s="231">
        <f t="shared" si="13"/>
        <v>1980867.9730397591</v>
      </c>
      <c r="K9" s="231">
        <f t="shared" si="13"/>
        <v>2927219.9800204793</v>
      </c>
      <c r="L9" s="231">
        <f t="shared" si="13"/>
        <v>3341011.8128593992</v>
      </c>
      <c r="M9" s="231">
        <f t="shared" si="13"/>
        <v>2652237.7205402758</v>
      </c>
      <c r="N9" s="231">
        <f t="shared" si="13"/>
        <v>2297437.5191591023</v>
      </c>
      <c r="O9" s="231">
        <f t="shared" si="13"/>
        <v>1096751.4499781847</v>
      </c>
      <c r="P9" s="231">
        <f t="shared" si="13"/>
        <v>610769.68389660772</v>
      </c>
      <c r="Q9" s="231">
        <f t="shared" si="13"/>
        <v>411817.84976667387</v>
      </c>
      <c r="R9" s="231">
        <f t="shared" si="13"/>
        <v>382889.78208832891</v>
      </c>
      <c r="S9" s="231">
        <f t="shared" si="13"/>
        <v>387395.15787584218</v>
      </c>
      <c r="T9" s="231">
        <f t="shared" si="13"/>
        <v>445577.41283730243</v>
      </c>
      <c r="U9" s="231">
        <f t="shared" si="13"/>
        <v>1093829.6716632608</v>
      </c>
      <c r="V9" s="231">
        <f t="shared" si="13"/>
        <v>1984105.5658701116</v>
      </c>
      <c r="W9" s="231">
        <f t="shared" si="13"/>
        <v>2931857.4877224881</v>
      </c>
      <c r="X9" s="231">
        <f t="shared" si="13"/>
        <v>3346288.1213070974</v>
      </c>
      <c r="Y9" s="231">
        <f t="shared" si="13"/>
        <v>2656873.2866853215</v>
      </c>
      <c r="Z9" s="231">
        <f t="shared" si="13"/>
        <v>2300523.7080501942</v>
      </c>
      <c r="AA9" s="45">
        <f t="shared" si="13"/>
        <v>1098323.4102187166</v>
      </c>
      <c r="AB9" s="45">
        <f t="shared" si="13"/>
        <v>611540.297481691</v>
      </c>
      <c r="AC9" s="45">
        <f t="shared" si="13"/>
        <v>412263.39082290797</v>
      </c>
      <c r="AD9" s="45">
        <f t="shared" si="13"/>
        <v>383330.15585343225</v>
      </c>
      <c r="AE9" s="45">
        <f t="shared" si="13"/>
        <v>387835.54567727773</v>
      </c>
      <c r="AF9" s="45">
        <f t="shared" si="13"/>
        <v>446138.8616776854</v>
      </c>
      <c r="AG9" s="45">
        <f t="shared" si="13"/>
        <v>1095500.9305951248</v>
      </c>
      <c r="AH9" s="45">
        <f t="shared" si="13"/>
        <v>1987343.1557025986</v>
      </c>
      <c r="AI9" s="45">
        <f t="shared" si="13"/>
        <v>2936494.0119964527</v>
      </c>
      <c r="AJ9" s="45">
        <f t="shared" si="13"/>
        <v>3351563.4557458106</v>
      </c>
      <c r="AK9" s="45">
        <f t="shared" si="13"/>
        <v>2661508.8724492751</v>
      </c>
      <c r="AL9" s="45">
        <f t="shared" si="13"/>
        <v>2303609.8869168805</v>
      </c>
      <c r="AM9" s="45">
        <f t="shared" si="13"/>
        <v>1099895.3416414522</v>
      </c>
      <c r="AN9" s="45">
        <f t="shared" ref="AN9:BS9" si="14">+AN8+AN5+AN6</f>
        <v>612309.87079145317</v>
      </c>
      <c r="AO9" s="45">
        <f t="shared" si="14"/>
        <v>412709.88696183736</v>
      </c>
      <c r="AP9" s="45">
        <f t="shared" si="14"/>
        <v>383770.48518949217</v>
      </c>
      <c r="AQ9" s="45">
        <f t="shared" si="14"/>
        <v>388275.88959944446</v>
      </c>
      <c r="AR9" s="45">
        <f t="shared" si="14"/>
        <v>446699.30377298454</v>
      </c>
      <c r="AS9" s="45">
        <f t="shared" si="14"/>
        <v>1097172.1609715261</v>
      </c>
      <c r="AT9" s="45">
        <f t="shared" si="14"/>
        <v>1990580.6863374573</v>
      </c>
      <c r="AU9" s="45">
        <f t="shared" si="14"/>
        <v>2941130.4449655395</v>
      </c>
      <c r="AV9" s="45">
        <f t="shared" si="14"/>
        <v>3356839.685690159</v>
      </c>
      <c r="AW9" s="45">
        <f t="shared" si="14"/>
        <v>2666145.3811959652</v>
      </c>
      <c r="AX9" s="45">
        <f t="shared" si="14"/>
        <v>2306696.9972155816</v>
      </c>
      <c r="AY9" s="45">
        <f t="shared" si="14"/>
        <v>1101468.2451527913</v>
      </c>
      <c r="AZ9" s="45">
        <f t="shared" si="14"/>
        <v>613080.43294055178</v>
      </c>
      <c r="BA9" s="45">
        <f t="shared" si="14"/>
        <v>413155.37858579919</v>
      </c>
      <c r="BB9" s="45">
        <f t="shared" si="14"/>
        <v>384210.81011304073</v>
      </c>
      <c r="BC9" s="45">
        <f t="shared" si="14"/>
        <v>388716.22910382098</v>
      </c>
      <c r="BD9" s="45">
        <f t="shared" si="14"/>
        <v>447260.73517707834</v>
      </c>
      <c r="BE9" s="45">
        <f t="shared" si="14"/>
        <v>1098843.3402777687</v>
      </c>
      <c r="BF9" s="45">
        <f t="shared" si="14"/>
        <v>1993818.1091645376</v>
      </c>
      <c r="BG9" s="45">
        <f t="shared" si="14"/>
        <v>2945766.7121631354</v>
      </c>
      <c r="BH9" s="45">
        <f t="shared" si="14"/>
        <v>3362114.7256675744</v>
      </c>
      <c r="BI9" s="45">
        <f t="shared" si="14"/>
        <v>2670780.7461460708</v>
      </c>
      <c r="BJ9" s="45">
        <f t="shared" si="14"/>
        <v>2309782.9861081718</v>
      </c>
      <c r="BK9" s="45">
        <f t="shared" si="14"/>
        <v>1103040.099136923</v>
      </c>
      <c r="BL9" s="45">
        <f t="shared" si="14"/>
        <v>613850.97624730784</v>
      </c>
      <c r="BM9" s="45">
        <f t="shared" si="14"/>
        <v>413600.86358260462</v>
      </c>
      <c r="BN9" s="45">
        <f t="shared" si="14"/>
        <v>384651.12862698687</v>
      </c>
      <c r="BO9" s="45">
        <f t="shared" si="14"/>
        <v>389156.56222476484</v>
      </c>
      <c r="BP9" s="45">
        <f t="shared" si="14"/>
        <v>447820.92442638299</v>
      </c>
      <c r="BQ9" s="45">
        <f t="shared" si="14"/>
        <v>1100514.7579902124</v>
      </c>
      <c r="BR9" s="45">
        <f t="shared" si="14"/>
        <v>1997054.0423257786</v>
      </c>
      <c r="BS9" s="45">
        <f t="shared" si="14"/>
        <v>2950400.7610395136</v>
      </c>
      <c r="BT9" s="45">
        <f t="shared" ref="BT9:CD9" si="15">+BT8+BT5+BT6</f>
        <v>3367388.2398779746</v>
      </c>
      <c r="BU9" s="45">
        <f t="shared" si="15"/>
        <v>2675414.1288919547</v>
      </c>
      <c r="BV9" s="45">
        <f t="shared" si="15"/>
        <v>2312868.3416258404</v>
      </c>
      <c r="BW9" s="45">
        <f t="shared" si="15"/>
        <v>1104611.2111605473</v>
      </c>
      <c r="BX9" s="45">
        <f t="shared" si="15"/>
        <v>614621.16826403886</v>
      </c>
      <c r="BY9" s="45">
        <f t="shared" si="15"/>
        <v>414046.15320501168</v>
      </c>
      <c r="BZ9" s="45">
        <f t="shared" si="15"/>
        <v>385091.25663740124</v>
      </c>
      <c r="CA9" s="45">
        <f t="shared" si="15"/>
        <v>389597.70775597706</v>
      </c>
      <c r="CB9" s="45">
        <f t="shared" si="15"/>
        <v>447820.92442638299</v>
      </c>
      <c r="CC9" s="45">
        <f t="shared" si="15"/>
        <v>1100514.7579902124</v>
      </c>
      <c r="CD9" s="45">
        <f t="shared" si="15"/>
        <v>1997054.0423257786</v>
      </c>
      <c r="CE9" s="247"/>
      <c r="CF9" s="229"/>
      <c r="CG9" s="229"/>
      <c r="CH9" s="229"/>
      <c r="CI9" s="229"/>
      <c r="CJ9" s="229"/>
      <c r="CK9" s="230"/>
    </row>
    <row r="10" spans="1:91" x14ac:dyDescent="0.2">
      <c r="A10" s="658">
        <v>1.01</v>
      </c>
      <c r="B10" s="225" t="s">
        <v>418</v>
      </c>
      <c r="C10" s="231">
        <f t="shared" ref="C10:G10" si="16">+C9*$A$10</f>
        <v>1106131.3606818251</v>
      </c>
      <c r="D10" s="231">
        <f t="shared" si="16"/>
        <v>616098.96272750886</v>
      </c>
      <c r="E10" s="231">
        <f t="shared" si="16"/>
        <v>415485.86348701676</v>
      </c>
      <c r="F10" s="231">
        <f t="shared" si="16"/>
        <v>386273.73503459524</v>
      </c>
      <c r="G10" s="231">
        <f t="shared" si="16"/>
        <v>390824.15309649613</v>
      </c>
      <c r="H10" s="231">
        <f>+H9*$A$10</f>
        <v>449467.09142466797</v>
      </c>
      <c r="I10" s="231">
        <f t="shared" ref="I10:BT10" si="17">+I9*$A$10</f>
        <v>1103079.970652645</v>
      </c>
      <c r="J10" s="231">
        <f t="shared" si="17"/>
        <v>2000676.6527701567</v>
      </c>
      <c r="K10" s="231">
        <f t="shared" si="17"/>
        <v>2956492.1798206843</v>
      </c>
      <c r="L10" s="231">
        <f t="shared" si="17"/>
        <v>3374421.9309879933</v>
      </c>
      <c r="M10" s="231">
        <f t="shared" si="17"/>
        <v>2678760.0977456784</v>
      </c>
      <c r="N10" s="231">
        <f t="shared" si="17"/>
        <v>2320411.8943506936</v>
      </c>
      <c r="O10" s="231">
        <f t="shared" si="17"/>
        <v>1107718.9644779665</v>
      </c>
      <c r="P10" s="231">
        <f t="shared" si="17"/>
        <v>616877.38073557382</v>
      </c>
      <c r="Q10" s="231">
        <f t="shared" si="17"/>
        <v>415936.0282643406</v>
      </c>
      <c r="R10" s="231">
        <f t="shared" si="17"/>
        <v>386718.67990921222</v>
      </c>
      <c r="S10" s="231">
        <f t="shared" si="17"/>
        <v>391269.10945460061</v>
      </c>
      <c r="T10" s="231">
        <f t="shared" si="17"/>
        <v>450033.18696567544</v>
      </c>
      <c r="U10" s="231">
        <f t="shared" si="17"/>
        <v>1104767.9683798933</v>
      </c>
      <c r="V10" s="231">
        <f t="shared" si="17"/>
        <v>2003946.6215288127</v>
      </c>
      <c r="W10" s="231">
        <f t="shared" si="17"/>
        <v>2961176.062599713</v>
      </c>
      <c r="X10" s="231">
        <f t="shared" si="17"/>
        <v>3379751.0025201682</v>
      </c>
      <c r="Y10" s="231">
        <f t="shared" si="17"/>
        <v>2683442.0195521745</v>
      </c>
      <c r="Z10" s="231">
        <f t="shared" si="17"/>
        <v>2323528.9451306961</v>
      </c>
      <c r="AA10" s="231">
        <f t="shared" si="17"/>
        <v>1109306.6443209038</v>
      </c>
      <c r="AB10" s="231">
        <f t="shared" si="17"/>
        <v>617655.70045650797</v>
      </c>
      <c r="AC10" s="231">
        <f t="shared" si="17"/>
        <v>416386.02473113703</v>
      </c>
      <c r="AD10" s="231">
        <f t="shared" si="17"/>
        <v>387163.45741196658</v>
      </c>
      <c r="AE10" s="231">
        <f t="shared" si="17"/>
        <v>391713.90113405051</v>
      </c>
      <c r="AF10" s="231">
        <f t="shared" si="17"/>
        <v>450600.25029446225</v>
      </c>
      <c r="AG10" s="231">
        <f t="shared" si="17"/>
        <v>1106455.939901076</v>
      </c>
      <c r="AH10" s="231">
        <f t="shared" si="17"/>
        <v>2007216.5872596246</v>
      </c>
      <c r="AI10" s="231">
        <f t="shared" si="17"/>
        <v>2965858.9521164172</v>
      </c>
      <c r="AJ10" s="231">
        <f t="shared" si="17"/>
        <v>3385079.0903032687</v>
      </c>
      <c r="AK10" s="231">
        <f t="shared" si="17"/>
        <v>2688123.9611737677</v>
      </c>
      <c r="AL10" s="231">
        <f t="shared" si="17"/>
        <v>2326645.9857860492</v>
      </c>
      <c r="AM10" s="231">
        <f t="shared" si="17"/>
        <v>1110894.2950578667</v>
      </c>
      <c r="AN10" s="231">
        <f t="shared" si="17"/>
        <v>618432.96949936775</v>
      </c>
      <c r="AO10" s="231">
        <f t="shared" si="17"/>
        <v>416836.98583145574</v>
      </c>
      <c r="AP10" s="231">
        <f t="shared" si="17"/>
        <v>387608.1900413871</v>
      </c>
      <c r="AQ10" s="231">
        <f t="shared" si="17"/>
        <v>392158.64849543892</v>
      </c>
      <c r="AR10" s="231">
        <f t="shared" si="17"/>
        <v>451166.29681071441</v>
      </c>
      <c r="AS10" s="231">
        <f t="shared" si="17"/>
        <v>1108143.8825812414</v>
      </c>
      <c r="AT10" s="231">
        <f t="shared" si="17"/>
        <v>2010486.4932008318</v>
      </c>
      <c r="AU10" s="231">
        <f t="shared" si="17"/>
        <v>2970541.7494151951</v>
      </c>
      <c r="AV10" s="231">
        <f t="shared" si="17"/>
        <v>3390408.0825470607</v>
      </c>
      <c r="AW10" s="231">
        <f t="shared" si="17"/>
        <v>2692806.8350079251</v>
      </c>
      <c r="AX10" s="231">
        <f t="shared" si="17"/>
        <v>2329763.9671877376</v>
      </c>
      <c r="AY10" s="231">
        <f t="shared" si="17"/>
        <v>1112482.9276043193</v>
      </c>
      <c r="AZ10" s="231">
        <f t="shared" si="17"/>
        <v>619211.23726995732</v>
      </c>
      <c r="BA10" s="231">
        <f t="shared" si="17"/>
        <v>417286.93237165717</v>
      </c>
      <c r="BB10" s="231">
        <f t="shared" si="17"/>
        <v>388052.91821417114</v>
      </c>
      <c r="BC10" s="231">
        <f t="shared" si="17"/>
        <v>392603.39139485918</v>
      </c>
      <c r="BD10" s="231">
        <f t="shared" si="17"/>
        <v>451733.34252884914</v>
      </c>
      <c r="BE10" s="231">
        <f t="shared" si="17"/>
        <v>1109831.7736805463</v>
      </c>
      <c r="BF10" s="231">
        <f t="shared" si="17"/>
        <v>2013756.2902561831</v>
      </c>
      <c r="BG10" s="231">
        <f t="shared" si="17"/>
        <v>2975224.379284767</v>
      </c>
      <c r="BH10" s="231">
        <f t="shared" si="17"/>
        <v>3395735.8729242501</v>
      </c>
      <c r="BI10" s="231">
        <f t="shared" si="17"/>
        <v>2697488.5536075314</v>
      </c>
      <c r="BJ10" s="231">
        <f t="shared" si="17"/>
        <v>2332880.8159692534</v>
      </c>
      <c r="BK10" s="231">
        <f t="shared" si="17"/>
        <v>1114070.5001282922</v>
      </c>
      <c r="BL10" s="231">
        <f t="shared" si="17"/>
        <v>619989.4860097809</v>
      </c>
      <c r="BM10" s="231">
        <f t="shared" si="17"/>
        <v>417736.87221843068</v>
      </c>
      <c r="BN10" s="231">
        <f t="shared" si="17"/>
        <v>388497.63991325675</v>
      </c>
      <c r="BO10" s="231">
        <f t="shared" si="17"/>
        <v>393048.12784701248</v>
      </c>
      <c r="BP10" s="231">
        <f t="shared" si="17"/>
        <v>452299.13367064681</v>
      </c>
      <c r="BQ10" s="231">
        <f t="shared" si="17"/>
        <v>1111519.9055701145</v>
      </c>
      <c r="BR10" s="231">
        <f t="shared" si="17"/>
        <v>2017024.5827490364</v>
      </c>
      <c r="BS10" s="231">
        <f t="shared" si="17"/>
        <v>2979904.7686499087</v>
      </c>
      <c r="BT10" s="231">
        <f t="shared" si="17"/>
        <v>3401062.1222767546</v>
      </c>
      <c r="BU10" s="231">
        <f t="shared" ref="BU10:CD10" si="18">+BU9*$A$10</f>
        <v>2702168.270180874</v>
      </c>
      <c r="BV10" s="231">
        <f t="shared" si="18"/>
        <v>2335997.0250420989</v>
      </c>
      <c r="BW10" s="231">
        <f t="shared" si="18"/>
        <v>1115657.3232721528</v>
      </c>
      <c r="BX10" s="231">
        <f t="shared" si="18"/>
        <v>620767.37994667923</v>
      </c>
      <c r="BY10" s="231">
        <f t="shared" si="18"/>
        <v>418186.61473706178</v>
      </c>
      <c r="BZ10" s="231">
        <f t="shared" si="18"/>
        <v>388942.16920377524</v>
      </c>
      <c r="CA10" s="231">
        <f t="shared" si="18"/>
        <v>393493.68483353686</v>
      </c>
      <c r="CB10" s="231">
        <f t="shared" si="18"/>
        <v>452299.13367064681</v>
      </c>
      <c r="CC10" s="231">
        <f t="shared" si="18"/>
        <v>1111519.9055701145</v>
      </c>
      <c r="CD10" s="231">
        <f t="shared" si="18"/>
        <v>2017024.5827490364</v>
      </c>
      <c r="CE10" s="231"/>
      <c r="CF10" s="227"/>
      <c r="CG10" s="227"/>
      <c r="CH10" s="227"/>
      <c r="CI10" s="227"/>
      <c r="CJ10" s="227"/>
      <c r="CK10" s="230"/>
    </row>
    <row r="11" spans="1:91" x14ac:dyDescent="0.2">
      <c r="H11" s="225"/>
      <c r="I11" s="225"/>
      <c r="J11" s="225"/>
      <c r="K11" s="225"/>
      <c r="L11" s="225"/>
      <c r="M11" s="225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</row>
    <row r="12" spans="1:91" x14ac:dyDescent="0.2">
      <c r="A12" s="225" t="s">
        <v>412</v>
      </c>
      <c r="B12" s="225" t="s">
        <v>419</v>
      </c>
      <c r="H12" s="225"/>
      <c r="I12" s="225"/>
      <c r="J12" s="225"/>
      <c r="K12" s="225"/>
      <c r="L12" s="225"/>
      <c r="M12" s="225"/>
      <c r="N12" s="231"/>
      <c r="O12" s="659"/>
      <c r="P12" s="659"/>
      <c r="Q12" s="659"/>
      <c r="R12" s="659"/>
      <c r="S12" s="659"/>
      <c r="T12" s="231"/>
      <c r="U12" s="231"/>
      <c r="V12" s="231"/>
      <c r="W12" s="231"/>
      <c r="X12" s="231"/>
      <c r="Y12" s="231"/>
      <c r="Z12" s="231"/>
      <c r="AA12" s="231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</row>
    <row r="13" spans="1:91" x14ac:dyDescent="0.2">
      <c r="B13" s="225" t="s">
        <v>420</v>
      </c>
      <c r="C13" s="45">
        <f t="shared" ref="C13:G13" si="19">+C121*$A$121</f>
        <v>0</v>
      </c>
      <c r="D13" s="45">
        <f t="shared" si="19"/>
        <v>0</v>
      </c>
      <c r="E13" s="45">
        <f t="shared" si="19"/>
        <v>0</v>
      </c>
      <c r="F13" s="45">
        <f t="shared" si="19"/>
        <v>0</v>
      </c>
      <c r="G13" s="45">
        <f t="shared" si="19"/>
        <v>0</v>
      </c>
      <c r="H13" s="45">
        <f t="shared" ref="H13:I13" si="20">+H121*$A$121</f>
        <v>0</v>
      </c>
      <c r="I13" s="45">
        <f t="shared" si="20"/>
        <v>0</v>
      </c>
      <c r="J13" s="45">
        <f t="shared" ref="J13:N13" si="21">+J121*$A$121</f>
        <v>172196.41763157895</v>
      </c>
      <c r="K13" s="45">
        <f t="shared" si="21"/>
        <v>255969.45855263152</v>
      </c>
      <c r="L13" s="45">
        <f t="shared" si="21"/>
        <v>328278.17855263164</v>
      </c>
      <c r="M13" s="45">
        <f t="shared" si="21"/>
        <v>251117.99671052629</v>
      </c>
      <c r="N13" s="45">
        <f t="shared" si="21"/>
        <v>174622.14855263158</v>
      </c>
      <c r="O13" s="45">
        <f t="shared" ref="O13:S15" si="22">+O121*$A$121</f>
        <v>0</v>
      </c>
      <c r="P13" s="45">
        <f t="shared" si="22"/>
        <v>0</v>
      </c>
      <c r="Q13" s="45">
        <f t="shared" si="22"/>
        <v>0</v>
      </c>
      <c r="R13" s="45">
        <f t="shared" si="22"/>
        <v>0</v>
      </c>
      <c r="S13" s="45">
        <f t="shared" si="22"/>
        <v>0</v>
      </c>
      <c r="T13" s="45">
        <f t="shared" ref="T13:CA13" si="23">+T121*$A$121</f>
        <v>0</v>
      </c>
      <c r="U13" s="45">
        <f t="shared" si="23"/>
        <v>0</v>
      </c>
      <c r="V13" s="45">
        <f t="shared" si="23"/>
        <v>172196.41763157895</v>
      </c>
      <c r="W13" s="45">
        <f t="shared" si="23"/>
        <v>255969.45855263152</v>
      </c>
      <c r="X13" s="45">
        <f t="shared" si="23"/>
        <v>328278.17855263164</v>
      </c>
      <c r="Y13" s="45">
        <f t="shared" si="23"/>
        <v>251117.99671052629</v>
      </c>
      <c r="Z13" s="45">
        <f t="shared" si="23"/>
        <v>174622.14855263158</v>
      </c>
      <c r="AA13" s="45">
        <f t="shared" si="23"/>
        <v>0</v>
      </c>
      <c r="AB13" s="45">
        <f t="shared" si="23"/>
        <v>0</v>
      </c>
      <c r="AC13" s="45">
        <f t="shared" si="23"/>
        <v>0</v>
      </c>
      <c r="AD13" s="45">
        <f t="shared" si="23"/>
        <v>0</v>
      </c>
      <c r="AE13" s="45">
        <f t="shared" si="23"/>
        <v>0</v>
      </c>
      <c r="AF13" s="45">
        <f t="shared" si="23"/>
        <v>0</v>
      </c>
      <c r="AG13" s="45">
        <f t="shared" si="23"/>
        <v>0</v>
      </c>
      <c r="AH13" s="45">
        <f t="shared" si="23"/>
        <v>172196.41763157895</v>
      </c>
      <c r="AI13" s="45">
        <f t="shared" si="23"/>
        <v>255969.45855263152</v>
      </c>
      <c r="AJ13" s="45">
        <f t="shared" si="23"/>
        <v>328278.17855263164</v>
      </c>
      <c r="AK13" s="45">
        <f t="shared" si="23"/>
        <v>251117.99671052629</v>
      </c>
      <c r="AL13" s="45">
        <f t="shared" si="23"/>
        <v>174622.14855263158</v>
      </c>
      <c r="AM13" s="45">
        <f t="shared" si="23"/>
        <v>0</v>
      </c>
      <c r="AN13" s="45">
        <f t="shared" si="23"/>
        <v>0</v>
      </c>
      <c r="AO13" s="45">
        <f t="shared" si="23"/>
        <v>0</v>
      </c>
      <c r="AP13" s="45">
        <f t="shared" si="23"/>
        <v>0</v>
      </c>
      <c r="AQ13" s="45">
        <f t="shared" si="23"/>
        <v>0</v>
      </c>
      <c r="AR13" s="45">
        <f t="shared" si="23"/>
        <v>0</v>
      </c>
      <c r="AS13" s="45">
        <f t="shared" si="23"/>
        <v>0</v>
      </c>
      <c r="AT13" s="45">
        <f t="shared" si="23"/>
        <v>172196.41763157895</v>
      </c>
      <c r="AU13" s="45">
        <f t="shared" si="23"/>
        <v>255969.45855263152</v>
      </c>
      <c r="AV13" s="45">
        <f t="shared" si="23"/>
        <v>328278.17855263164</v>
      </c>
      <c r="AW13" s="45">
        <f t="shared" si="23"/>
        <v>251117.99671052629</v>
      </c>
      <c r="AX13" s="45">
        <f t="shared" si="23"/>
        <v>174622.14855263158</v>
      </c>
      <c r="AY13" s="45">
        <f t="shared" si="23"/>
        <v>0</v>
      </c>
      <c r="AZ13" s="45">
        <f t="shared" si="23"/>
        <v>0</v>
      </c>
      <c r="BA13" s="45">
        <f t="shared" si="23"/>
        <v>0</v>
      </c>
      <c r="BB13" s="45">
        <f t="shared" si="23"/>
        <v>0</v>
      </c>
      <c r="BC13" s="45">
        <f t="shared" si="23"/>
        <v>0</v>
      </c>
      <c r="BD13" s="45">
        <f t="shared" si="23"/>
        <v>0</v>
      </c>
      <c r="BE13" s="45">
        <f t="shared" si="23"/>
        <v>0</v>
      </c>
      <c r="BF13" s="45">
        <f t="shared" si="23"/>
        <v>172196.41763157895</v>
      </c>
      <c r="BG13" s="45">
        <f t="shared" si="23"/>
        <v>255969.45855263152</v>
      </c>
      <c r="BH13" s="45">
        <f t="shared" si="23"/>
        <v>328278.17855263164</v>
      </c>
      <c r="BI13" s="45">
        <f t="shared" si="23"/>
        <v>251117.99671052629</v>
      </c>
      <c r="BJ13" s="45">
        <f t="shared" si="23"/>
        <v>174622.14855263158</v>
      </c>
      <c r="BK13" s="45">
        <f t="shared" si="23"/>
        <v>0</v>
      </c>
      <c r="BL13" s="45">
        <f t="shared" si="23"/>
        <v>0</v>
      </c>
      <c r="BM13" s="45">
        <f t="shared" si="23"/>
        <v>0</v>
      </c>
      <c r="BN13" s="45">
        <f t="shared" si="23"/>
        <v>0</v>
      </c>
      <c r="BO13" s="45">
        <f t="shared" si="23"/>
        <v>0</v>
      </c>
      <c r="BP13" s="45">
        <f t="shared" si="23"/>
        <v>0</v>
      </c>
      <c r="BQ13" s="45">
        <f t="shared" si="23"/>
        <v>0</v>
      </c>
      <c r="BR13" s="45">
        <f t="shared" si="23"/>
        <v>172196.41763157895</v>
      </c>
      <c r="BS13" s="45">
        <f t="shared" si="23"/>
        <v>255969.45855263152</v>
      </c>
      <c r="BT13" s="45">
        <f t="shared" si="23"/>
        <v>328278.17855263164</v>
      </c>
      <c r="BU13" s="45">
        <f t="shared" si="23"/>
        <v>251117.99671052629</v>
      </c>
      <c r="BV13" s="45">
        <f t="shared" si="23"/>
        <v>174622.14855263158</v>
      </c>
      <c r="BW13" s="45">
        <f t="shared" si="23"/>
        <v>0</v>
      </c>
      <c r="BX13" s="45">
        <f t="shared" si="23"/>
        <v>0</v>
      </c>
      <c r="BY13" s="45">
        <f t="shared" si="23"/>
        <v>0</v>
      </c>
      <c r="BZ13" s="45">
        <f t="shared" si="23"/>
        <v>0</v>
      </c>
      <c r="CA13" s="45">
        <f t="shared" si="23"/>
        <v>0</v>
      </c>
      <c r="CB13" s="45">
        <f t="shared" ref="CB13:CD13" si="24">+CB121*$A$121</f>
        <v>0</v>
      </c>
      <c r="CC13" s="45">
        <f t="shared" si="24"/>
        <v>0</v>
      </c>
      <c r="CD13" s="45">
        <f t="shared" si="24"/>
        <v>172196.41763157895</v>
      </c>
      <c r="CE13" s="225"/>
      <c r="CH13" s="227"/>
      <c r="CI13" s="34"/>
      <c r="CJ13" s="34"/>
      <c r="CK13" s="34"/>
      <c r="CL13" s="34"/>
      <c r="CM13" s="34"/>
    </row>
    <row r="14" spans="1:91" x14ac:dyDescent="0.2">
      <c r="B14" s="225" t="s">
        <v>421</v>
      </c>
      <c r="C14" s="45">
        <f t="shared" ref="C14:G14" si="25">+C122*$A$121</f>
        <v>0</v>
      </c>
      <c r="D14" s="45">
        <f t="shared" si="25"/>
        <v>0</v>
      </c>
      <c r="E14" s="45">
        <f t="shared" si="25"/>
        <v>0</v>
      </c>
      <c r="F14" s="45">
        <f t="shared" si="25"/>
        <v>0</v>
      </c>
      <c r="G14" s="45">
        <f t="shared" si="25"/>
        <v>0</v>
      </c>
      <c r="H14" s="45">
        <f t="shared" ref="H14:I14" si="26">+H122*$A$121</f>
        <v>0</v>
      </c>
      <c r="I14" s="45">
        <f t="shared" si="26"/>
        <v>0</v>
      </c>
      <c r="J14" s="45">
        <f t="shared" ref="J14:N14" si="27">+J122*$A$121</f>
        <v>384115</v>
      </c>
      <c r="K14" s="45">
        <f t="shared" si="27"/>
        <v>768230</v>
      </c>
      <c r="L14" s="45">
        <f t="shared" si="27"/>
        <v>921876</v>
      </c>
      <c r="M14" s="45">
        <f t="shared" si="27"/>
        <v>806641.5</v>
      </c>
      <c r="N14" s="45">
        <f t="shared" si="27"/>
        <v>576172.5</v>
      </c>
      <c r="O14" s="45">
        <f t="shared" si="22"/>
        <v>0</v>
      </c>
      <c r="P14" s="45">
        <f t="shared" si="22"/>
        <v>0</v>
      </c>
      <c r="Q14" s="45">
        <f t="shared" si="22"/>
        <v>0</v>
      </c>
      <c r="R14" s="45">
        <f t="shared" si="22"/>
        <v>0</v>
      </c>
      <c r="S14" s="45">
        <f t="shared" si="22"/>
        <v>0</v>
      </c>
      <c r="T14" s="45">
        <f t="shared" ref="T14:CA14" si="28">+T122*$A$121</f>
        <v>0</v>
      </c>
      <c r="U14" s="45">
        <f t="shared" si="28"/>
        <v>0</v>
      </c>
      <c r="V14" s="45">
        <f t="shared" si="28"/>
        <v>384115</v>
      </c>
      <c r="W14" s="45">
        <f t="shared" si="28"/>
        <v>768230</v>
      </c>
      <c r="X14" s="45">
        <f t="shared" si="28"/>
        <v>921876</v>
      </c>
      <c r="Y14" s="45">
        <f t="shared" si="28"/>
        <v>806641.5</v>
      </c>
      <c r="Z14" s="45">
        <f t="shared" si="28"/>
        <v>576172.5</v>
      </c>
      <c r="AA14" s="45">
        <f t="shared" si="28"/>
        <v>0</v>
      </c>
      <c r="AB14" s="45">
        <f t="shared" si="28"/>
        <v>0</v>
      </c>
      <c r="AC14" s="45">
        <f t="shared" si="28"/>
        <v>0</v>
      </c>
      <c r="AD14" s="45">
        <f t="shared" si="28"/>
        <v>0</v>
      </c>
      <c r="AE14" s="45">
        <f t="shared" si="28"/>
        <v>0</v>
      </c>
      <c r="AF14" s="45">
        <f t="shared" si="28"/>
        <v>0</v>
      </c>
      <c r="AG14" s="45">
        <f t="shared" si="28"/>
        <v>0</v>
      </c>
      <c r="AH14" s="45">
        <f t="shared" si="28"/>
        <v>384115</v>
      </c>
      <c r="AI14" s="45">
        <f t="shared" si="28"/>
        <v>768230</v>
      </c>
      <c r="AJ14" s="45">
        <f t="shared" si="28"/>
        <v>921876</v>
      </c>
      <c r="AK14" s="45">
        <f t="shared" si="28"/>
        <v>806641.5</v>
      </c>
      <c r="AL14" s="45">
        <f t="shared" si="28"/>
        <v>576172.5</v>
      </c>
      <c r="AM14" s="45">
        <f t="shared" si="28"/>
        <v>0</v>
      </c>
      <c r="AN14" s="45">
        <f t="shared" si="28"/>
        <v>0</v>
      </c>
      <c r="AO14" s="45">
        <f t="shared" si="28"/>
        <v>0</v>
      </c>
      <c r="AP14" s="45">
        <f t="shared" si="28"/>
        <v>0</v>
      </c>
      <c r="AQ14" s="45">
        <f t="shared" si="28"/>
        <v>0</v>
      </c>
      <c r="AR14" s="45">
        <f t="shared" si="28"/>
        <v>0</v>
      </c>
      <c r="AS14" s="45">
        <f t="shared" si="28"/>
        <v>0</v>
      </c>
      <c r="AT14" s="45">
        <f t="shared" si="28"/>
        <v>384115</v>
      </c>
      <c r="AU14" s="45">
        <f t="shared" si="28"/>
        <v>768230</v>
      </c>
      <c r="AV14" s="45">
        <f t="shared" si="28"/>
        <v>921876</v>
      </c>
      <c r="AW14" s="45">
        <f t="shared" si="28"/>
        <v>806641.5</v>
      </c>
      <c r="AX14" s="45">
        <f t="shared" si="28"/>
        <v>576172.5</v>
      </c>
      <c r="AY14" s="45">
        <f t="shared" si="28"/>
        <v>0</v>
      </c>
      <c r="AZ14" s="45">
        <f t="shared" si="28"/>
        <v>0</v>
      </c>
      <c r="BA14" s="45">
        <f t="shared" si="28"/>
        <v>0</v>
      </c>
      <c r="BB14" s="45">
        <f t="shared" si="28"/>
        <v>0</v>
      </c>
      <c r="BC14" s="45">
        <f t="shared" si="28"/>
        <v>0</v>
      </c>
      <c r="BD14" s="45">
        <f t="shared" si="28"/>
        <v>0</v>
      </c>
      <c r="BE14" s="45">
        <f t="shared" si="28"/>
        <v>0</v>
      </c>
      <c r="BF14" s="45">
        <f t="shared" si="28"/>
        <v>384115</v>
      </c>
      <c r="BG14" s="45">
        <f t="shared" si="28"/>
        <v>768230</v>
      </c>
      <c r="BH14" s="45">
        <f t="shared" si="28"/>
        <v>921876</v>
      </c>
      <c r="BI14" s="45">
        <f t="shared" si="28"/>
        <v>806641.5</v>
      </c>
      <c r="BJ14" s="45">
        <f t="shared" si="28"/>
        <v>576172.5</v>
      </c>
      <c r="BK14" s="45">
        <f t="shared" si="28"/>
        <v>0</v>
      </c>
      <c r="BL14" s="45">
        <f t="shared" si="28"/>
        <v>0</v>
      </c>
      <c r="BM14" s="45">
        <f t="shared" si="28"/>
        <v>0</v>
      </c>
      <c r="BN14" s="45">
        <f t="shared" si="28"/>
        <v>0</v>
      </c>
      <c r="BO14" s="45">
        <f t="shared" si="28"/>
        <v>0</v>
      </c>
      <c r="BP14" s="45">
        <f t="shared" si="28"/>
        <v>0</v>
      </c>
      <c r="BQ14" s="45">
        <f t="shared" si="28"/>
        <v>0</v>
      </c>
      <c r="BR14" s="45">
        <f t="shared" si="28"/>
        <v>384115</v>
      </c>
      <c r="BS14" s="45">
        <f t="shared" si="28"/>
        <v>768230</v>
      </c>
      <c r="BT14" s="45">
        <f t="shared" si="28"/>
        <v>921876</v>
      </c>
      <c r="BU14" s="45">
        <f t="shared" si="28"/>
        <v>806641.5</v>
      </c>
      <c r="BV14" s="45">
        <f t="shared" si="28"/>
        <v>576172.5</v>
      </c>
      <c r="BW14" s="45">
        <f t="shared" si="28"/>
        <v>0</v>
      </c>
      <c r="BX14" s="45">
        <f t="shared" si="28"/>
        <v>0</v>
      </c>
      <c r="BY14" s="45">
        <f t="shared" si="28"/>
        <v>0</v>
      </c>
      <c r="BZ14" s="45">
        <f t="shared" si="28"/>
        <v>0</v>
      </c>
      <c r="CA14" s="45">
        <f t="shared" si="28"/>
        <v>0</v>
      </c>
      <c r="CB14" s="45">
        <f t="shared" ref="CB14:CD14" si="29">+CB122*$A$121</f>
        <v>0</v>
      </c>
      <c r="CC14" s="45">
        <f t="shared" si="29"/>
        <v>0</v>
      </c>
      <c r="CD14" s="45">
        <f t="shared" si="29"/>
        <v>384115</v>
      </c>
      <c r="CE14" s="225"/>
      <c r="CH14" s="227"/>
      <c r="CI14" s="34"/>
      <c r="CJ14" s="34"/>
      <c r="CK14" s="34"/>
      <c r="CL14" s="34"/>
      <c r="CM14" s="34"/>
    </row>
    <row r="15" spans="1:91" x14ac:dyDescent="0.2">
      <c r="B15" s="225" t="s">
        <v>422</v>
      </c>
      <c r="C15" s="45">
        <f t="shared" ref="C15:G15" si="30">+C123*$A$121</f>
        <v>0</v>
      </c>
      <c r="D15" s="45">
        <f t="shared" si="30"/>
        <v>0</v>
      </c>
      <c r="E15" s="45">
        <f t="shared" si="30"/>
        <v>0</v>
      </c>
      <c r="F15" s="45">
        <f t="shared" si="30"/>
        <v>0</v>
      </c>
      <c r="G15" s="45">
        <f t="shared" si="30"/>
        <v>0</v>
      </c>
      <c r="H15" s="45">
        <f t="shared" ref="H15:I15" si="31">+H123*$A$121</f>
        <v>0</v>
      </c>
      <c r="I15" s="45">
        <f t="shared" si="31"/>
        <v>0</v>
      </c>
      <c r="J15" s="45">
        <f t="shared" ref="J15:N15" si="32">+J123*$A$121</f>
        <v>318763.41000000003</v>
      </c>
      <c r="K15" s="45">
        <f t="shared" si="32"/>
        <v>974139.71</v>
      </c>
      <c r="L15" s="45">
        <f t="shared" si="32"/>
        <v>1201243.73</v>
      </c>
      <c r="M15" s="45">
        <f t="shared" si="32"/>
        <v>1197793.95</v>
      </c>
      <c r="N15" s="45">
        <f t="shared" si="32"/>
        <v>990962.69</v>
      </c>
      <c r="O15" s="45">
        <f t="shared" si="22"/>
        <v>0</v>
      </c>
      <c r="P15" s="45">
        <f t="shared" si="22"/>
        <v>0</v>
      </c>
      <c r="Q15" s="45">
        <f t="shared" si="22"/>
        <v>0</v>
      </c>
      <c r="R15" s="45">
        <f t="shared" si="22"/>
        <v>0</v>
      </c>
      <c r="S15" s="45">
        <f t="shared" si="22"/>
        <v>0</v>
      </c>
      <c r="T15" s="45">
        <f t="shared" ref="T15:CA15" si="33">+T123*$A$121</f>
        <v>0</v>
      </c>
      <c r="U15" s="45">
        <f t="shared" si="33"/>
        <v>0</v>
      </c>
      <c r="V15" s="45">
        <f t="shared" si="33"/>
        <v>318763.41000000003</v>
      </c>
      <c r="W15" s="45">
        <f t="shared" si="33"/>
        <v>974139.71</v>
      </c>
      <c r="X15" s="45">
        <f t="shared" si="33"/>
        <v>1201243.73</v>
      </c>
      <c r="Y15" s="45">
        <f t="shared" si="33"/>
        <v>1197793.95</v>
      </c>
      <c r="Z15" s="45">
        <f t="shared" si="33"/>
        <v>990962.69</v>
      </c>
      <c r="AA15" s="45">
        <f t="shared" si="33"/>
        <v>0</v>
      </c>
      <c r="AB15" s="45">
        <f t="shared" si="33"/>
        <v>0</v>
      </c>
      <c r="AC15" s="45">
        <f t="shared" si="33"/>
        <v>0</v>
      </c>
      <c r="AD15" s="45">
        <f t="shared" si="33"/>
        <v>0</v>
      </c>
      <c r="AE15" s="45">
        <f t="shared" si="33"/>
        <v>0</v>
      </c>
      <c r="AF15" s="45">
        <f t="shared" si="33"/>
        <v>0</v>
      </c>
      <c r="AG15" s="45">
        <f t="shared" si="33"/>
        <v>0</v>
      </c>
      <c r="AH15" s="45">
        <f t="shared" si="33"/>
        <v>318763.41000000003</v>
      </c>
      <c r="AI15" s="45">
        <f t="shared" si="33"/>
        <v>974139.71</v>
      </c>
      <c r="AJ15" s="45">
        <f t="shared" si="33"/>
        <v>1201243.73</v>
      </c>
      <c r="AK15" s="45">
        <f t="shared" si="33"/>
        <v>1197793.95</v>
      </c>
      <c r="AL15" s="45">
        <f t="shared" si="33"/>
        <v>990962.69</v>
      </c>
      <c r="AM15" s="45">
        <f t="shared" si="33"/>
        <v>0</v>
      </c>
      <c r="AN15" s="45">
        <f t="shared" si="33"/>
        <v>0</v>
      </c>
      <c r="AO15" s="45">
        <f t="shared" si="33"/>
        <v>0</v>
      </c>
      <c r="AP15" s="45">
        <f t="shared" si="33"/>
        <v>0</v>
      </c>
      <c r="AQ15" s="45">
        <f t="shared" si="33"/>
        <v>0</v>
      </c>
      <c r="AR15" s="45">
        <f t="shared" si="33"/>
        <v>0</v>
      </c>
      <c r="AS15" s="45">
        <f t="shared" si="33"/>
        <v>0</v>
      </c>
      <c r="AT15" s="45">
        <f t="shared" si="33"/>
        <v>318763.41000000003</v>
      </c>
      <c r="AU15" s="45">
        <f t="shared" si="33"/>
        <v>974139.71</v>
      </c>
      <c r="AV15" s="45">
        <f t="shared" si="33"/>
        <v>1201243.73</v>
      </c>
      <c r="AW15" s="45">
        <f t="shared" si="33"/>
        <v>1197793.95</v>
      </c>
      <c r="AX15" s="45">
        <f t="shared" si="33"/>
        <v>990962.69</v>
      </c>
      <c r="AY15" s="45">
        <f t="shared" si="33"/>
        <v>0</v>
      </c>
      <c r="AZ15" s="45">
        <f t="shared" si="33"/>
        <v>0</v>
      </c>
      <c r="BA15" s="45">
        <f t="shared" si="33"/>
        <v>0</v>
      </c>
      <c r="BB15" s="45">
        <f t="shared" si="33"/>
        <v>0</v>
      </c>
      <c r="BC15" s="45">
        <f t="shared" si="33"/>
        <v>0</v>
      </c>
      <c r="BD15" s="45">
        <f t="shared" si="33"/>
        <v>0</v>
      </c>
      <c r="BE15" s="45">
        <f t="shared" si="33"/>
        <v>0</v>
      </c>
      <c r="BF15" s="45">
        <f t="shared" si="33"/>
        <v>318763.41000000003</v>
      </c>
      <c r="BG15" s="45">
        <f t="shared" si="33"/>
        <v>974139.71</v>
      </c>
      <c r="BH15" s="45">
        <f t="shared" si="33"/>
        <v>1201243.73</v>
      </c>
      <c r="BI15" s="45">
        <f t="shared" si="33"/>
        <v>1197793.95</v>
      </c>
      <c r="BJ15" s="45">
        <f t="shared" si="33"/>
        <v>990962.69</v>
      </c>
      <c r="BK15" s="45">
        <f t="shared" si="33"/>
        <v>0</v>
      </c>
      <c r="BL15" s="45">
        <f t="shared" si="33"/>
        <v>0</v>
      </c>
      <c r="BM15" s="45">
        <f t="shared" si="33"/>
        <v>0</v>
      </c>
      <c r="BN15" s="45">
        <f t="shared" si="33"/>
        <v>0</v>
      </c>
      <c r="BO15" s="45">
        <f t="shared" si="33"/>
        <v>0</v>
      </c>
      <c r="BP15" s="45">
        <f t="shared" si="33"/>
        <v>0</v>
      </c>
      <c r="BQ15" s="45">
        <f t="shared" si="33"/>
        <v>0</v>
      </c>
      <c r="BR15" s="45">
        <f t="shared" si="33"/>
        <v>318763.41000000003</v>
      </c>
      <c r="BS15" s="45">
        <f t="shared" si="33"/>
        <v>974139.71</v>
      </c>
      <c r="BT15" s="45">
        <f t="shared" si="33"/>
        <v>1201243.73</v>
      </c>
      <c r="BU15" s="45">
        <f t="shared" si="33"/>
        <v>1197793.95</v>
      </c>
      <c r="BV15" s="45">
        <f t="shared" si="33"/>
        <v>990962.69</v>
      </c>
      <c r="BW15" s="45">
        <f t="shared" si="33"/>
        <v>0</v>
      </c>
      <c r="BX15" s="45">
        <f t="shared" si="33"/>
        <v>0</v>
      </c>
      <c r="BY15" s="45">
        <f t="shared" si="33"/>
        <v>0</v>
      </c>
      <c r="BZ15" s="45">
        <f t="shared" si="33"/>
        <v>0</v>
      </c>
      <c r="CA15" s="45">
        <f t="shared" si="33"/>
        <v>0</v>
      </c>
      <c r="CB15" s="45">
        <f t="shared" ref="CB15:CD15" si="34">+CB123*$A$121</f>
        <v>0</v>
      </c>
      <c r="CC15" s="45">
        <f t="shared" si="34"/>
        <v>0</v>
      </c>
      <c r="CD15" s="45">
        <f t="shared" si="34"/>
        <v>318763.41000000003</v>
      </c>
      <c r="CE15" s="225"/>
      <c r="CH15" s="227"/>
      <c r="CI15" s="34"/>
      <c r="CJ15" s="34"/>
      <c r="CK15" s="34"/>
      <c r="CL15" s="34"/>
      <c r="CM15" s="34"/>
    </row>
    <row r="16" spans="1:91" x14ac:dyDescent="0.2">
      <c r="B16" s="225" t="s">
        <v>423</v>
      </c>
      <c r="C16" s="231">
        <f t="shared" ref="C16:G16" si="35">SUM(C13+C14+C15)</f>
        <v>0</v>
      </c>
      <c r="D16" s="231">
        <f t="shared" si="35"/>
        <v>0</v>
      </c>
      <c r="E16" s="231">
        <f t="shared" si="35"/>
        <v>0</v>
      </c>
      <c r="F16" s="231">
        <f t="shared" si="35"/>
        <v>0</v>
      </c>
      <c r="G16" s="231">
        <f t="shared" si="35"/>
        <v>0</v>
      </c>
      <c r="H16" s="231">
        <f t="shared" ref="H16" si="36">SUM(H13+H14+H15)</f>
        <v>0</v>
      </c>
      <c r="I16" s="231">
        <f t="shared" ref="I16" si="37">SUM(I13+I14+I15)</f>
        <v>0</v>
      </c>
      <c r="J16" s="231">
        <f t="shared" ref="J16:N16" si="38">SUM(J13+J14+J15)</f>
        <v>875074.82763157901</v>
      </c>
      <c r="K16" s="231">
        <f t="shared" si="38"/>
        <v>1998339.1685526315</v>
      </c>
      <c r="L16" s="231">
        <f t="shared" si="38"/>
        <v>2451397.9085526317</v>
      </c>
      <c r="M16" s="231">
        <f t="shared" si="38"/>
        <v>2255553.446710526</v>
      </c>
      <c r="N16" s="231">
        <f t="shared" si="38"/>
        <v>1741757.3385526314</v>
      </c>
      <c r="O16" s="231">
        <f>SUM(O13+O14+O15)</f>
        <v>0</v>
      </c>
      <c r="P16" s="231">
        <f>SUM(P13+P14+P15)</f>
        <v>0</v>
      </c>
      <c r="Q16" s="231">
        <f>SUM(Q13+Q14+Q15)</f>
        <v>0</v>
      </c>
      <c r="R16" s="231">
        <f>SUM(R13+R14+R15)</f>
        <v>0</v>
      </c>
      <c r="S16" s="231">
        <f>SUM(S13+S14+S15)</f>
        <v>0</v>
      </c>
      <c r="T16" s="231">
        <f t="shared" ref="T16:CA16" si="39">SUM(T13+T14+T15)</f>
        <v>0</v>
      </c>
      <c r="U16" s="231">
        <f t="shared" si="39"/>
        <v>0</v>
      </c>
      <c r="V16" s="231">
        <f t="shared" si="39"/>
        <v>875074.82763157901</v>
      </c>
      <c r="W16" s="231">
        <f t="shared" si="39"/>
        <v>1998339.1685526315</v>
      </c>
      <c r="X16" s="231">
        <f t="shared" si="39"/>
        <v>2451397.9085526317</v>
      </c>
      <c r="Y16" s="231">
        <f t="shared" si="39"/>
        <v>2255553.446710526</v>
      </c>
      <c r="Z16" s="231">
        <f t="shared" si="39"/>
        <v>1741757.3385526314</v>
      </c>
      <c r="AA16" s="231">
        <f t="shared" si="39"/>
        <v>0</v>
      </c>
      <c r="AB16" s="231">
        <f t="shared" si="39"/>
        <v>0</v>
      </c>
      <c r="AC16" s="231">
        <f t="shared" si="39"/>
        <v>0</v>
      </c>
      <c r="AD16" s="231">
        <f t="shared" si="39"/>
        <v>0</v>
      </c>
      <c r="AE16" s="231">
        <f t="shared" si="39"/>
        <v>0</v>
      </c>
      <c r="AF16" s="231">
        <f t="shared" si="39"/>
        <v>0</v>
      </c>
      <c r="AG16" s="231">
        <f t="shared" si="39"/>
        <v>0</v>
      </c>
      <c r="AH16" s="231">
        <f t="shared" si="39"/>
        <v>875074.82763157901</v>
      </c>
      <c r="AI16" s="231">
        <f t="shared" si="39"/>
        <v>1998339.1685526315</v>
      </c>
      <c r="AJ16" s="231">
        <f t="shared" si="39"/>
        <v>2451397.9085526317</v>
      </c>
      <c r="AK16" s="231">
        <f t="shared" si="39"/>
        <v>2255553.446710526</v>
      </c>
      <c r="AL16" s="231">
        <f t="shared" si="39"/>
        <v>1741757.3385526314</v>
      </c>
      <c r="AM16" s="231">
        <f t="shared" si="39"/>
        <v>0</v>
      </c>
      <c r="AN16" s="231">
        <f t="shared" si="39"/>
        <v>0</v>
      </c>
      <c r="AO16" s="231">
        <f t="shared" si="39"/>
        <v>0</v>
      </c>
      <c r="AP16" s="231">
        <f t="shared" si="39"/>
        <v>0</v>
      </c>
      <c r="AQ16" s="231">
        <f t="shared" si="39"/>
        <v>0</v>
      </c>
      <c r="AR16" s="231">
        <f t="shared" si="39"/>
        <v>0</v>
      </c>
      <c r="AS16" s="231">
        <f t="shared" si="39"/>
        <v>0</v>
      </c>
      <c r="AT16" s="231">
        <f t="shared" si="39"/>
        <v>875074.82763157901</v>
      </c>
      <c r="AU16" s="231">
        <f t="shared" si="39"/>
        <v>1998339.1685526315</v>
      </c>
      <c r="AV16" s="231">
        <f t="shared" si="39"/>
        <v>2451397.9085526317</v>
      </c>
      <c r="AW16" s="231">
        <f t="shared" si="39"/>
        <v>2255553.446710526</v>
      </c>
      <c r="AX16" s="231">
        <f t="shared" si="39"/>
        <v>1741757.3385526314</v>
      </c>
      <c r="AY16" s="231">
        <f t="shared" si="39"/>
        <v>0</v>
      </c>
      <c r="AZ16" s="231">
        <f t="shared" si="39"/>
        <v>0</v>
      </c>
      <c r="BA16" s="231">
        <f t="shared" si="39"/>
        <v>0</v>
      </c>
      <c r="BB16" s="231">
        <f t="shared" si="39"/>
        <v>0</v>
      </c>
      <c r="BC16" s="231">
        <f t="shared" si="39"/>
        <v>0</v>
      </c>
      <c r="BD16" s="231">
        <f t="shared" si="39"/>
        <v>0</v>
      </c>
      <c r="BE16" s="231">
        <f t="shared" si="39"/>
        <v>0</v>
      </c>
      <c r="BF16" s="231">
        <f t="shared" si="39"/>
        <v>875074.82763157901</v>
      </c>
      <c r="BG16" s="231">
        <f t="shared" si="39"/>
        <v>1998339.1685526315</v>
      </c>
      <c r="BH16" s="231">
        <f t="shared" si="39"/>
        <v>2451397.9085526317</v>
      </c>
      <c r="BI16" s="231">
        <f t="shared" si="39"/>
        <v>2255553.446710526</v>
      </c>
      <c r="BJ16" s="231">
        <f t="shared" si="39"/>
        <v>1741757.3385526314</v>
      </c>
      <c r="BK16" s="231">
        <f t="shared" si="39"/>
        <v>0</v>
      </c>
      <c r="BL16" s="231">
        <f t="shared" si="39"/>
        <v>0</v>
      </c>
      <c r="BM16" s="231">
        <f t="shared" si="39"/>
        <v>0</v>
      </c>
      <c r="BN16" s="231">
        <f t="shared" si="39"/>
        <v>0</v>
      </c>
      <c r="BO16" s="231">
        <f t="shared" si="39"/>
        <v>0</v>
      </c>
      <c r="BP16" s="231">
        <f t="shared" si="39"/>
        <v>0</v>
      </c>
      <c r="BQ16" s="231">
        <f t="shared" si="39"/>
        <v>0</v>
      </c>
      <c r="BR16" s="231">
        <f t="shared" si="39"/>
        <v>875074.82763157901</v>
      </c>
      <c r="BS16" s="231">
        <f t="shared" si="39"/>
        <v>1998339.1685526315</v>
      </c>
      <c r="BT16" s="231">
        <f t="shared" si="39"/>
        <v>2451397.9085526317</v>
      </c>
      <c r="BU16" s="231">
        <f t="shared" si="39"/>
        <v>2255553.446710526</v>
      </c>
      <c r="BV16" s="231">
        <f t="shared" si="39"/>
        <v>1741757.3385526314</v>
      </c>
      <c r="BW16" s="231">
        <f t="shared" si="39"/>
        <v>0</v>
      </c>
      <c r="BX16" s="231">
        <f t="shared" si="39"/>
        <v>0</v>
      </c>
      <c r="BY16" s="231">
        <f t="shared" si="39"/>
        <v>0</v>
      </c>
      <c r="BZ16" s="231">
        <f t="shared" si="39"/>
        <v>0</v>
      </c>
      <c r="CA16" s="231">
        <f t="shared" si="39"/>
        <v>0</v>
      </c>
      <c r="CB16" s="231">
        <f t="shared" ref="CB16:CD16" si="40">SUM(CB13+CB14+CB15)</f>
        <v>0</v>
      </c>
      <c r="CC16" s="231">
        <f t="shared" si="40"/>
        <v>0</v>
      </c>
      <c r="CD16" s="231">
        <f t="shared" si="40"/>
        <v>875074.82763157901</v>
      </c>
      <c r="CE16" s="225"/>
      <c r="CH16" s="227"/>
      <c r="CI16" s="227"/>
      <c r="CJ16" s="227"/>
      <c r="CK16" s="227"/>
      <c r="CL16" s="227"/>
      <c r="CM16" s="227"/>
    </row>
    <row r="17" spans="1:91" x14ac:dyDescent="0.2">
      <c r="H17" s="225"/>
      <c r="I17" s="225"/>
      <c r="J17" s="225"/>
      <c r="K17" s="225"/>
      <c r="L17" s="225"/>
      <c r="M17" s="225"/>
      <c r="N17" s="231"/>
      <c r="O17" s="231"/>
      <c r="P17" s="231"/>
      <c r="Q17" s="231"/>
      <c r="R17" s="231"/>
      <c r="S17" s="231"/>
      <c r="T17" s="225"/>
      <c r="U17" s="225"/>
      <c r="V17" s="225"/>
      <c r="W17" s="225"/>
      <c r="X17" s="225"/>
      <c r="Y17" s="225"/>
      <c r="Z17" s="231"/>
      <c r="AA17" s="231"/>
      <c r="AB17" s="231"/>
      <c r="AC17" s="231"/>
      <c r="AD17" s="231"/>
      <c r="AE17" s="231"/>
      <c r="AF17" s="225"/>
      <c r="AG17" s="225"/>
      <c r="AH17" s="225"/>
      <c r="AI17" s="225"/>
      <c r="AJ17" s="225"/>
      <c r="AK17" s="225"/>
      <c r="AL17" s="231"/>
      <c r="AM17" s="231"/>
      <c r="AN17" s="231"/>
      <c r="AO17" s="231"/>
      <c r="AP17" s="231"/>
      <c r="AQ17" s="231"/>
      <c r="AR17" s="225"/>
      <c r="AS17" s="225"/>
      <c r="AT17" s="225"/>
      <c r="AU17" s="225"/>
      <c r="AV17" s="225"/>
      <c r="AW17" s="225"/>
      <c r="AX17" s="231"/>
      <c r="AY17" s="231"/>
      <c r="AZ17" s="231"/>
      <c r="BA17" s="231"/>
      <c r="BB17" s="231"/>
      <c r="BC17" s="231"/>
      <c r="BD17" s="225"/>
      <c r="BE17" s="225"/>
      <c r="BF17" s="225"/>
      <c r="BG17" s="225"/>
      <c r="BH17" s="225"/>
      <c r="BI17" s="225"/>
      <c r="BJ17" s="231"/>
      <c r="BK17" s="231"/>
      <c r="BL17" s="231"/>
      <c r="BM17" s="231"/>
      <c r="BN17" s="231"/>
      <c r="BO17" s="231"/>
      <c r="BP17" s="225"/>
      <c r="BQ17" s="225"/>
      <c r="BR17" s="225"/>
      <c r="BS17" s="225"/>
      <c r="BT17" s="225"/>
      <c r="BU17" s="225"/>
      <c r="BV17" s="231"/>
      <c r="BW17" s="231"/>
      <c r="BX17" s="231"/>
      <c r="BY17" s="231"/>
      <c r="BZ17" s="231"/>
      <c r="CA17" s="231"/>
      <c r="CB17" s="225"/>
      <c r="CC17" s="225"/>
      <c r="CD17" s="225"/>
      <c r="CE17" s="225"/>
      <c r="CH17" s="227"/>
      <c r="CI17" s="227"/>
      <c r="CJ17" s="227"/>
      <c r="CK17" s="227"/>
      <c r="CL17" s="227"/>
      <c r="CM17" s="227"/>
    </row>
    <row r="18" spans="1:91" x14ac:dyDescent="0.2">
      <c r="B18" s="225" t="s">
        <v>424</v>
      </c>
      <c r="C18" s="45">
        <f t="shared" ref="C18:G18" si="41">+C126*$A$121</f>
        <v>168900</v>
      </c>
      <c r="D18" s="45">
        <f t="shared" si="41"/>
        <v>168857</v>
      </c>
      <c r="E18" s="45">
        <f t="shared" si="41"/>
        <v>159000</v>
      </c>
      <c r="F18" s="45">
        <f t="shared" si="41"/>
        <v>170841</v>
      </c>
      <c r="G18" s="45">
        <f t="shared" si="41"/>
        <v>183799</v>
      </c>
      <c r="H18" s="45">
        <f>+H126*$A$121</f>
        <v>168900</v>
      </c>
      <c r="I18" s="45">
        <f t="shared" ref="I18:N18" si="42">+I126*$A$121</f>
        <v>168857</v>
      </c>
      <c r="J18" s="45">
        <f t="shared" si="42"/>
        <v>0</v>
      </c>
      <c r="K18" s="45">
        <f t="shared" si="42"/>
        <v>0</v>
      </c>
      <c r="L18" s="45">
        <f t="shared" si="42"/>
        <v>0</v>
      </c>
      <c r="M18" s="45">
        <f t="shared" si="42"/>
        <v>0</v>
      </c>
      <c r="N18" s="45">
        <f t="shared" si="42"/>
        <v>0</v>
      </c>
      <c r="O18" s="45">
        <f t="shared" ref="O18:S18" si="43">+O126*$A$121</f>
        <v>168883.45714285714</v>
      </c>
      <c r="P18" s="45">
        <f t="shared" si="43"/>
        <v>168883.45714285714</v>
      </c>
      <c r="Q18" s="45">
        <f t="shared" si="43"/>
        <v>168883.45714285714</v>
      </c>
      <c r="R18" s="45">
        <f t="shared" si="43"/>
        <v>168883.45714285714</v>
      </c>
      <c r="S18" s="45">
        <f t="shared" si="43"/>
        <v>168883.45714285714</v>
      </c>
      <c r="T18" s="45">
        <f t="shared" ref="T18:CA18" si="44">+T126*$A$121</f>
        <v>168883.45714285714</v>
      </c>
      <c r="U18" s="45">
        <f t="shared" si="44"/>
        <v>168883.45714285714</v>
      </c>
      <c r="V18" s="45">
        <f t="shared" si="44"/>
        <v>0</v>
      </c>
      <c r="W18" s="45">
        <f t="shared" si="44"/>
        <v>0</v>
      </c>
      <c r="X18" s="45">
        <f t="shared" si="44"/>
        <v>0</v>
      </c>
      <c r="Y18" s="45">
        <f t="shared" si="44"/>
        <v>0</v>
      </c>
      <c r="Z18" s="45">
        <f t="shared" si="44"/>
        <v>0</v>
      </c>
      <c r="AA18" s="45">
        <f t="shared" si="44"/>
        <v>168883.45714285714</v>
      </c>
      <c r="AB18" s="45">
        <f t="shared" si="44"/>
        <v>168883.45714285714</v>
      </c>
      <c r="AC18" s="45">
        <f t="shared" si="44"/>
        <v>168883.45714285714</v>
      </c>
      <c r="AD18" s="45">
        <f t="shared" si="44"/>
        <v>168883.45714285714</v>
      </c>
      <c r="AE18" s="45">
        <f t="shared" si="44"/>
        <v>168883.45714285714</v>
      </c>
      <c r="AF18" s="45">
        <f t="shared" si="44"/>
        <v>168883.45714285714</v>
      </c>
      <c r="AG18" s="45">
        <f t="shared" si="44"/>
        <v>168883.45714285714</v>
      </c>
      <c r="AH18" s="45">
        <f t="shared" si="44"/>
        <v>0</v>
      </c>
      <c r="AI18" s="45">
        <f t="shared" si="44"/>
        <v>0</v>
      </c>
      <c r="AJ18" s="45">
        <f t="shared" si="44"/>
        <v>0</v>
      </c>
      <c r="AK18" s="45">
        <f t="shared" si="44"/>
        <v>0</v>
      </c>
      <c r="AL18" s="45">
        <f t="shared" si="44"/>
        <v>0</v>
      </c>
      <c r="AM18" s="45">
        <f t="shared" si="44"/>
        <v>168883.45714285714</v>
      </c>
      <c r="AN18" s="45">
        <f t="shared" si="44"/>
        <v>168883.45714285714</v>
      </c>
      <c r="AO18" s="45">
        <f t="shared" si="44"/>
        <v>168883.45714285714</v>
      </c>
      <c r="AP18" s="45">
        <f t="shared" si="44"/>
        <v>168883.45714285714</v>
      </c>
      <c r="AQ18" s="45">
        <f t="shared" si="44"/>
        <v>168883.45714285714</v>
      </c>
      <c r="AR18" s="45">
        <f t="shared" si="44"/>
        <v>168883.45714285714</v>
      </c>
      <c r="AS18" s="45">
        <f t="shared" si="44"/>
        <v>168883.45714285714</v>
      </c>
      <c r="AT18" s="45">
        <f t="shared" si="44"/>
        <v>0</v>
      </c>
      <c r="AU18" s="45">
        <f t="shared" si="44"/>
        <v>0</v>
      </c>
      <c r="AV18" s="45">
        <f t="shared" si="44"/>
        <v>0</v>
      </c>
      <c r="AW18" s="45">
        <f t="shared" si="44"/>
        <v>0</v>
      </c>
      <c r="AX18" s="45">
        <f t="shared" si="44"/>
        <v>0</v>
      </c>
      <c r="AY18" s="45">
        <f t="shared" si="44"/>
        <v>168883.45714285714</v>
      </c>
      <c r="AZ18" s="45">
        <f t="shared" si="44"/>
        <v>168883.45714285714</v>
      </c>
      <c r="BA18" s="45">
        <f t="shared" si="44"/>
        <v>168883.45714285714</v>
      </c>
      <c r="BB18" s="45">
        <f t="shared" si="44"/>
        <v>168883.45714285714</v>
      </c>
      <c r="BC18" s="45">
        <f t="shared" si="44"/>
        <v>168883.45714285714</v>
      </c>
      <c r="BD18" s="45">
        <f t="shared" si="44"/>
        <v>168883.45714285714</v>
      </c>
      <c r="BE18" s="45">
        <f t="shared" si="44"/>
        <v>168883.45714285714</v>
      </c>
      <c r="BF18" s="45">
        <f t="shared" si="44"/>
        <v>0</v>
      </c>
      <c r="BG18" s="45">
        <f t="shared" si="44"/>
        <v>0</v>
      </c>
      <c r="BH18" s="45">
        <f t="shared" si="44"/>
        <v>0</v>
      </c>
      <c r="BI18" s="45">
        <f t="shared" si="44"/>
        <v>0</v>
      </c>
      <c r="BJ18" s="45">
        <f t="shared" si="44"/>
        <v>0</v>
      </c>
      <c r="BK18" s="45">
        <f t="shared" si="44"/>
        <v>168883.45714285714</v>
      </c>
      <c r="BL18" s="45">
        <f t="shared" si="44"/>
        <v>168883.45714285714</v>
      </c>
      <c r="BM18" s="45">
        <f t="shared" si="44"/>
        <v>168883.45714285714</v>
      </c>
      <c r="BN18" s="45">
        <f t="shared" si="44"/>
        <v>168883.45714285714</v>
      </c>
      <c r="BO18" s="45">
        <f t="shared" si="44"/>
        <v>168883.45714285714</v>
      </c>
      <c r="BP18" s="45">
        <f t="shared" si="44"/>
        <v>168883.45714285714</v>
      </c>
      <c r="BQ18" s="45">
        <f t="shared" si="44"/>
        <v>168883.45714285714</v>
      </c>
      <c r="BR18" s="45">
        <f t="shared" si="44"/>
        <v>0</v>
      </c>
      <c r="BS18" s="45">
        <f t="shared" si="44"/>
        <v>0</v>
      </c>
      <c r="BT18" s="45">
        <f t="shared" si="44"/>
        <v>0</v>
      </c>
      <c r="BU18" s="45">
        <f t="shared" si="44"/>
        <v>0</v>
      </c>
      <c r="BV18" s="45">
        <f t="shared" si="44"/>
        <v>0</v>
      </c>
      <c r="BW18" s="45">
        <f t="shared" si="44"/>
        <v>168883.45714285714</v>
      </c>
      <c r="BX18" s="45">
        <f t="shared" si="44"/>
        <v>168883.45714285714</v>
      </c>
      <c r="BY18" s="45">
        <f t="shared" si="44"/>
        <v>168883.45714285714</v>
      </c>
      <c r="BZ18" s="45">
        <f t="shared" si="44"/>
        <v>168883.45714285714</v>
      </c>
      <c r="CA18" s="45">
        <f t="shared" si="44"/>
        <v>168883.45714285714</v>
      </c>
      <c r="CB18" s="45">
        <f t="shared" ref="CB18:CD18" si="45">+CB126*$A$121</f>
        <v>168883.45714285714</v>
      </c>
      <c r="CC18" s="45">
        <f t="shared" si="45"/>
        <v>168883.45714285714</v>
      </c>
      <c r="CD18" s="45">
        <f t="shared" si="45"/>
        <v>0</v>
      </c>
      <c r="CE18" s="45"/>
      <c r="CF18" s="34"/>
      <c r="CG18" s="34"/>
      <c r="CH18" s="34"/>
      <c r="CI18" s="227"/>
      <c r="CJ18" s="227"/>
      <c r="CK18" s="227"/>
      <c r="CL18" s="227"/>
      <c r="CM18" s="227"/>
    </row>
    <row r="19" spans="1:91" x14ac:dyDescent="0.2">
      <c r="B19" s="225" t="s">
        <v>425</v>
      </c>
      <c r="C19" s="45">
        <f t="shared" ref="C19:G19" si="46">+C127*$A$121</f>
        <v>497907.85714285716</v>
      </c>
      <c r="D19" s="45">
        <f t="shared" si="46"/>
        <v>268894</v>
      </c>
      <c r="E19" s="45">
        <f t="shared" si="46"/>
        <v>497910</v>
      </c>
      <c r="F19" s="45">
        <f t="shared" si="46"/>
        <v>345712</v>
      </c>
      <c r="G19" s="45">
        <f t="shared" si="46"/>
        <v>537761</v>
      </c>
      <c r="H19" s="45">
        <f t="shared" ref="H19:N19" si="47">+H127*$A$121</f>
        <v>614583.5</v>
      </c>
      <c r="I19" s="45">
        <f t="shared" si="47"/>
        <v>497907.85714285716</v>
      </c>
      <c r="J19" s="45">
        <f t="shared" si="47"/>
        <v>0</v>
      </c>
      <c r="K19" s="45">
        <f t="shared" si="47"/>
        <v>0</v>
      </c>
      <c r="L19" s="45">
        <f t="shared" si="47"/>
        <v>0</v>
      </c>
      <c r="M19" s="45">
        <f t="shared" si="47"/>
        <v>0</v>
      </c>
      <c r="N19" s="45">
        <f t="shared" si="47"/>
        <v>0</v>
      </c>
      <c r="O19" s="45">
        <f t="shared" ref="O19:S19" si="48">+O127*$A$121</f>
        <v>493862.14285714284</v>
      </c>
      <c r="P19" s="45">
        <f t="shared" si="48"/>
        <v>493862.14285714284</v>
      </c>
      <c r="Q19" s="45">
        <f t="shared" si="48"/>
        <v>493862.14285714284</v>
      </c>
      <c r="R19" s="45">
        <f t="shared" si="48"/>
        <v>493862.14285714284</v>
      </c>
      <c r="S19" s="45">
        <f t="shared" si="48"/>
        <v>493862.14285714284</v>
      </c>
      <c r="T19" s="45">
        <f t="shared" ref="T19:CA19" si="49">+T127*$A$121</f>
        <v>493862.14285714284</v>
      </c>
      <c r="U19" s="45">
        <f t="shared" si="49"/>
        <v>493862.14285714284</v>
      </c>
      <c r="V19" s="45">
        <f t="shared" si="49"/>
        <v>0</v>
      </c>
      <c r="W19" s="45">
        <f t="shared" si="49"/>
        <v>0</v>
      </c>
      <c r="X19" s="45">
        <f t="shared" si="49"/>
        <v>0</v>
      </c>
      <c r="Y19" s="45">
        <f t="shared" si="49"/>
        <v>0</v>
      </c>
      <c r="Z19" s="45">
        <f t="shared" si="49"/>
        <v>0</v>
      </c>
      <c r="AA19" s="45">
        <f t="shared" si="49"/>
        <v>493862.14285714284</v>
      </c>
      <c r="AB19" s="45">
        <f t="shared" si="49"/>
        <v>493862.14285714284</v>
      </c>
      <c r="AC19" s="45">
        <f t="shared" si="49"/>
        <v>493862.14285714284</v>
      </c>
      <c r="AD19" s="45">
        <f t="shared" si="49"/>
        <v>493862.14285714284</v>
      </c>
      <c r="AE19" s="45">
        <f t="shared" si="49"/>
        <v>493862.14285714284</v>
      </c>
      <c r="AF19" s="45">
        <f t="shared" si="49"/>
        <v>493862.14285714284</v>
      </c>
      <c r="AG19" s="45">
        <f t="shared" si="49"/>
        <v>493862.14285714284</v>
      </c>
      <c r="AH19" s="45">
        <f t="shared" si="49"/>
        <v>0</v>
      </c>
      <c r="AI19" s="45">
        <f t="shared" si="49"/>
        <v>0</v>
      </c>
      <c r="AJ19" s="45">
        <f t="shared" si="49"/>
        <v>0</v>
      </c>
      <c r="AK19" s="45">
        <f t="shared" si="49"/>
        <v>0</v>
      </c>
      <c r="AL19" s="45">
        <f t="shared" si="49"/>
        <v>0</v>
      </c>
      <c r="AM19" s="45">
        <f t="shared" si="49"/>
        <v>493862.14285714284</v>
      </c>
      <c r="AN19" s="45">
        <f t="shared" si="49"/>
        <v>493862.14285714284</v>
      </c>
      <c r="AO19" s="45">
        <f t="shared" si="49"/>
        <v>493862.14285714284</v>
      </c>
      <c r="AP19" s="45">
        <f t="shared" si="49"/>
        <v>493862.14285714284</v>
      </c>
      <c r="AQ19" s="45">
        <f t="shared" si="49"/>
        <v>493862.14285714284</v>
      </c>
      <c r="AR19" s="45">
        <f t="shared" si="49"/>
        <v>493862.14285714284</v>
      </c>
      <c r="AS19" s="45">
        <f t="shared" si="49"/>
        <v>493862.14285714284</v>
      </c>
      <c r="AT19" s="45">
        <f t="shared" si="49"/>
        <v>0</v>
      </c>
      <c r="AU19" s="45">
        <f t="shared" si="49"/>
        <v>0</v>
      </c>
      <c r="AV19" s="45">
        <f t="shared" si="49"/>
        <v>0</v>
      </c>
      <c r="AW19" s="45">
        <f t="shared" si="49"/>
        <v>0</v>
      </c>
      <c r="AX19" s="45">
        <f t="shared" si="49"/>
        <v>0</v>
      </c>
      <c r="AY19" s="45">
        <f t="shared" si="49"/>
        <v>493862.14285714284</v>
      </c>
      <c r="AZ19" s="45">
        <f t="shared" si="49"/>
        <v>493862.14285714284</v>
      </c>
      <c r="BA19" s="45">
        <f t="shared" si="49"/>
        <v>493862.14285714284</v>
      </c>
      <c r="BB19" s="45">
        <f t="shared" si="49"/>
        <v>493862.14285714284</v>
      </c>
      <c r="BC19" s="45">
        <f t="shared" si="49"/>
        <v>493862.14285714284</v>
      </c>
      <c r="BD19" s="45">
        <f t="shared" si="49"/>
        <v>493862.14285714284</v>
      </c>
      <c r="BE19" s="45">
        <f t="shared" si="49"/>
        <v>493862.14285714284</v>
      </c>
      <c r="BF19" s="45">
        <f t="shared" si="49"/>
        <v>0</v>
      </c>
      <c r="BG19" s="45">
        <f t="shared" si="49"/>
        <v>0</v>
      </c>
      <c r="BH19" s="45">
        <f t="shared" si="49"/>
        <v>0</v>
      </c>
      <c r="BI19" s="45">
        <f t="shared" si="49"/>
        <v>0</v>
      </c>
      <c r="BJ19" s="45">
        <f t="shared" si="49"/>
        <v>0</v>
      </c>
      <c r="BK19" s="45">
        <f t="shared" si="49"/>
        <v>493862.14285714284</v>
      </c>
      <c r="BL19" s="45">
        <f t="shared" si="49"/>
        <v>493862.14285714284</v>
      </c>
      <c r="BM19" s="45">
        <f t="shared" si="49"/>
        <v>493862.14285714284</v>
      </c>
      <c r="BN19" s="45">
        <f t="shared" si="49"/>
        <v>493862.14285714284</v>
      </c>
      <c r="BO19" s="45">
        <f t="shared" si="49"/>
        <v>493862.14285714284</v>
      </c>
      <c r="BP19" s="45">
        <f t="shared" si="49"/>
        <v>493862.14285714284</v>
      </c>
      <c r="BQ19" s="45">
        <f t="shared" si="49"/>
        <v>493862.14285714284</v>
      </c>
      <c r="BR19" s="45">
        <f t="shared" si="49"/>
        <v>0</v>
      </c>
      <c r="BS19" s="45">
        <f t="shared" si="49"/>
        <v>0</v>
      </c>
      <c r="BT19" s="45">
        <f t="shared" si="49"/>
        <v>0</v>
      </c>
      <c r="BU19" s="45">
        <f t="shared" si="49"/>
        <v>0</v>
      </c>
      <c r="BV19" s="45">
        <f t="shared" si="49"/>
        <v>0</v>
      </c>
      <c r="BW19" s="45">
        <f t="shared" si="49"/>
        <v>493862.14285714284</v>
      </c>
      <c r="BX19" s="45">
        <f t="shared" si="49"/>
        <v>493862.14285714284</v>
      </c>
      <c r="BY19" s="45">
        <f t="shared" si="49"/>
        <v>493862.14285714284</v>
      </c>
      <c r="BZ19" s="45">
        <f t="shared" si="49"/>
        <v>493862.14285714284</v>
      </c>
      <c r="CA19" s="45">
        <f t="shared" si="49"/>
        <v>493862.14285714284</v>
      </c>
      <c r="CB19" s="45">
        <f t="shared" ref="CB19:CD19" si="50">+CB127*$A$121</f>
        <v>493862.14285714284</v>
      </c>
      <c r="CC19" s="45">
        <f t="shared" si="50"/>
        <v>493862.14285714284</v>
      </c>
      <c r="CD19" s="45">
        <f t="shared" si="50"/>
        <v>0</v>
      </c>
      <c r="CE19" s="45"/>
      <c r="CF19" s="34"/>
      <c r="CG19" s="34"/>
      <c r="CH19" s="34"/>
      <c r="CI19" s="227"/>
      <c r="CJ19" s="227"/>
      <c r="CK19" s="227"/>
      <c r="CL19" s="227"/>
      <c r="CM19" s="227"/>
    </row>
    <row r="20" spans="1:91" x14ac:dyDescent="0.2">
      <c r="B20" s="225" t="s">
        <v>426</v>
      </c>
      <c r="C20" s="45">
        <f t="shared" ref="C20:G20" si="51">+C128*$A$121</f>
        <v>674409.16142857145</v>
      </c>
      <c r="D20" s="45">
        <f t="shared" si="51"/>
        <v>674405</v>
      </c>
      <c r="E20" s="45">
        <f t="shared" si="51"/>
        <v>674400</v>
      </c>
      <c r="F20" s="45">
        <f t="shared" si="51"/>
        <v>674405</v>
      </c>
      <c r="G20" s="45">
        <f t="shared" si="51"/>
        <v>674409.16142857145</v>
      </c>
      <c r="H20" s="45">
        <f t="shared" ref="H20:N20" si="52">+H128*$A$121</f>
        <v>674409.16142857145</v>
      </c>
      <c r="I20" s="45">
        <f t="shared" si="52"/>
        <v>674409.16142857145</v>
      </c>
      <c r="J20" s="45">
        <f t="shared" si="52"/>
        <v>0</v>
      </c>
      <c r="K20" s="45">
        <f t="shared" si="52"/>
        <v>0</v>
      </c>
      <c r="L20" s="45">
        <f t="shared" si="52"/>
        <v>0</v>
      </c>
      <c r="M20" s="45">
        <f t="shared" si="52"/>
        <v>0</v>
      </c>
      <c r="N20" s="45">
        <f t="shared" si="52"/>
        <v>0</v>
      </c>
      <c r="O20" s="45">
        <f t="shared" ref="O20:S20" si="53">+O128*$A$121</f>
        <v>668986.21285714291</v>
      </c>
      <c r="P20" s="45">
        <f t="shared" si="53"/>
        <v>668986.21285714291</v>
      </c>
      <c r="Q20" s="45">
        <f t="shared" si="53"/>
        <v>668986.21285714291</v>
      </c>
      <c r="R20" s="45">
        <f t="shared" si="53"/>
        <v>668986.21285714291</v>
      </c>
      <c r="S20" s="45">
        <f t="shared" si="53"/>
        <v>668986.21285714291</v>
      </c>
      <c r="T20" s="45">
        <f t="shared" ref="T20:CA20" si="54">+T128*$A$121</f>
        <v>668986.21285714291</v>
      </c>
      <c r="U20" s="45">
        <f t="shared" si="54"/>
        <v>668986.21285714291</v>
      </c>
      <c r="V20" s="45">
        <f t="shared" si="54"/>
        <v>0</v>
      </c>
      <c r="W20" s="45">
        <f t="shared" si="54"/>
        <v>0</v>
      </c>
      <c r="X20" s="45">
        <f t="shared" si="54"/>
        <v>0</v>
      </c>
      <c r="Y20" s="45">
        <f t="shared" si="54"/>
        <v>0</v>
      </c>
      <c r="Z20" s="45">
        <f t="shared" si="54"/>
        <v>0</v>
      </c>
      <c r="AA20" s="45">
        <f t="shared" si="54"/>
        <v>668986.21285714291</v>
      </c>
      <c r="AB20" s="45">
        <f t="shared" si="54"/>
        <v>668986.21285714291</v>
      </c>
      <c r="AC20" s="45">
        <f t="shared" si="54"/>
        <v>668986.21285714291</v>
      </c>
      <c r="AD20" s="45">
        <f t="shared" si="54"/>
        <v>668986.21285714291</v>
      </c>
      <c r="AE20" s="45">
        <f t="shared" si="54"/>
        <v>668986.21285714291</v>
      </c>
      <c r="AF20" s="45">
        <f t="shared" si="54"/>
        <v>668986.21285714291</v>
      </c>
      <c r="AG20" s="45">
        <f t="shared" si="54"/>
        <v>668986.21285714291</v>
      </c>
      <c r="AH20" s="45">
        <f t="shared" si="54"/>
        <v>0</v>
      </c>
      <c r="AI20" s="45">
        <f t="shared" si="54"/>
        <v>0</v>
      </c>
      <c r="AJ20" s="45">
        <f t="shared" si="54"/>
        <v>0</v>
      </c>
      <c r="AK20" s="45">
        <f t="shared" si="54"/>
        <v>0</v>
      </c>
      <c r="AL20" s="45">
        <f t="shared" si="54"/>
        <v>0</v>
      </c>
      <c r="AM20" s="45">
        <f t="shared" si="54"/>
        <v>668986.21285714291</v>
      </c>
      <c r="AN20" s="45">
        <f t="shared" si="54"/>
        <v>668986.21285714291</v>
      </c>
      <c r="AO20" s="45">
        <f t="shared" si="54"/>
        <v>668986.21285714291</v>
      </c>
      <c r="AP20" s="45">
        <f t="shared" si="54"/>
        <v>668986.21285714291</v>
      </c>
      <c r="AQ20" s="45">
        <f t="shared" si="54"/>
        <v>668986.21285714291</v>
      </c>
      <c r="AR20" s="45">
        <f t="shared" si="54"/>
        <v>668986.21285714291</v>
      </c>
      <c r="AS20" s="45">
        <f t="shared" si="54"/>
        <v>668986.21285714291</v>
      </c>
      <c r="AT20" s="45">
        <f t="shared" si="54"/>
        <v>0</v>
      </c>
      <c r="AU20" s="45">
        <f t="shared" si="54"/>
        <v>0</v>
      </c>
      <c r="AV20" s="45">
        <f t="shared" si="54"/>
        <v>0</v>
      </c>
      <c r="AW20" s="45">
        <f t="shared" si="54"/>
        <v>0</v>
      </c>
      <c r="AX20" s="45">
        <f t="shared" si="54"/>
        <v>0</v>
      </c>
      <c r="AY20" s="45">
        <f t="shared" si="54"/>
        <v>668986.21285714291</v>
      </c>
      <c r="AZ20" s="45">
        <f t="shared" si="54"/>
        <v>668986.21285714291</v>
      </c>
      <c r="BA20" s="45">
        <f t="shared" si="54"/>
        <v>668986.21285714291</v>
      </c>
      <c r="BB20" s="45">
        <f t="shared" si="54"/>
        <v>668986.21285714291</v>
      </c>
      <c r="BC20" s="45">
        <f t="shared" si="54"/>
        <v>668986.21285714291</v>
      </c>
      <c r="BD20" s="45">
        <f t="shared" si="54"/>
        <v>668986.21285714291</v>
      </c>
      <c r="BE20" s="45">
        <f t="shared" si="54"/>
        <v>668986.21285714291</v>
      </c>
      <c r="BF20" s="45">
        <f t="shared" si="54"/>
        <v>0</v>
      </c>
      <c r="BG20" s="45">
        <f t="shared" si="54"/>
        <v>0</v>
      </c>
      <c r="BH20" s="45">
        <f t="shared" si="54"/>
        <v>0</v>
      </c>
      <c r="BI20" s="45">
        <f t="shared" si="54"/>
        <v>0</v>
      </c>
      <c r="BJ20" s="45">
        <f t="shared" si="54"/>
        <v>0</v>
      </c>
      <c r="BK20" s="45">
        <f t="shared" si="54"/>
        <v>668986.21285714291</v>
      </c>
      <c r="BL20" s="45">
        <f t="shared" si="54"/>
        <v>668986.21285714291</v>
      </c>
      <c r="BM20" s="45">
        <f t="shared" si="54"/>
        <v>668986.21285714291</v>
      </c>
      <c r="BN20" s="45">
        <f t="shared" si="54"/>
        <v>668986.21285714291</v>
      </c>
      <c r="BO20" s="45">
        <f t="shared" si="54"/>
        <v>668986.21285714291</v>
      </c>
      <c r="BP20" s="45">
        <f t="shared" si="54"/>
        <v>668986.21285714291</v>
      </c>
      <c r="BQ20" s="45">
        <f t="shared" si="54"/>
        <v>668986.21285714291</v>
      </c>
      <c r="BR20" s="45">
        <f t="shared" si="54"/>
        <v>0</v>
      </c>
      <c r="BS20" s="45">
        <f t="shared" si="54"/>
        <v>0</v>
      </c>
      <c r="BT20" s="45">
        <f t="shared" si="54"/>
        <v>0</v>
      </c>
      <c r="BU20" s="45">
        <f t="shared" si="54"/>
        <v>0</v>
      </c>
      <c r="BV20" s="45">
        <f t="shared" si="54"/>
        <v>0</v>
      </c>
      <c r="BW20" s="45">
        <f t="shared" si="54"/>
        <v>668986.21285714291</v>
      </c>
      <c r="BX20" s="45">
        <f t="shared" si="54"/>
        <v>668986.21285714291</v>
      </c>
      <c r="BY20" s="45">
        <f t="shared" si="54"/>
        <v>668986.21285714291</v>
      </c>
      <c r="BZ20" s="45">
        <f t="shared" si="54"/>
        <v>668986.21285714291</v>
      </c>
      <c r="CA20" s="45">
        <f t="shared" si="54"/>
        <v>668986.21285714291</v>
      </c>
      <c r="CB20" s="45">
        <f t="shared" ref="CB20:CD20" si="55">+CB128*$A$121</f>
        <v>668986.21285714291</v>
      </c>
      <c r="CC20" s="45">
        <f t="shared" si="55"/>
        <v>668986.21285714291</v>
      </c>
      <c r="CD20" s="45">
        <f t="shared" si="55"/>
        <v>0</v>
      </c>
      <c r="CE20" s="45"/>
      <c r="CF20" s="34"/>
      <c r="CG20" s="34"/>
      <c r="CH20" s="34"/>
      <c r="CI20" s="227"/>
      <c r="CJ20" s="227"/>
      <c r="CK20" s="227"/>
      <c r="CL20" s="227"/>
      <c r="CM20" s="227"/>
    </row>
    <row r="21" spans="1:91" x14ac:dyDescent="0.2">
      <c r="B21" s="225" t="s">
        <v>427</v>
      </c>
      <c r="C21" s="231">
        <f t="shared" ref="C21:G21" si="56">C18+C19+C20</f>
        <v>1341217.0185714285</v>
      </c>
      <c r="D21" s="231">
        <f t="shared" si="56"/>
        <v>1112156</v>
      </c>
      <c r="E21" s="231">
        <f t="shared" si="56"/>
        <v>1331310</v>
      </c>
      <c r="F21" s="231">
        <f t="shared" si="56"/>
        <v>1190958</v>
      </c>
      <c r="G21" s="231">
        <f t="shared" si="56"/>
        <v>1395969.1614285714</v>
      </c>
      <c r="H21" s="231">
        <f t="shared" ref="H21:M21" si="57">H18+H19+H20</f>
        <v>1457892.6614285714</v>
      </c>
      <c r="I21" s="231">
        <f t="shared" si="57"/>
        <v>1341174.0185714285</v>
      </c>
      <c r="J21" s="231">
        <f t="shared" si="57"/>
        <v>0</v>
      </c>
      <c r="K21" s="231">
        <f t="shared" si="57"/>
        <v>0</v>
      </c>
      <c r="L21" s="231">
        <f t="shared" si="57"/>
        <v>0</v>
      </c>
      <c r="M21" s="231">
        <f t="shared" si="57"/>
        <v>0</v>
      </c>
      <c r="N21" s="231">
        <f>N18+N19+N20</f>
        <v>0</v>
      </c>
      <c r="O21" s="231">
        <f t="shared" ref="O21:S21" si="58">O18+O19+O20</f>
        <v>1331731.8128571429</v>
      </c>
      <c r="P21" s="231">
        <f t="shared" si="58"/>
        <v>1331731.8128571429</v>
      </c>
      <c r="Q21" s="231">
        <f t="shared" si="58"/>
        <v>1331731.8128571429</v>
      </c>
      <c r="R21" s="231">
        <f t="shared" si="58"/>
        <v>1331731.8128571429</v>
      </c>
      <c r="S21" s="231">
        <f t="shared" si="58"/>
        <v>1331731.8128571429</v>
      </c>
      <c r="T21" s="231">
        <f t="shared" ref="T21" si="59">T18+T19+T20</f>
        <v>1331731.8128571429</v>
      </c>
      <c r="U21" s="231">
        <f t="shared" ref="U21" si="60">U18+U19+U20</f>
        <v>1331731.8128571429</v>
      </c>
      <c r="V21" s="231">
        <f t="shared" ref="V21" si="61">V18+V19+V20</f>
        <v>0</v>
      </c>
      <c r="W21" s="231">
        <f t="shared" ref="W21" si="62">W18+W19+W20</f>
        <v>0</v>
      </c>
      <c r="X21" s="231">
        <f t="shared" ref="X21" si="63">X18+X19+X20</f>
        <v>0</v>
      </c>
      <c r="Y21" s="231">
        <f t="shared" ref="Y21" si="64">Y18+Y19+Y20</f>
        <v>0</v>
      </c>
      <c r="Z21" s="231">
        <f t="shared" ref="Z21" si="65">Z18+Z19+Z20</f>
        <v>0</v>
      </c>
      <c r="AA21" s="231">
        <f t="shared" ref="AA21" si="66">AA18+AA19+AA20</f>
        <v>1331731.8128571429</v>
      </c>
      <c r="AB21" s="231">
        <f t="shared" ref="AB21" si="67">AB18+AB19+AB20</f>
        <v>1331731.8128571429</v>
      </c>
      <c r="AC21" s="231">
        <f t="shared" ref="AC21" si="68">AC18+AC19+AC20</f>
        <v>1331731.8128571429</v>
      </c>
      <c r="AD21" s="231">
        <f t="shared" ref="AD21" si="69">AD18+AD19+AD20</f>
        <v>1331731.8128571429</v>
      </c>
      <c r="AE21" s="231">
        <f t="shared" ref="AE21" si="70">AE18+AE19+AE20</f>
        <v>1331731.8128571429</v>
      </c>
      <c r="AF21" s="231">
        <f t="shared" ref="AF21" si="71">AF18+AF19+AF20</f>
        <v>1331731.8128571429</v>
      </c>
      <c r="AG21" s="231">
        <f t="shared" ref="AG21" si="72">AG18+AG19+AG20</f>
        <v>1331731.8128571429</v>
      </c>
      <c r="AH21" s="231">
        <f t="shared" ref="AH21" si="73">AH18+AH19+AH20</f>
        <v>0</v>
      </c>
      <c r="AI21" s="231">
        <f t="shared" ref="AI21" si="74">AI18+AI19+AI20</f>
        <v>0</v>
      </c>
      <c r="AJ21" s="231">
        <f t="shared" ref="AJ21" si="75">AJ18+AJ19+AJ20</f>
        <v>0</v>
      </c>
      <c r="AK21" s="231">
        <f t="shared" ref="AK21" si="76">AK18+AK19+AK20</f>
        <v>0</v>
      </c>
      <c r="AL21" s="231">
        <f t="shared" ref="AL21" si="77">AL18+AL19+AL20</f>
        <v>0</v>
      </c>
      <c r="AM21" s="231">
        <f t="shared" ref="AM21" si="78">AM18+AM19+AM20</f>
        <v>1331731.8128571429</v>
      </c>
      <c r="AN21" s="231">
        <f t="shared" ref="AN21" si="79">AN18+AN19+AN20</f>
        <v>1331731.8128571429</v>
      </c>
      <c r="AO21" s="231">
        <f t="shared" ref="AO21" si="80">AO18+AO19+AO20</f>
        <v>1331731.8128571429</v>
      </c>
      <c r="AP21" s="231">
        <f t="shared" ref="AP21" si="81">AP18+AP19+AP20</f>
        <v>1331731.8128571429</v>
      </c>
      <c r="AQ21" s="231">
        <f t="shared" ref="AQ21" si="82">AQ18+AQ19+AQ20</f>
        <v>1331731.8128571429</v>
      </c>
      <c r="AR21" s="231">
        <f t="shared" ref="AR21" si="83">AR18+AR19+AR20</f>
        <v>1331731.8128571429</v>
      </c>
      <c r="AS21" s="231">
        <f t="shared" ref="AS21" si="84">AS18+AS19+AS20</f>
        <v>1331731.8128571429</v>
      </c>
      <c r="AT21" s="231">
        <f t="shared" ref="AT21" si="85">AT18+AT19+AT20</f>
        <v>0</v>
      </c>
      <c r="AU21" s="231">
        <f t="shared" ref="AU21" si="86">AU18+AU19+AU20</f>
        <v>0</v>
      </c>
      <c r="AV21" s="231">
        <f t="shared" ref="AV21" si="87">AV18+AV19+AV20</f>
        <v>0</v>
      </c>
      <c r="AW21" s="231">
        <f t="shared" ref="AW21" si="88">AW18+AW19+AW20</f>
        <v>0</v>
      </c>
      <c r="AX21" s="231">
        <f t="shared" ref="AX21" si="89">AX18+AX19+AX20</f>
        <v>0</v>
      </c>
      <c r="AY21" s="231">
        <f t="shared" ref="AY21" si="90">AY18+AY19+AY20</f>
        <v>1331731.8128571429</v>
      </c>
      <c r="AZ21" s="231">
        <f t="shared" ref="AZ21" si="91">AZ18+AZ19+AZ20</f>
        <v>1331731.8128571429</v>
      </c>
      <c r="BA21" s="231">
        <f t="shared" ref="BA21" si="92">BA18+BA19+BA20</f>
        <v>1331731.8128571429</v>
      </c>
      <c r="BB21" s="231">
        <f t="shared" ref="BB21" si="93">BB18+BB19+BB20</f>
        <v>1331731.8128571429</v>
      </c>
      <c r="BC21" s="231">
        <f t="shared" ref="BC21" si="94">BC18+BC19+BC20</f>
        <v>1331731.8128571429</v>
      </c>
      <c r="BD21" s="231">
        <f t="shared" ref="BD21" si="95">BD18+BD19+BD20</f>
        <v>1331731.8128571429</v>
      </c>
      <c r="BE21" s="231">
        <f t="shared" ref="BE21" si="96">BE18+BE19+BE20</f>
        <v>1331731.8128571429</v>
      </c>
      <c r="BF21" s="231">
        <f t="shared" ref="BF21" si="97">BF18+BF19+BF20</f>
        <v>0</v>
      </c>
      <c r="BG21" s="231">
        <f t="shared" ref="BG21" si="98">BG18+BG19+BG20</f>
        <v>0</v>
      </c>
      <c r="BH21" s="231">
        <f t="shared" ref="BH21" si="99">BH18+BH19+BH20</f>
        <v>0</v>
      </c>
      <c r="BI21" s="231">
        <f t="shared" ref="BI21" si="100">BI18+BI19+BI20</f>
        <v>0</v>
      </c>
      <c r="BJ21" s="231">
        <f t="shared" ref="BJ21" si="101">BJ18+BJ19+BJ20</f>
        <v>0</v>
      </c>
      <c r="BK21" s="231">
        <f t="shared" ref="BK21" si="102">BK18+BK19+BK20</f>
        <v>1331731.8128571429</v>
      </c>
      <c r="BL21" s="231">
        <f t="shared" ref="BL21" si="103">BL18+BL19+BL20</f>
        <v>1331731.8128571429</v>
      </c>
      <c r="BM21" s="231">
        <f t="shared" ref="BM21" si="104">BM18+BM19+BM20</f>
        <v>1331731.8128571429</v>
      </c>
      <c r="BN21" s="231">
        <f t="shared" ref="BN21" si="105">BN18+BN19+BN20</f>
        <v>1331731.8128571429</v>
      </c>
      <c r="BO21" s="231">
        <f t="shared" ref="BO21" si="106">BO18+BO19+BO20</f>
        <v>1331731.8128571429</v>
      </c>
      <c r="BP21" s="231">
        <f t="shared" ref="BP21" si="107">BP18+BP19+BP20</f>
        <v>1331731.8128571429</v>
      </c>
      <c r="BQ21" s="231">
        <f t="shared" ref="BQ21" si="108">BQ18+BQ19+BQ20</f>
        <v>1331731.8128571429</v>
      </c>
      <c r="BR21" s="231">
        <f t="shared" ref="BR21" si="109">BR18+BR19+BR20</f>
        <v>0</v>
      </c>
      <c r="BS21" s="231">
        <f t="shared" ref="BS21" si="110">BS18+BS19+BS20</f>
        <v>0</v>
      </c>
      <c r="BT21" s="231">
        <f t="shared" ref="BT21" si="111">BT18+BT19+BT20</f>
        <v>0</v>
      </c>
      <c r="BU21" s="231">
        <f t="shared" ref="BU21" si="112">BU18+BU19+BU20</f>
        <v>0</v>
      </c>
      <c r="BV21" s="231">
        <f t="shared" ref="BV21" si="113">BV18+BV19+BV20</f>
        <v>0</v>
      </c>
      <c r="BW21" s="231">
        <f t="shared" ref="BW21" si="114">BW18+BW19+BW20</f>
        <v>1331731.8128571429</v>
      </c>
      <c r="BX21" s="231">
        <f t="shared" ref="BX21" si="115">BX18+BX19+BX20</f>
        <v>1331731.8128571429</v>
      </c>
      <c r="BY21" s="231">
        <f t="shared" ref="BY21" si="116">BY18+BY19+BY20</f>
        <v>1331731.8128571429</v>
      </c>
      <c r="BZ21" s="231">
        <f t="shared" ref="BZ21" si="117">BZ18+BZ19+BZ20</f>
        <v>1331731.8128571429</v>
      </c>
      <c r="CA21" s="231">
        <f t="shared" ref="CA21:CD21" si="118">CA18+CA19+CA20</f>
        <v>1331731.8128571429</v>
      </c>
      <c r="CB21" s="231">
        <f t="shared" si="118"/>
        <v>1331731.8128571429</v>
      </c>
      <c r="CC21" s="231">
        <f t="shared" si="118"/>
        <v>1331731.8128571429</v>
      </c>
      <c r="CD21" s="231">
        <f t="shared" si="118"/>
        <v>0</v>
      </c>
      <c r="CE21" s="231"/>
      <c r="CF21" s="227"/>
      <c r="CG21" s="227"/>
      <c r="CH21" s="227"/>
      <c r="CI21" s="227"/>
      <c r="CJ21" s="227"/>
      <c r="CK21" s="227"/>
      <c r="CL21" s="227"/>
      <c r="CM21" s="227"/>
    </row>
    <row r="22" spans="1:91" x14ac:dyDescent="0.2">
      <c r="H22" s="225"/>
      <c r="I22" s="225"/>
      <c r="J22" s="225"/>
      <c r="K22" s="225"/>
      <c r="L22" s="225"/>
      <c r="M22" s="225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25"/>
      <c r="BW22" s="225"/>
      <c r="BX22" s="225"/>
      <c r="BY22" s="225"/>
      <c r="BZ22" s="225"/>
      <c r="CA22" s="225"/>
      <c r="CB22" s="231"/>
      <c r="CC22" s="231"/>
      <c r="CD22" s="231"/>
      <c r="CE22" s="225"/>
    </row>
    <row r="23" spans="1:91" x14ac:dyDescent="0.2">
      <c r="A23" s="225" t="s">
        <v>428</v>
      </c>
      <c r="H23" s="225"/>
      <c r="I23" s="225"/>
      <c r="J23" s="225"/>
      <c r="K23" s="225"/>
      <c r="L23" s="225"/>
      <c r="M23" s="225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25"/>
      <c r="BW23" s="225"/>
      <c r="BX23" s="225"/>
      <c r="BY23" s="225"/>
      <c r="BZ23" s="225"/>
      <c r="CA23" s="225"/>
      <c r="CB23" s="231"/>
      <c r="CC23" s="231"/>
      <c r="CD23" s="231"/>
      <c r="CE23" s="225"/>
    </row>
    <row r="24" spans="1:91" x14ac:dyDescent="0.2">
      <c r="B24" s="225" t="s">
        <v>429</v>
      </c>
      <c r="C24" s="231">
        <f>[7]B.7!$F$33/3</f>
        <v>2395.3333333333335</v>
      </c>
      <c r="D24" s="231">
        <f>C24</f>
        <v>2395.3333333333335</v>
      </c>
      <c r="E24" s="231">
        <f t="shared" ref="E24:BP24" si="119">D24</f>
        <v>2395.3333333333335</v>
      </c>
      <c r="F24" s="231">
        <f t="shared" si="119"/>
        <v>2395.3333333333335</v>
      </c>
      <c r="G24" s="231">
        <f t="shared" si="119"/>
        <v>2395.3333333333335</v>
      </c>
      <c r="H24" s="231">
        <f t="shared" si="119"/>
        <v>2395.3333333333335</v>
      </c>
      <c r="I24" s="231">
        <f t="shared" si="119"/>
        <v>2395.3333333333335</v>
      </c>
      <c r="J24" s="231">
        <f t="shared" si="119"/>
        <v>2395.3333333333335</v>
      </c>
      <c r="K24" s="231">
        <f t="shared" si="119"/>
        <v>2395.3333333333335</v>
      </c>
      <c r="L24" s="231">
        <f t="shared" si="119"/>
        <v>2395.3333333333335</v>
      </c>
      <c r="M24" s="231">
        <f t="shared" si="119"/>
        <v>2395.3333333333335</v>
      </c>
      <c r="N24" s="231">
        <f t="shared" si="119"/>
        <v>2395.3333333333335</v>
      </c>
      <c r="O24" s="231">
        <f t="shared" si="119"/>
        <v>2395.3333333333335</v>
      </c>
      <c r="P24" s="231">
        <f t="shared" si="119"/>
        <v>2395.3333333333335</v>
      </c>
      <c r="Q24" s="231">
        <f t="shared" si="119"/>
        <v>2395.3333333333335</v>
      </c>
      <c r="R24" s="231">
        <f t="shared" si="119"/>
        <v>2395.3333333333335</v>
      </c>
      <c r="S24" s="231">
        <f t="shared" si="119"/>
        <v>2395.3333333333335</v>
      </c>
      <c r="T24" s="231">
        <f t="shared" si="119"/>
        <v>2395.3333333333335</v>
      </c>
      <c r="U24" s="231">
        <f t="shared" si="119"/>
        <v>2395.3333333333335</v>
      </c>
      <c r="V24" s="231">
        <f t="shared" si="119"/>
        <v>2395.3333333333335</v>
      </c>
      <c r="W24" s="231">
        <f t="shared" si="119"/>
        <v>2395.3333333333335</v>
      </c>
      <c r="X24" s="231">
        <f t="shared" si="119"/>
        <v>2395.3333333333335</v>
      </c>
      <c r="Y24" s="231">
        <f t="shared" si="119"/>
        <v>2395.3333333333335</v>
      </c>
      <c r="Z24" s="231">
        <f t="shared" si="119"/>
        <v>2395.3333333333335</v>
      </c>
      <c r="AA24" s="231">
        <f t="shared" si="119"/>
        <v>2395.3333333333335</v>
      </c>
      <c r="AB24" s="231">
        <f t="shared" si="119"/>
        <v>2395.3333333333335</v>
      </c>
      <c r="AC24" s="231">
        <f t="shared" si="119"/>
        <v>2395.3333333333335</v>
      </c>
      <c r="AD24" s="231">
        <f t="shared" si="119"/>
        <v>2395.3333333333335</v>
      </c>
      <c r="AE24" s="231">
        <f t="shared" si="119"/>
        <v>2395.3333333333335</v>
      </c>
      <c r="AF24" s="231">
        <f t="shared" si="119"/>
        <v>2395.3333333333335</v>
      </c>
      <c r="AG24" s="231">
        <f t="shared" si="119"/>
        <v>2395.3333333333335</v>
      </c>
      <c r="AH24" s="231">
        <f t="shared" si="119"/>
        <v>2395.3333333333335</v>
      </c>
      <c r="AI24" s="231">
        <f t="shared" si="119"/>
        <v>2395.3333333333335</v>
      </c>
      <c r="AJ24" s="231">
        <f t="shared" si="119"/>
        <v>2395.3333333333335</v>
      </c>
      <c r="AK24" s="231">
        <f t="shared" si="119"/>
        <v>2395.3333333333335</v>
      </c>
      <c r="AL24" s="231">
        <f t="shared" si="119"/>
        <v>2395.3333333333335</v>
      </c>
      <c r="AM24" s="231">
        <f t="shared" si="119"/>
        <v>2395.3333333333335</v>
      </c>
      <c r="AN24" s="231">
        <f t="shared" si="119"/>
        <v>2395.3333333333335</v>
      </c>
      <c r="AO24" s="231">
        <f t="shared" si="119"/>
        <v>2395.3333333333335</v>
      </c>
      <c r="AP24" s="231">
        <f t="shared" si="119"/>
        <v>2395.3333333333335</v>
      </c>
      <c r="AQ24" s="231">
        <f t="shared" si="119"/>
        <v>2395.3333333333335</v>
      </c>
      <c r="AR24" s="231">
        <f t="shared" si="119"/>
        <v>2395.3333333333335</v>
      </c>
      <c r="AS24" s="231">
        <f t="shared" si="119"/>
        <v>2395.3333333333335</v>
      </c>
      <c r="AT24" s="231">
        <f t="shared" si="119"/>
        <v>2395.3333333333335</v>
      </c>
      <c r="AU24" s="231">
        <f t="shared" si="119"/>
        <v>2395.3333333333335</v>
      </c>
      <c r="AV24" s="231">
        <f t="shared" si="119"/>
        <v>2395.3333333333335</v>
      </c>
      <c r="AW24" s="231">
        <f t="shared" si="119"/>
        <v>2395.3333333333335</v>
      </c>
      <c r="AX24" s="231">
        <f t="shared" si="119"/>
        <v>2395.3333333333335</v>
      </c>
      <c r="AY24" s="231">
        <f t="shared" si="119"/>
        <v>2395.3333333333335</v>
      </c>
      <c r="AZ24" s="231">
        <f t="shared" si="119"/>
        <v>2395.3333333333335</v>
      </c>
      <c r="BA24" s="231">
        <f t="shared" si="119"/>
        <v>2395.3333333333335</v>
      </c>
      <c r="BB24" s="231">
        <f t="shared" si="119"/>
        <v>2395.3333333333335</v>
      </c>
      <c r="BC24" s="231">
        <f t="shared" si="119"/>
        <v>2395.3333333333335</v>
      </c>
      <c r="BD24" s="231">
        <f t="shared" si="119"/>
        <v>2395.3333333333335</v>
      </c>
      <c r="BE24" s="231">
        <f t="shared" si="119"/>
        <v>2395.3333333333335</v>
      </c>
      <c r="BF24" s="231">
        <f t="shared" si="119"/>
        <v>2395.3333333333335</v>
      </c>
      <c r="BG24" s="231">
        <f t="shared" si="119"/>
        <v>2395.3333333333335</v>
      </c>
      <c r="BH24" s="231">
        <f t="shared" si="119"/>
        <v>2395.3333333333335</v>
      </c>
      <c r="BI24" s="231">
        <f t="shared" si="119"/>
        <v>2395.3333333333335</v>
      </c>
      <c r="BJ24" s="231">
        <f t="shared" si="119"/>
        <v>2395.3333333333335</v>
      </c>
      <c r="BK24" s="231">
        <f t="shared" si="119"/>
        <v>2395.3333333333335</v>
      </c>
      <c r="BL24" s="231">
        <f t="shared" si="119"/>
        <v>2395.3333333333335</v>
      </c>
      <c r="BM24" s="231">
        <f t="shared" si="119"/>
        <v>2395.3333333333335</v>
      </c>
      <c r="BN24" s="231">
        <f t="shared" si="119"/>
        <v>2395.3333333333335</v>
      </c>
      <c r="BO24" s="231">
        <f t="shared" si="119"/>
        <v>2395.3333333333335</v>
      </c>
      <c r="BP24" s="231">
        <f t="shared" si="119"/>
        <v>2395.3333333333335</v>
      </c>
      <c r="BQ24" s="231">
        <f t="shared" ref="BQ24:CD24" si="120">BP24</f>
        <v>2395.3333333333335</v>
      </c>
      <c r="BR24" s="231">
        <f t="shared" si="120"/>
        <v>2395.3333333333335</v>
      </c>
      <c r="BS24" s="231">
        <f t="shared" si="120"/>
        <v>2395.3333333333335</v>
      </c>
      <c r="BT24" s="231">
        <f t="shared" si="120"/>
        <v>2395.3333333333335</v>
      </c>
      <c r="BU24" s="231">
        <f t="shared" si="120"/>
        <v>2395.3333333333335</v>
      </c>
      <c r="BV24" s="231">
        <f t="shared" si="120"/>
        <v>2395.3333333333335</v>
      </c>
      <c r="BW24" s="231">
        <f t="shared" si="120"/>
        <v>2395.3333333333335</v>
      </c>
      <c r="BX24" s="231">
        <f t="shared" si="120"/>
        <v>2395.3333333333335</v>
      </c>
      <c r="BY24" s="231">
        <f t="shared" si="120"/>
        <v>2395.3333333333335</v>
      </c>
      <c r="BZ24" s="231">
        <f t="shared" si="120"/>
        <v>2395.3333333333335</v>
      </c>
      <c r="CA24" s="231">
        <f t="shared" si="120"/>
        <v>2395.3333333333335</v>
      </c>
      <c r="CB24" s="231">
        <f t="shared" si="120"/>
        <v>2395.3333333333335</v>
      </c>
      <c r="CC24" s="231">
        <f t="shared" si="120"/>
        <v>2395.3333333333335</v>
      </c>
      <c r="CD24" s="231">
        <f t="shared" si="120"/>
        <v>2395.3333333333335</v>
      </c>
      <c r="CE24" s="231"/>
      <c r="CF24" s="231"/>
      <c r="CG24" s="231"/>
      <c r="CH24" s="231"/>
      <c r="CI24" s="231"/>
      <c r="CJ24" s="231"/>
    </row>
    <row r="25" spans="1:91" x14ac:dyDescent="0.2">
      <c r="H25" s="225"/>
      <c r="I25" s="225"/>
      <c r="J25" s="225"/>
      <c r="K25" s="225"/>
      <c r="L25" s="225"/>
      <c r="M25" s="225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25"/>
      <c r="BW25" s="225"/>
      <c r="BX25" s="225"/>
      <c r="BY25" s="225"/>
      <c r="BZ25" s="225"/>
      <c r="CA25" s="225"/>
      <c r="CB25" s="231"/>
      <c r="CC25" s="231"/>
      <c r="CD25" s="231"/>
      <c r="CE25" s="225"/>
    </row>
    <row r="26" spans="1:91" customFormat="1" x14ac:dyDescent="0.2">
      <c r="A26" s="225"/>
      <c r="B26" s="225" t="s">
        <v>430</v>
      </c>
      <c r="C26" s="225"/>
      <c r="D26" s="225"/>
      <c r="E26" s="225"/>
      <c r="F26" s="225"/>
      <c r="G26" s="225"/>
      <c r="H26" s="225"/>
      <c r="I26" s="225"/>
      <c r="J26" s="523">
        <f>[11]Sheet1!$C$6</f>
        <v>116000</v>
      </c>
      <c r="K26" s="523">
        <f>[11]Sheet1!$C$7</f>
        <v>163200</v>
      </c>
      <c r="L26" s="523">
        <f>[11]Sheet1!$C$8</f>
        <v>196480</v>
      </c>
      <c r="M26" s="523">
        <f>[11]Sheet1!$C$9</f>
        <v>87880</v>
      </c>
      <c r="N26" s="523">
        <f>[11]Sheet1!$C$10</f>
        <v>86540</v>
      </c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608"/>
      <c r="AC26" s="608"/>
      <c r="AD26" s="608"/>
      <c r="AE26" s="608"/>
      <c r="AF26" s="608"/>
      <c r="AG26" s="608"/>
      <c r="AH26" s="608"/>
      <c r="AI26" s="608"/>
      <c r="AJ26" s="608"/>
      <c r="AK26" s="608"/>
      <c r="AL26" s="608"/>
      <c r="AM26" s="608"/>
      <c r="AN26" s="608"/>
      <c r="AO26" s="608"/>
      <c r="AP26" s="608"/>
      <c r="AQ26" s="608"/>
      <c r="AR26" s="608"/>
      <c r="AS26" s="608"/>
      <c r="AT26" s="608"/>
      <c r="AU26" s="608"/>
      <c r="AV26" s="608"/>
      <c r="AW26" s="608"/>
      <c r="AX26" s="608"/>
      <c r="AY26" s="608"/>
      <c r="AZ26" s="608"/>
      <c r="BA26" s="608"/>
      <c r="BB26" s="608"/>
      <c r="BC26" s="608"/>
      <c r="BD26" s="608"/>
      <c r="BE26" s="608"/>
      <c r="BF26" s="608"/>
      <c r="BG26" s="608"/>
      <c r="BH26" s="608"/>
      <c r="BI26" s="608"/>
      <c r="BJ26" s="608"/>
      <c r="BK26" s="608"/>
      <c r="BL26" s="608"/>
      <c r="BM26" s="608"/>
      <c r="BN26" s="608"/>
      <c r="BO26" s="608"/>
      <c r="BP26" s="608"/>
      <c r="BQ26" s="608"/>
      <c r="BR26" s="608"/>
      <c r="BS26" s="608"/>
      <c r="BT26" s="608"/>
      <c r="BU26" s="608"/>
      <c r="BV26" s="608"/>
      <c r="BW26" s="608"/>
      <c r="BX26" s="608"/>
      <c r="BY26" s="608"/>
      <c r="BZ26" s="608"/>
      <c r="CA26" s="608"/>
      <c r="CB26" s="608"/>
      <c r="CC26" s="608"/>
      <c r="CD26" s="608"/>
      <c r="CE26" s="608"/>
    </row>
    <row r="27" spans="1:91" x14ac:dyDescent="0.2">
      <c r="H27" s="225"/>
      <c r="I27" s="225"/>
      <c r="J27" s="225"/>
      <c r="K27" s="225"/>
      <c r="L27" s="225"/>
      <c r="M27" s="225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25"/>
      <c r="BW27" s="225"/>
      <c r="BX27" s="225"/>
      <c r="BY27" s="225"/>
      <c r="BZ27" s="225"/>
      <c r="CA27" s="225"/>
      <c r="CB27" s="231"/>
      <c r="CC27" s="231"/>
      <c r="CD27" s="231"/>
      <c r="CE27" s="225"/>
    </row>
    <row r="28" spans="1:91" x14ac:dyDescent="0.2">
      <c r="A28" s="225" t="s">
        <v>431</v>
      </c>
      <c r="C28" s="231">
        <f t="shared" ref="C28:G28" si="121">SUM(C10-C24)</f>
        <v>1103736.0273484918</v>
      </c>
      <c r="D28" s="231">
        <f t="shared" si="121"/>
        <v>613703.62939417548</v>
      </c>
      <c r="E28" s="231">
        <f t="shared" si="121"/>
        <v>413090.53015368344</v>
      </c>
      <c r="F28" s="231">
        <f t="shared" si="121"/>
        <v>383878.40170126193</v>
      </c>
      <c r="G28" s="231">
        <f t="shared" si="121"/>
        <v>388428.81976316281</v>
      </c>
      <c r="H28" s="231">
        <f t="shared" ref="H28:AM28" si="122">SUM(H10-H24)</f>
        <v>447071.75809133466</v>
      </c>
      <c r="I28" s="231">
        <f t="shared" si="122"/>
        <v>1100684.6373193117</v>
      </c>
      <c r="J28" s="231">
        <f t="shared" si="122"/>
        <v>1998281.3194368235</v>
      </c>
      <c r="K28" s="231">
        <f t="shared" si="122"/>
        <v>2954096.8464873508</v>
      </c>
      <c r="L28" s="231">
        <f t="shared" si="122"/>
        <v>3372026.5976546598</v>
      </c>
      <c r="M28" s="231">
        <f t="shared" si="122"/>
        <v>2676364.7644123449</v>
      </c>
      <c r="N28" s="231">
        <f t="shared" si="122"/>
        <v>2318016.5610173601</v>
      </c>
      <c r="O28" s="231">
        <f t="shared" si="122"/>
        <v>1105323.6311446333</v>
      </c>
      <c r="P28" s="231">
        <f t="shared" si="122"/>
        <v>614482.04740224045</v>
      </c>
      <c r="Q28" s="231">
        <f t="shared" si="122"/>
        <v>413540.69493100728</v>
      </c>
      <c r="R28" s="231">
        <f t="shared" si="122"/>
        <v>384323.34657587891</v>
      </c>
      <c r="S28" s="231">
        <f t="shared" si="122"/>
        <v>388873.77612126729</v>
      </c>
      <c r="T28" s="231">
        <f t="shared" si="122"/>
        <v>447637.85363234213</v>
      </c>
      <c r="U28" s="231">
        <f t="shared" si="122"/>
        <v>1102372.6350465601</v>
      </c>
      <c r="V28" s="231">
        <f t="shared" si="122"/>
        <v>2001551.2881954794</v>
      </c>
      <c r="W28" s="231">
        <f t="shared" si="122"/>
        <v>2958780.7292663795</v>
      </c>
      <c r="X28" s="231">
        <f t="shared" si="122"/>
        <v>3377355.6691868347</v>
      </c>
      <c r="Y28" s="231">
        <f t="shared" si="122"/>
        <v>2681046.686218841</v>
      </c>
      <c r="Z28" s="231">
        <f t="shared" si="122"/>
        <v>2321133.6117973626</v>
      </c>
      <c r="AA28" s="231">
        <f t="shared" si="122"/>
        <v>1106911.3109875706</v>
      </c>
      <c r="AB28" s="231">
        <f t="shared" si="122"/>
        <v>615260.3671231746</v>
      </c>
      <c r="AC28" s="231">
        <f t="shared" si="122"/>
        <v>413990.69139780372</v>
      </c>
      <c r="AD28" s="231">
        <f t="shared" si="122"/>
        <v>384768.12407863326</v>
      </c>
      <c r="AE28" s="231">
        <f t="shared" si="122"/>
        <v>389318.5678007172</v>
      </c>
      <c r="AF28" s="231">
        <f t="shared" si="122"/>
        <v>448204.91696112894</v>
      </c>
      <c r="AG28" s="231">
        <f t="shared" si="122"/>
        <v>1104060.6065677428</v>
      </c>
      <c r="AH28" s="231">
        <f t="shared" si="122"/>
        <v>2004821.2539262914</v>
      </c>
      <c r="AI28" s="231">
        <f t="shared" si="122"/>
        <v>2963463.6187830837</v>
      </c>
      <c r="AJ28" s="231">
        <f t="shared" si="122"/>
        <v>3382683.7569699353</v>
      </c>
      <c r="AK28" s="231">
        <f t="shared" si="122"/>
        <v>2685728.6278404342</v>
      </c>
      <c r="AL28" s="231">
        <f t="shared" si="122"/>
        <v>2324250.6524527157</v>
      </c>
      <c r="AM28" s="231">
        <f t="shared" si="122"/>
        <v>1108498.9617245335</v>
      </c>
      <c r="AN28" s="231">
        <f t="shared" ref="AN28:CA28" si="123">SUM(AN10-AN24)</f>
        <v>616037.63616603438</v>
      </c>
      <c r="AO28" s="231">
        <f t="shared" si="123"/>
        <v>414441.65249812242</v>
      </c>
      <c r="AP28" s="231">
        <f t="shared" si="123"/>
        <v>385212.85670805379</v>
      </c>
      <c r="AQ28" s="231">
        <f t="shared" si="123"/>
        <v>389763.3151621056</v>
      </c>
      <c r="AR28" s="231">
        <f t="shared" si="123"/>
        <v>448770.9634773811</v>
      </c>
      <c r="AS28" s="231">
        <f t="shared" si="123"/>
        <v>1105748.5492479082</v>
      </c>
      <c r="AT28" s="231">
        <f t="shared" si="123"/>
        <v>2008091.1598674986</v>
      </c>
      <c r="AU28" s="231">
        <f t="shared" si="123"/>
        <v>2968146.4160818616</v>
      </c>
      <c r="AV28" s="231">
        <f t="shared" si="123"/>
        <v>3388012.7492137272</v>
      </c>
      <c r="AW28" s="231">
        <f t="shared" si="123"/>
        <v>2690411.5016745916</v>
      </c>
      <c r="AX28" s="231">
        <f t="shared" si="123"/>
        <v>2327368.6338544041</v>
      </c>
      <c r="AY28" s="231">
        <f t="shared" si="123"/>
        <v>1110087.594270986</v>
      </c>
      <c r="AZ28" s="231">
        <f t="shared" si="123"/>
        <v>616815.90393662394</v>
      </c>
      <c r="BA28" s="231">
        <f t="shared" si="123"/>
        <v>414891.59903832385</v>
      </c>
      <c r="BB28" s="231">
        <f t="shared" si="123"/>
        <v>385657.58488083782</v>
      </c>
      <c r="BC28" s="231">
        <f t="shared" si="123"/>
        <v>390208.05806152587</v>
      </c>
      <c r="BD28" s="231">
        <f t="shared" si="123"/>
        <v>449338.00919551583</v>
      </c>
      <c r="BE28" s="231">
        <f t="shared" si="123"/>
        <v>1107436.4403472131</v>
      </c>
      <c r="BF28" s="231">
        <f t="shared" si="123"/>
        <v>2011360.9569228499</v>
      </c>
      <c r="BG28" s="231">
        <f t="shared" si="123"/>
        <v>2972829.0459514335</v>
      </c>
      <c r="BH28" s="231">
        <f t="shared" si="123"/>
        <v>3393340.5395909166</v>
      </c>
      <c r="BI28" s="231">
        <f t="shared" si="123"/>
        <v>2695093.2202741979</v>
      </c>
      <c r="BJ28" s="231">
        <f t="shared" si="123"/>
        <v>2330485.4826359199</v>
      </c>
      <c r="BK28" s="231">
        <f t="shared" si="123"/>
        <v>1111675.166794959</v>
      </c>
      <c r="BL28" s="231">
        <f t="shared" si="123"/>
        <v>617594.15267644753</v>
      </c>
      <c r="BM28" s="231">
        <f t="shared" si="123"/>
        <v>415341.53888509737</v>
      </c>
      <c r="BN28" s="231">
        <f t="shared" si="123"/>
        <v>386102.30657992343</v>
      </c>
      <c r="BO28" s="231">
        <f t="shared" si="123"/>
        <v>390652.79451367917</v>
      </c>
      <c r="BP28" s="231">
        <f t="shared" si="123"/>
        <v>449903.8003373135</v>
      </c>
      <c r="BQ28" s="231">
        <f t="shared" si="123"/>
        <v>1109124.5722367812</v>
      </c>
      <c r="BR28" s="231">
        <f t="shared" si="123"/>
        <v>2014629.2494157031</v>
      </c>
      <c r="BS28" s="231">
        <f t="shared" si="123"/>
        <v>2977509.4353165752</v>
      </c>
      <c r="BT28" s="231">
        <f t="shared" si="123"/>
        <v>3398666.7889434211</v>
      </c>
      <c r="BU28" s="231">
        <f t="shared" si="123"/>
        <v>2699772.9368475405</v>
      </c>
      <c r="BV28" s="231">
        <f t="shared" si="123"/>
        <v>2333601.6917087655</v>
      </c>
      <c r="BW28" s="231">
        <f t="shared" si="123"/>
        <v>1113261.9899388195</v>
      </c>
      <c r="BX28" s="231">
        <f t="shared" si="123"/>
        <v>618372.04661334585</v>
      </c>
      <c r="BY28" s="231">
        <f t="shared" si="123"/>
        <v>415791.28140372847</v>
      </c>
      <c r="BZ28" s="231">
        <f t="shared" si="123"/>
        <v>386546.83587044192</v>
      </c>
      <c r="CA28" s="231">
        <f t="shared" si="123"/>
        <v>391098.35150020354</v>
      </c>
      <c r="CB28" s="231">
        <f t="shared" ref="CB28:CD28" si="124">SUM(CB10-CB24)</f>
        <v>449903.8003373135</v>
      </c>
      <c r="CC28" s="231">
        <f t="shared" si="124"/>
        <v>1109124.5722367812</v>
      </c>
      <c r="CD28" s="231">
        <f t="shared" si="124"/>
        <v>2014629.2494157031</v>
      </c>
      <c r="CE28" s="231"/>
      <c r="CF28" s="227"/>
      <c r="CG28" s="227"/>
      <c r="CH28" s="227"/>
      <c r="CI28" s="227"/>
      <c r="CJ28" s="227"/>
    </row>
    <row r="29" spans="1:91" x14ac:dyDescent="0.2">
      <c r="H29" s="225"/>
      <c r="I29" s="225"/>
      <c r="J29" s="225"/>
      <c r="K29" s="225"/>
      <c r="L29" s="225"/>
      <c r="M29" s="225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</row>
    <row r="30" spans="1:91" x14ac:dyDescent="0.2">
      <c r="H30" s="225"/>
      <c r="I30" s="225"/>
      <c r="J30" s="225"/>
      <c r="K30" s="225"/>
      <c r="L30" s="225"/>
      <c r="M30" s="225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</row>
    <row r="31" spans="1:91" x14ac:dyDescent="0.2">
      <c r="A31" s="225" t="s">
        <v>432</v>
      </c>
      <c r="H31" s="225"/>
      <c r="I31" s="225"/>
      <c r="J31" s="225"/>
      <c r="K31" s="225"/>
      <c r="L31" s="225"/>
      <c r="M31" s="225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</row>
    <row r="32" spans="1:91" customFormat="1" x14ac:dyDescent="0.2">
      <c r="A32" s="225"/>
      <c r="B32" s="225" t="s">
        <v>433</v>
      </c>
      <c r="C32" s="225"/>
      <c r="D32" s="225"/>
      <c r="E32" s="225"/>
      <c r="F32" s="225"/>
      <c r="G32" s="225"/>
      <c r="H32" s="608"/>
      <c r="I32" s="608"/>
      <c r="J32" s="660">
        <f>[11]Sheet1!$D$6</f>
        <v>4.1660000000000004</v>
      </c>
      <c r="K32" s="660">
        <f>[11]Sheet1!$D$7</f>
        <v>4.3099999999999996</v>
      </c>
      <c r="L32" s="660">
        <f>[11]Sheet1!$D$8</f>
        <v>4.4050000000000002</v>
      </c>
      <c r="M32" s="660">
        <f>[11]Sheet1!$D$9</f>
        <v>4.3630000000000004</v>
      </c>
      <c r="N32" s="660">
        <f>[11]Sheet1!$D$10</f>
        <v>4.3150000000000004</v>
      </c>
      <c r="O32" s="608"/>
      <c r="P32" s="608"/>
      <c r="Q32" s="608"/>
      <c r="R32" s="608"/>
      <c r="S32" s="608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608"/>
      <c r="AI32" s="608"/>
      <c r="AJ32" s="608"/>
      <c r="AK32" s="608"/>
      <c r="AL32" s="608"/>
      <c r="AM32" s="608"/>
      <c r="AN32" s="608"/>
      <c r="AO32" s="608"/>
      <c r="AP32" s="608"/>
      <c r="AQ32" s="608"/>
      <c r="AR32" s="608"/>
      <c r="AS32" s="608"/>
      <c r="AT32" s="608"/>
      <c r="AU32" s="608"/>
      <c r="AV32" s="608"/>
      <c r="AW32" s="608"/>
      <c r="AX32" s="608"/>
      <c r="AY32" s="608"/>
      <c r="AZ32" s="608"/>
      <c r="BA32" s="608"/>
      <c r="BB32" s="608"/>
      <c r="BC32" s="608"/>
      <c r="BD32" s="608"/>
      <c r="BE32" s="608"/>
      <c r="BF32" s="608"/>
      <c r="BG32" s="608"/>
      <c r="BH32" s="608"/>
      <c r="BI32" s="608"/>
      <c r="BJ32" s="608"/>
      <c r="BK32" s="608"/>
      <c r="BL32" s="608"/>
      <c r="BM32" s="608"/>
      <c r="BN32" s="608"/>
      <c r="BO32" s="608"/>
      <c r="BP32" s="608"/>
      <c r="BQ32" s="608"/>
      <c r="BR32" s="608"/>
      <c r="BS32" s="608"/>
      <c r="BT32" s="608"/>
      <c r="BU32" s="608"/>
      <c r="BV32" s="608"/>
      <c r="BW32" s="608"/>
      <c r="BX32" s="608"/>
      <c r="BY32" s="608"/>
      <c r="BZ32" s="608"/>
      <c r="CA32" s="608"/>
      <c r="CB32" s="608"/>
      <c r="CC32" s="608"/>
      <c r="CD32" s="608"/>
      <c r="CE32" s="608"/>
    </row>
    <row r="33" spans="1:88" ht="13.5" thickBot="1" x14ac:dyDescent="0.25">
      <c r="D33" s="608"/>
      <c r="E33" s="608"/>
      <c r="F33" s="608"/>
      <c r="G33" s="608"/>
      <c r="H33" s="225"/>
      <c r="I33" s="225"/>
      <c r="J33" s="225"/>
      <c r="K33" s="225"/>
      <c r="L33" s="225"/>
      <c r="M33" s="225"/>
      <c r="N33" s="231"/>
      <c r="O33" s="23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661"/>
      <c r="AB33" s="661"/>
      <c r="AC33" s="661"/>
      <c r="AD33" s="661"/>
      <c r="AE33" s="661"/>
      <c r="AF33" s="661"/>
      <c r="AG33" s="661"/>
      <c r="AH33" s="661"/>
      <c r="AI33" s="661"/>
      <c r="AJ33" s="661"/>
      <c r="AK33" s="661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</row>
    <row r="34" spans="1:88" customFormat="1" ht="13.5" thickBot="1" x14ac:dyDescent="0.25">
      <c r="A34" s="225"/>
      <c r="B34" s="225" t="s">
        <v>434</v>
      </c>
      <c r="C34" s="662">
        <v>2.59</v>
      </c>
      <c r="D34" s="662">
        <v>2.5169999999999999</v>
      </c>
      <c r="E34" s="662">
        <v>2.8149999999999999</v>
      </c>
      <c r="F34" s="662">
        <v>2.7730000000000001</v>
      </c>
      <c r="G34" s="662">
        <v>2.8860000000000001</v>
      </c>
      <c r="H34" s="662">
        <v>2.6379999999999999</v>
      </c>
      <c r="I34" s="662">
        <v>2.5630000000000002</v>
      </c>
      <c r="J34" s="662">
        <v>2.0329999999999999</v>
      </c>
      <c r="K34" s="662">
        <f>[12]Sheet1!G4</f>
        <v>2.262</v>
      </c>
      <c r="L34" s="662">
        <f>[12]Sheet1!H4</f>
        <v>2.4449999999999998</v>
      </c>
      <c r="M34" s="662">
        <f>[12]Sheet1!I4</f>
        <v>2.4689999999999999</v>
      </c>
      <c r="N34" s="662">
        <f>[12]Sheet1!J4</f>
        <v>2.46</v>
      </c>
      <c r="O34" s="662">
        <f>[12]Sheet1!K4</f>
        <v>2.4249999999999998</v>
      </c>
      <c r="P34" s="662">
        <f>[12]Sheet1!L4</f>
        <v>2.4580000000000002</v>
      </c>
      <c r="Q34" s="662">
        <f>[12]Sheet1!M4</f>
        <v>2.5070000000000001</v>
      </c>
      <c r="R34" s="662">
        <f>[12]Sheet1!N4</f>
        <v>2.5579999999999998</v>
      </c>
      <c r="S34" s="662">
        <f>[12]Sheet1!O4</f>
        <v>2.5739999999999998</v>
      </c>
      <c r="T34" s="662">
        <f>[12]Sheet1!P4</f>
        <v>2.5760000000000001</v>
      </c>
      <c r="U34" s="662">
        <f>[12]Sheet1!Q4</f>
        <v>2.6019999999999999</v>
      </c>
      <c r="V34" s="662">
        <f>[12]Sheet1!R4</f>
        <v>2.6909999999999998</v>
      </c>
      <c r="W34" s="662">
        <f>[12]Sheet1!S4</f>
        <v>2.85</v>
      </c>
      <c r="X34" s="662">
        <f>[12]Sheet1!T4</f>
        <v>2.9580000000000002</v>
      </c>
      <c r="Y34" s="662">
        <f>[12]Sheet1!U4</f>
        <v>2.9510000000000001</v>
      </c>
      <c r="Z34" s="662">
        <f>[12]Sheet1!V4</f>
        <v>2.9009999999999998</v>
      </c>
      <c r="AA34" s="662">
        <f>[12]Sheet1!W4</f>
        <v>2.7120000000000002</v>
      </c>
      <c r="AB34" s="662">
        <f>[12]Sheet1!X4</f>
        <v>2.7120000000000002</v>
      </c>
      <c r="AC34" s="662">
        <f>[12]Sheet1!Y4</f>
        <v>2.754</v>
      </c>
      <c r="AD34" s="662">
        <f>[12]Sheet1!Z4</f>
        <v>2.8</v>
      </c>
      <c r="AE34" s="662">
        <f>[12]Sheet1!AA4</f>
        <v>2.8149999999999999</v>
      </c>
      <c r="AF34" s="662">
        <f>[12]Sheet1!AB4</f>
        <v>2.81</v>
      </c>
      <c r="AG34" s="662">
        <f>[12]Sheet1!AC4</f>
        <v>2.835</v>
      </c>
      <c r="AH34" s="662">
        <f>[12]Sheet1!AD4</f>
        <v>2.919</v>
      </c>
      <c r="AI34" s="662">
        <f>[12]Sheet1!AE4</f>
        <v>3.069</v>
      </c>
      <c r="AJ34" s="662">
        <f>[12]Sheet1!AF4</f>
        <v>3.1640000000000001</v>
      </c>
      <c r="AK34" s="662">
        <f>[12]Sheet1!AG4</f>
        <v>3.1509999999999998</v>
      </c>
      <c r="AL34" s="662">
        <f>[12]Sheet1!AH4</f>
        <v>3.0920000000000001</v>
      </c>
      <c r="AM34" s="662">
        <f>[12]Sheet1!AI4</f>
        <v>2.8069999999999999</v>
      </c>
      <c r="AN34" s="662">
        <f>[12]Sheet1!AJ4</f>
        <v>2.8039999999999998</v>
      </c>
      <c r="AO34" s="662">
        <f>[12]Sheet1!AK4</f>
        <v>2.8359999999999999</v>
      </c>
      <c r="AP34" s="662">
        <f>[12]Sheet1!AL4</f>
        <v>2.871</v>
      </c>
      <c r="AQ34" s="662">
        <f>[12]Sheet1!AM4</f>
        <v>2.8839999999999999</v>
      </c>
      <c r="AR34" s="662">
        <f>[12]Sheet1!AN4</f>
        <v>2.879</v>
      </c>
      <c r="AS34" s="662">
        <f>[12]Sheet1!AO4</f>
        <v>2.9049999999999998</v>
      </c>
      <c r="AT34" s="662">
        <f>[12]Sheet1!AP4</f>
        <v>2.9849999999999999</v>
      </c>
      <c r="AU34" s="662">
        <f>[12]Sheet1!AQ4</f>
        <v>3.14</v>
      </c>
      <c r="AV34" s="662">
        <f>[12]Sheet1!AR4</f>
        <v>3.2519999999999998</v>
      </c>
      <c r="AW34" s="662">
        <f>[12]Sheet1!AS4</f>
        <v>3.2389999999999999</v>
      </c>
      <c r="AX34" s="662">
        <f>[12]Sheet1!AT4</f>
        <v>3.18</v>
      </c>
      <c r="AY34" s="662">
        <f>[12]Sheet1!AU4</f>
        <v>2.895</v>
      </c>
      <c r="AZ34" s="662">
        <f>[12]Sheet1!AV4</f>
        <v>2.891</v>
      </c>
      <c r="BA34" s="662">
        <f>[12]Sheet1!AW4</f>
        <v>2.923</v>
      </c>
      <c r="BB34" s="662">
        <f>[12]Sheet1!AX4</f>
        <v>2.9580000000000002</v>
      </c>
      <c r="BC34" s="662">
        <f>[12]Sheet1!AY4</f>
        <v>2.9729999999999999</v>
      </c>
      <c r="BD34" s="662">
        <f>[12]Sheet1!AZ4</f>
        <v>2.968</v>
      </c>
      <c r="BE34" s="662">
        <f>[12]Sheet1!BA4</f>
        <v>2.996</v>
      </c>
      <c r="BF34" s="662">
        <f>[12]Sheet1!BB4</f>
        <v>3.0760000000000001</v>
      </c>
      <c r="BG34" s="662">
        <f>[12]Sheet1!BC4</f>
        <v>3.246</v>
      </c>
      <c r="BH34" s="662">
        <f>[12]Sheet1!BD4</f>
        <v>3.371</v>
      </c>
      <c r="BI34" s="662">
        <f>[12]Sheet1!BE4</f>
        <v>3.3559999999999999</v>
      </c>
      <c r="BJ34" s="662">
        <f>[12]Sheet1!BF4</f>
        <v>3.2959999999999998</v>
      </c>
      <c r="BK34" s="662">
        <f>[12]Sheet1!BG4</f>
        <v>3.016</v>
      </c>
      <c r="BL34" s="662">
        <f>[12]Sheet1!BH4</f>
        <v>3.012</v>
      </c>
      <c r="BM34" s="662">
        <f>[12]Sheet1!BI4</f>
        <v>3.0419999999999998</v>
      </c>
      <c r="BN34" s="662">
        <f>[12]Sheet1!BJ4</f>
        <v>3.0739999999999998</v>
      </c>
      <c r="BO34" s="662">
        <f>[12]Sheet1!BK4</f>
        <v>3.0979999999999999</v>
      </c>
      <c r="BP34" s="662">
        <f>[12]Sheet1!BL4</f>
        <v>3.0939999999999999</v>
      </c>
      <c r="BQ34" s="662">
        <f>[12]Sheet1!BM4</f>
        <v>3.1259999999999999</v>
      </c>
      <c r="BR34" s="662">
        <f>[12]Sheet1!BN4</f>
        <v>3.206</v>
      </c>
      <c r="BS34" s="662">
        <f>[12]Sheet1!BO4</f>
        <v>3.3809999999999998</v>
      </c>
      <c r="BT34" s="662">
        <f>[12]Sheet1!BP4</f>
        <v>3.5089999999999999</v>
      </c>
      <c r="BU34" s="662">
        <f>[12]Sheet1!BQ4</f>
        <v>3.4940000000000002</v>
      </c>
      <c r="BV34" s="662">
        <f>[12]Sheet1!BR4</f>
        <v>3.4340000000000002</v>
      </c>
      <c r="BW34" s="662">
        <f>[12]Sheet1!BS4</f>
        <v>3.1589999999999998</v>
      </c>
      <c r="BX34" s="662">
        <f>[12]Sheet1!BT4</f>
        <v>3.1539999999999999</v>
      </c>
      <c r="BY34" s="662">
        <f>[12]Sheet1!BU4</f>
        <v>3.1840000000000002</v>
      </c>
      <c r="BZ34" s="662">
        <f>[12]Sheet1!BV4</f>
        <v>3.2210000000000001</v>
      </c>
      <c r="CA34" s="662">
        <f>[12]Sheet1!BW4</f>
        <v>3.2509999999999999</v>
      </c>
      <c r="CB34" s="662">
        <f>[12]Sheet1!BX4</f>
        <v>3.2480000000000002</v>
      </c>
      <c r="CC34" s="662">
        <f>[12]Sheet1!BY4</f>
        <v>3.2839999999999998</v>
      </c>
      <c r="CD34" s="662">
        <f>[12]Sheet1!BZ4</f>
        <v>3.3639999999999999</v>
      </c>
      <c r="CE34" s="608"/>
    </row>
    <row r="35" spans="1:88" ht="13.5" thickBot="1" x14ac:dyDescent="0.25">
      <c r="A35" s="663">
        <f>[7]B.7!$M$20</f>
        <v>2.3199999999999998E-2</v>
      </c>
      <c r="B35" s="225" t="s">
        <v>548</v>
      </c>
      <c r="C35" s="232">
        <f t="shared" ref="C35:G35" si="125">+((1/(1-$A$35))-1)*C34</f>
        <v>6.1515151515151301E-2</v>
      </c>
      <c r="D35" s="232">
        <f t="shared" si="125"/>
        <v>5.9781326781326576E-2</v>
      </c>
      <c r="E35" s="232">
        <f t="shared" si="125"/>
        <v>6.6859131859131629E-2</v>
      </c>
      <c r="F35" s="232">
        <f t="shared" si="125"/>
        <v>6.5861588861588646E-2</v>
      </c>
      <c r="G35" s="232">
        <f t="shared" si="125"/>
        <v>6.8545454545454312E-2</v>
      </c>
      <c r="H35" s="232">
        <f>+((1/(1-$A$35))-1)*H34</f>
        <v>6.2655200655200444E-2</v>
      </c>
      <c r="I35" s="232">
        <f t="shared" ref="I35:BT35" si="126">+((1/(1-$A$35))-1)*I34</f>
        <v>6.087387387387367E-2</v>
      </c>
      <c r="J35" s="232">
        <f t="shared" si="126"/>
        <v>4.8285831285831117E-2</v>
      </c>
      <c r="K35" s="232">
        <f t="shared" si="126"/>
        <v>5.3724815724815543E-2</v>
      </c>
      <c r="L35" s="232">
        <f t="shared" si="126"/>
        <v>5.8071253071252868E-2</v>
      </c>
      <c r="M35" s="232">
        <f t="shared" si="126"/>
        <v>5.8641277641277439E-2</v>
      </c>
      <c r="N35" s="232">
        <f t="shared" si="126"/>
        <v>5.8427518427518227E-2</v>
      </c>
      <c r="O35" s="232">
        <f t="shared" si="126"/>
        <v>5.7596232596232394E-2</v>
      </c>
      <c r="P35" s="232">
        <f t="shared" si="126"/>
        <v>5.8380016380016185E-2</v>
      </c>
      <c r="Q35" s="232">
        <f t="shared" si="126"/>
        <v>5.9543816543816346E-2</v>
      </c>
      <c r="R35" s="232">
        <f t="shared" si="126"/>
        <v>6.0755118755118541E-2</v>
      </c>
      <c r="S35" s="232">
        <f t="shared" si="126"/>
        <v>6.1135135135134924E-2</v>
      </c>
      <c r="T35" s="232">
        <f t="shared" si="126"/>
        <v>6.1182637182636973E-2</v>
      </c>
      <c r="U35" s="232">
        <f t="shared" si="126"/>
        <v>6.1800163800163586E-2</v>
      </c>
      <c r="V35" s="232">
        <f t="shared" si="126"/>
        <v>6.3914004914004688E-2</v>
      </c>
      <c r="W35" s="232">
        <f t="shared" si="126"/>
        <v>6.7690417690417462E-2</v>
      </c>
      <c r="X35" s="232">
        <f t="shared" si="126"/>
        <v>7.0255528255528027E-2</v>
      </c>
      <c r="Y35" s="232">
        <f t="shared" si="126"/>
        <v>7.0089271089270849E-2</v>
      </c>
      <c r="Z35" s="232">
        <f t="shared" si="126"/>
        <v>6.8901719901719657E-2</v>
      </c>
      <c r="AA35" s="232">
        <f t="shared" si="126"/>
        <v>6.4412776412776193E-2</v>
      </c>
      <c r="AB35" s="232">
        <f t="shared" si="126"/>
        <v>6.4412776412776193E-2</v>
      </c>
      <c r="AC35" s="232">
        <f t="shared" si="126"/>
        <v>6.541031941031919E-2</v>
      </c>
      <c r="AD35" s="232">
        <f t="shared" si="126"/>
        <v>6.650286650286627E-2</v>
      </c>
      <c r="AE35" s="232">
        <f t="shared" si="126"/>
        <v>6.6859131859131629E-2</v>
      </c>
      <c r="AF35" s="232">
        <f t="shared" si="126"/>
        <v>6.6740376740376514E-2</v>
      </c>
      <c r="AG35" s="232">
        <f t="shared" si="126"/>
        <v>6.7334152334152103E-2</v>
      </c>
      <c r="AH35" s="232">
        <f t="shared" si="126"/>
        <v>6.9329238329238096E-2</v>
      </c>
      <c r="AI35" s="232">
        <f t="shared" si="126"/>
        <v>7.2891891891891644E-2</v>
      </c>
      <c r="AJ35" s="232">
        <f t="shared" si="126"/>
        <v>7.5148239148238899E-2</v>
      </c>
      <c r="AK35" s="232">
        <f t="shared" si="126"/>
        <v>7.4839475839475575E-2</v>
      </c>
      <c r="AL35" s="232">
        <f t="shared" si="126"/>
        <v>7.3438165438165184E-2</v>
      </c>
      <c r="AM35" s="232">
        <f t="shared" si="126"/>
        <v>6.6669123669123434E-2</v>
      </c>
      <c r="AN35" s="232">
        <f t="shared" si="126"/>
        <v>6.6597870597870368E-2</v>
      </c>
      <c r="AO35" s="232">
        <f t="shared" si="126"/>
        <v>6.7357903357903121E-2</v>
      </c>
      <c r="AP35" s="232">
        <f t="shared" si="126"/>
        <v>6.8189189189188953E-2</v>
      </c>
      <c r="AQ35" s="232">
        <f t="shared" si="126"/>
        <v>6.8497952497952264E-2</v>
      </c>
      <c r="AR35" s="232">
        <f t="shared" si="126"/>
        <v>6.8379197379197149E-2</v>
      </c>
      <c r="AS35" s="232">
        <f t="shared" si="126"/>
        <v>6.8996723996723755E-2</v>
      </c>
      <c r="AT35" s="232">
        <f t="shared" si="126"/>
        <v>7.0896805896805651E-2</v>
      </c>
      <c r="AU35" s="232">
        <f t="shared" si="126"/>
        <v>7.4578214578214327E-2</v>
      </c>
      <c r="AV35" s="232">
        <f t="shared" si="126"/>
        <v>7.7238329238328976E-2</v>
      </c>
      <c r="AW35" s="232">
        <f t="shared" si="126"/>
        <v>7.6929565929565666E-2</v>
      </c>
      <c r="AX35" s="232">
        <f t="shared" si="126"/>
        <v>7.5528255528255275E-2</v>
      </c>
      <c r="AY35" s="232">
        <f t="shared" si="126"/>
        <v>6.8759213759213525E-2</v>
      </c>
      <c r="AZ35" s="232">
        <f t="shared" si="126"/>
        <v>6.8664209664209427E-2</v>
      </c>
      <c r="BA35" s="232">
        <f t="shared" si="126"/>
        <v>6.9424242424242194E-2</v>
      </c>
      <c r="BB35" s="232">
        <f t="shared" si="126"/>
        <v>7.0255528255528027E-2</v>
      </c>
      <c r="BC35" s="232">
        <f t="shared" si="126"/>
        <v>7.0611793611793372E-2</v>
      </c>
      <c r="BD35" s="232">
        <f t="shared" si="126"/>
        <v>7.0493038493038257E-2</v>
      </c>
      <c r="BE35" s="232">
        <f t="shared" si="126"/>
        <v>7.1158067158066912E-2</v>
      </c>
      <c r="BF35" s="232">
        <f t="shared" si="126"/>
        <v>7.3058149058148808E-2</v>
      </c>
      <c r="BG35" s="232">
        <f t="shared" si="126"/>
        <v>7.709582309582283E-2</v>
      </c>
      <c r="BH35" s="232">
        <f t="shared" si="126"/>
        <v>8.0064701064700788E-2</v>
      </c>
      <c r="BI35" s="232">
        <f t="shared" si="126"/>
        <v>7.9708435708435429E-2</v>
      </c>
      <c r="BJ35" s="232">
        <f t="shared" si="126"/>
        <v>7.8283374283374008E-2</v>
      </c>
      <c r="BK35" s="232">
        <f t="shared" si="126"/>
        <v>7.1633087633087386E-2</v>
      </c>
      <c r="BL35" s="232">
        <f t="shared" si="126"/>
        <v>7.1538083538083289E-2</v>
      </c>
      <c r="BM35" s="232">
        <f t="shared" si="126"/>
        <v>7.2250614250613993E-2</v>
      </c>
      <c r="BN35" s="232">
        <f t="shared" si="126"/>
        <v>7.3010647010646759E-2</v>
      </c>
      <c r="BO35" s="232">
        <f t="shared" si="126"/>
        <v>7.3580671580671331E-2</v>
      </c>
      <c r="BP35" s="232">
        <f t="shared" si="126"/>
        <v>7.3485667485667233E-2</v>
      </c>
      <c r="BQ35" s="232">
        <f t="shared" si="126"/>
        <v>7.4245700245699986E-2</v>
      </c>
      <c r="BR35" s="232">
        <f t="shared" si="126"/>
        <v>7.6145782145781882E-2</v>
      </c>
      <c r="BS35" s="232">
        <f t="shared" si="126"/>
        <v>8.0302211302211018E-2</v>
      </c>
      <c r="BT35" s="232">
        <f t="shared" si="126"/>
        <v>8.3342342342342057E-2</v>
      </c>
      <c r="BU35" s="232">
        <f t="shared" ref="BU35:CD35" si="127">+((1/(1-$A$35))-1)*BU34</f>
        <v>8.2986076986076712E-2</v>
      </c>
      <c r="BV35" s="232">
        <f t="shared" si="127"/>
        <v>8.156101556101529E-2</v>
      </c>
      <c r="BW35" s="232">
        <f t="shared" si="127"/>
        <v>7.502948402948377E-2</v>
      </c>
      <c r="BX35" s="232">
        <f t="shared" si="127"/>
        <v>7.4910728910728655E-2</v>
      </c>
      <c r="BY35" s="232">
        <f t="shared" si="127"/>
        <v>7.5623259623259373E-2</v>
      </c>
      <c r="BZ35" s="232">
        <f t="shared" si="127"/>
        <v>7.6502047502047241E-2</v>
      </c>
      <c r="CA35" s="232">
        <f t="shared" si="127"/>
        <v>7.7214578214577945E-2</v>
      </c>
      <c r="CB35" s="232">
        <f t="shared" si="127"/>
        <v>7.7143325143324878E-2</v>
      </c>
      <c r="CC35" s="232">
        <f t="shared" si="127"/>
        <v>7.7998361998361729E-2</v>
      </c>
      <c r="CD35" s="232">
        <f t="shared" si="127"/>
        <v>7.9898443898443625E-2</v>
      </c>
      <c r="CE35" s="232"/>
      <c r="CF35" s="223"/>
      <c r="CG35" s="223"/>
      <c r="CH35" s="223"/>
      <c r="CI35" s="223"/>
      <c r="CJ35" s="223"/>
    </row>
    <row r="36" spans="1:88" ht="13.5" thickBot="1" x14ac:dyDescent="0.25">
      <c r="B36" s="225" t="s">
        <v>435</v>
      </c>
      <c r="C36" s="664">
        <f>AVERAGE([7]B.3!$H$19+[7]B.3!$H$20,[7]B.3!$H$13)</f>
        <v>4.7450000000000006E-2</v>
      </c>
      <c r="D36" s="664">
        <f>AVERAGE([7]B.3!$H$19+[7]B.3!$H$20,[7]B.3!$H$13)</f>
        <v>4.7450000000000006E-2</v>
      </c>
      <c r="E36" s="664">
        <f>AVERAGE([7]B.3!$H$19+[7]B.3!$H$20,[7]B.3!$H$13)</f>
        <v>4.7450000000000006E-2</v>
      </c>
      <c r="F36" s="664">
        <f>AVERAGE([7]B.3!$H$19+[7]B.3!$H$20,[7]B.3!$H$13)</f>
        <v>4.7450000000000006E-2</v>
      </c>
      <c r="G36" s="664">
        <f>AVERAGE([7]B.3!$H$19+[7]B.3!$H$20,[7]B.3!$H$13)</f>
        <v>4.7450000000000006E-2</v>
      </c>
      <c r="H36" s="664">
        <f>AVERAGE([7]B.3!$H$19+[7]B.3!$H$20,[7]B.3!$H$13)</f>
        <v>4.7450000000000006E-2</v>
      </c>
      <c r="I36" s="232">
        <f>+H36</f>
        <v>4.7450000000000006E-2</v>
      </c>
      <c r="J36" s="232">
        <f t="shared" ref="J36:BU36" si="128">+I36</f>
        <v>4.7450000000000006E-2</v>
      </c>
      <c r="K36" s="232">
        <f t="shared" si="128"/>
        <v>4.7450000000000006E-2</v>
      </c>
      <c r="L36" s="232">
        <f t="shared" si="128"/>
        <v>4.7450000000000006E-2</v>
      </c>
      <c r="M36" s="232">
        <f t="shared" si="128"/>
        <v>4.7450000000000006E-2</v>
      </c>
      <c r="N36" s="232">
        <f t="shared" si="128"/>
        <v>4.7450000000000006E-2</v>
      </c>
      <c r="O36" s="232">
        <f t="shared" si="128"/>
        <v>4.7450000000000006E-2</v>
      </c>
      <c r="P36" s="232">
        <f t="shared" si="128"/>
        <v>4.7450000000000006E-2</v>
      </c>
      <c r="Q36" s="232">
        <f t="shared" si="128"/>
        <v>4.7450000000000006E-2</v>
      </c>
      <c r="R36" s="232">
        <f t="shared" si="128"/>
        <v>4.7450000000000006E-2</v>
      </c>
      <c r="S36" s="232">
        <f t="shared" si="128"/>
        <v>4.7450000000000006E-2</v>
      </c>
      <c r="T36" s="232">
        <f t="shared" si="128"/>
        <v>4.7450000000000006E-2</v>
      </c>
      <c r="U36" s="232">
        <f t="shared" si="128"/>
        <v>4.7450000000000006E-2</v>
      </c>
      <c r="V36" s="232">
        <f t="shared" si="128"/>
        <v>4.7450000000000006E-2</v>
      </c>
      <c r="W36" s="232">
        <f t="shared" si="128"/>
        <v>4.7450000000000006E-2</v>
      </c>
      <c r="X36" s="232">
        <f t="shared" si="128"/>
        <v>4.7450000000000006E-2</v>
      </c>
      <c r="Y36" s="232">
        <f t="shared" si="128"/>
        <v>4.7450000000000006E-2</v>
      </c>
      <c r="Z36" s="232">
        <f t="shared" si="128"/>
        <v>4.7450000000000006E-2</v>
      </c>
      <c r="AA36" s="232">
        <f t="shared" si="128"/>
        <v>4.7450000000000006E-2</v>
      </c>
      <c r="AB36" s="232">
        <f t="shared" si="128"/>
        <v>4.7450000000000006E-2</v>
      </c>
      <c r="AC36" s="232">
        <f t="shared" si="128"/>
        <v>4.7450000000000006E-2</v>
      </c>
      <c r="AD36" s="232">
        <f t="shared" si="128"/>
        <v>4.7450000000000006E-2</v>
      </c>
      <c r="AE36" s="232">
        <f t="shared" si="128"/>
        <v>4.7450000000000006E-2</v>
      </c>
      <c r="AF36" s="232">
        <f t="shared" si="128"/>
        <v>4.7450000000000006E-2</v>
      </c>
      <c r="AG36" s="232">
        <f t="shared" si="128"/>
        <v>4.7450000000000006E-2</v>
      </c>
      <c r="AH36" s="232">
        <f t="shared" si="128"/>
        <v>4.7450000000000006E-2</v>
      </c>
      <c r="AI36" s="232">
        <f t="shared" si="128"/>
        <v>4.7450000000000006E-2</v>
      </c>
      <c r="AJ36" s="232">
        <f t="shared" si="128"/>
        <v>4.7450000000000006E-2</v>
      </c>
      <c r="AK36" s="232">
        <f t="shared" si="128"/>
        <v>4.7450000000000006E-2</v>
      </c>
      <c r="AL36" s="232">
        <f t="shared" si="128"/>
        <v>4.7450000000000006E-2</v>
      </c>
      <c r="AM36" s="232">
        <f t="shared" si="128"/>
        <v>4.7450000000000006E-2</v>
      </c>
      <c r="AN36" s="232">
        <f t="shared" si="128"/>
        <v>4.7450000000000006E-2</v>
      </c>
      <c r="AO36" s="232">
        <f t="shared" si="128"/>
        <v>4.7450000000000006E-2</v>
      </c>
      <c r="AP36" s="232">
        <f t="shared" si="128"/>
        <v>4.7450000000000006E-2</v>
      </c>
      <c r="AQ36" s="232">
        <f t="shared" si="128"/>
        <v>4.7450000000000006E-2</v>
      </c>
      <c r="AR36" s="232">
        <f t="shared" si="128"/>
        <v>4.7450000000000006E-2</v>
      </c>
      <c r="AS36" s="232">
        <f t="shared" si="128"/>
        <v>4.7450000000000006E-2</v>
      </c>
      <c r="AT36" s="232">
        <f t="shared" si="128"/>
        <v>4.7450000000000006E-2</v>
      </c>
      <c r="AU36" s="232">
        <f t="shared" si="128"/>
        <v>4.7450000000000006E-2</v>
      </c>
      <c r="AV36" s="232">
        <f t="shared" si="128"/>
        <v>4.7450000000000006E-2</v>
      </c>
      <c r="AW36" s="232">
        <f t="shared" si="128"/>
        <v>4.7450000000000006E-2</v>
      </c>
      <c r="AX36" s="232">
        <f t="shared" si="128"/>
        <v>4.7450000000000006E-2</v>
      </c>
      <c r="AY36" s="232">
        <f t="shared" si="128"/>
        <v>4.7450000000000006E-2</v>
      </c>
      <c r="AZ36" s="232">
        <f t="shared" si="128"/>
        <v>4.7450000000000006E-2</v>
      </c>
      <c r="BA36" s="232">
        <f t="shared" si="128"/>
        <v>4.7450000000000006E-2</v>
      </c>
      <c r="BB36" s="232">
        <f t="shared" si="128"/>
        <v>4.7450000000000006E-2</v>
      </c>
      <c r="BC36" s="232">
        <f t="shared" si="128"/>
        <v>4.7450000000000006E-2</v>
      </c>
      <c r="BD36" s="232">
        <f t="shared" si="128"/>
        <v>4.7450000000000006E-2</v>
      </c>
      <c r="BE36" s="232">
        <f t="shared" si="128"/>
        <v>4.7450000000000006E-2</v>
      </c>
      <c r="BF36" s="232">
        <f t="shared" si="128"/>
        <v>4.7450000000000006E-2</v>
      </c>
      <c r="BG36" s="232">
        <f t="shared" si="128"/>
        <v>4.7450000000000006E-2</v>
      </c>
      <c r="BH36" s="232">
        <f t="shared" si="128"/>
        <v>4.7450000000000006E-2</v>
      </c>
      <c r="BI36" s="232">
        <f t="shared" si="128"/>
        <v>4.7450000000000006E-2</v>
      </c>
      <c r="BJ36" s="232">
        <f t="shared" si="128"/>
        <v>4.7450000000000006E-2</v>
      </c>
      <c r="BK36" s="232">
        <f t="shared" si="128"/>
        <v>4.7450000000000006E-2</v>
      </c>
      <c r="BL36" s="232">
        <f t="shared" si="128"/>
        <v>4.7450000000000006E-2</v>
      </c>
      <c r="BM36" s="232">
        <f t="shared" si="128"/>
        <v>4.7450000000000006E-2</v>
      </c>
      <c r="BN36" s="232">
        <f t="shared" si="128"/>
        <v>4.7450000000000006E-2</v>
      </c>
      <c r="BO36" s="232">
        <f t="shared" si="128"/>
        <v>4.7450000000000006E-2</v>
      </c>
      <c r="BP36" s="232">
        <f t="shared" si="128"/>
        <v>4.7450000000000006E-2</v>
      </c>
      <c r="BQ36" s="232">
        <f t="shared" si="128"/>
        <v>4.7450000000000006E-2</v>
      </c>
      <c r="BR36" s="232">
        <f t="shared" si="128"/>
        <v>4.7450000000000006E-2</v>
      </c>
      <c r="BS36" s="232">
        <f t="shared" si="128"/>
        <v>4.7450000000000006E-2</v>
      </c>
      <c r="BT36" s="232">
        <f t="shared" si="128"/>
        <v>4.7450000000000006E-2</v>
      </c>
      <c r="BU36" s="232">
        <f t="shared" si="128"/>
        <v>4.7450000000000006E-2</v>
      </c>
      <c r="BV36" s="232">
        <f t="shared" ref="BV36:CA36" si="129">+BU36</f>
        <v>4.7450000000000006E-2</v>
      </c>
      <c r="BW36" s="232">
        <f t="shared" si="129"/>
        <v>4.7450000000000006E-2</v>
      </c>
      <c r="BX36" s="232">
        <f t="shared" si="129"/>
        <v>4.7450000000000006E-2</v>
      </c>
      <c r="BY36" s="232">
        <f t="shared" si="129"/>
        <v>4.7450000000000006E-2</v>
      </c>
      <c r="BZ36" s="232">
        <f t="shared" si="129"/>
        <v>4.7450000000000006E-2</v>
      </c>
      <c r="CA36" s="232">
        <f t="shared" si="129"/>
        <v>4.7450000000000006E-2</v>
      </c>
      <c r="CB36" s="232">
        <f t="shared" ref="CB36:CB38" si="130">+CA36</f>
        <v>4.7450000000000006E-2</v>
      </c>
      <c r="CC36" s="232">
        <f t="shared" ref="CC36:CC38" si="131">+CB36</f>
        <v>4.7450000000000006E-2</v>
      </c>
      <c r="CD36" s="232">
        <f t="shared" ref="CD36:CD38" si="132">+CC36</f>
        <v>4.7450000000000006E-2</v>
      </c>
      <c r="CE36" s="232"/>
      <c r="CF36" s="232"/>
      <c r="CG36" s="232"/>
      <c r="CH36" s="232"/>
      <c r="CI36" s="232"/>
      <c r="CJ36" s="232"/>
    </row>
    <row r="37" spans="1:88" ht="13.5" thickBot="1" x14ac:dyDescent="0.25">
      <c r="B37" s="225" t="s">
        <v>436</v>
      </c>
      <c r="C37" s="665">
        <f>ROUND([7]B.4!$I$20,3)</f>
        <v>0.89800000000000002</v>
      </c>
      <c r="D37" s="665">
        <f>ROUND([7]B.4!$I$20,3)</f>
        <v>0.89800000000000002</v>
      </c>
      <c r="E37" s="665">
        <f>ROUND([7]B.4!$I$20,3)</f>
        <v>0.89800000000000002</v>
      </c>
      <c r="F37" s="665">
        <f>ROUND([7]B.4!$I$20,3)</f>
        <v>0.89800000000000002</v>
      </c>
      <c r="G37" s="665">
        <f>ROUND([7]B.4!$I$20,3)</f>
        <v>0.89800000000000002</v>
      </c>
      <c r="H37" s="665">
        <f>ROUND([7]B.4!$I$20,3)</f>
        <v>0.89800000000000002</v>
      </c>
      <c r="I37" s="232">
        <f t="shared" ref="I37:BT37" si="133">+H37</f>
        <v>0.89800000000000002</v>
      </c>
      <c r="J37" s="232">
        <f t="shared" si="133"/>
        <v>0.89800000000000002</v>
      </c>
      <c r="K37" s="232">
        <f t="shared" si="133"/>
        <v>0.89800000000000002</v>
      </c>
      <c r="L37" s="232">
        <f t="shared" si="133"/>
        <v>0.89800000000000002</v>
      </c>
      <c r="M37" s="232">
        <f t="shared" si="133"/>
        <v>0.89800000000000002</v>
      </c>
      <c r="N37" s="232">
        <f t="shared" si="133"/>
        <v>0.89800000000000002</v>
      </c>
      <c r="O37" s="232">
        <f t="shared" si="133"/>
        <v>0.89800000000000002</v>
      </c>
      <c r="P37" s="232">
        <f t="shared" si="133"/>
        <v>0.89800000000000002</v>
      </c>
      <c r="Q37" s="232">
        <f t="shared" si="133"/>
        <v>0.89800000000000002</v>
      </c>
      <c r="R37" s="232">
        <f t="shared" si="133"/>
        <v>0.89800000000000002</v>
      </c>
      <c r="S37" s="232">
        <f t="shared" si="133"/>
        <v>0.89800000000000002</v>
      </c>
      <c r="T37" s="232">
        <f t="shared" si="133"/>
        <v>0.89800000000000002</v>
      </c>
      <c r="U37" s="232">
        <f t="shared" si="133"/>
        <v>0.89800000000000002</v>
      </c>
      <c r="V37" s="232">
        <f t="shared" si="133"/>
        <v>0.89800000000000002</v>
      </c>
      <c r="W37" s="232">
        <f t="shared" si="133"/>
        <v>0.89800000000000002</v>
      </c>
      <c r="X37" s="232">
        <f t="shared" si="133"/>
        <v>0.89800000000000002</v>
      </c>
      <c r="Y37" s="232">
        <f t="shared" si="133"/>
        <v>0.89800000000000002</v>
      </c>
      <c r="Z37" s="232">
        <f t="shared" si="133"/>
        <v>0.89800000000000002</v>
      </c>
      <c r="AA37" s="232">
        <f t="shared" si="133"/>
        <v>0.89800000000000002</v>
      </c>
      <c r="AB37" s="232">
        <f t="shared" si="133"/>
        <v>0.89800000000000002</v>
      </c>
      <c r="AC37" s="232">
        <f t="shared" si="133"/>
        <v>0.89800000000000002</v>
      </c>
      <c r="AD37" s="232">
        <f t="shared" si="133"/>
        <v>0.89800000000000002</v>
      </c>
      <c r="AE37" s="232">
        <f t="shared" si="133"/>
        <v>0.89800000000000002</v>
      </c>
      <c r="AF37" s="232">
        <f t="shared" si="133"/>
        <v>0.89800000000000002</v>
      </c>
      <c r="AG37" s="232">
        <f t="shared" si="133"/>
        <v>0.89800000000000002</v>
      </c>
      <c r="AH37" s="232">
        <f t="shared" si="133"/>
        <v>0.89800000000000002</v>
      </c>
      <c r="AI37" s="232">
        <f t="shared" si="133"/>
        <v>0.89800000000000002</v>
      </c>
      <c r="AJ37" s="232">
        <f t="shared" si="133"/>
        <v>0.89800000000000002</v>
      </c>
      <c r="AK37" s="232">
        <f t="shared" si="133"/>
        <v>0.89800000000000002</v>
      </c>
      <c r="AL37" s="232">
        <f t="shared" si="133"/>
        <v>0.89800000000000002</v>
      </c>
      <c r="AM37" s="232">
        <f t="shared" si="133"/>
        <v>0.89800000000000002</v>
      </c>
      <c r="AN37" s="232">
        <f t="shared" si="133"/>
        <v>0.89800000000000002</v>
      </c>
      <c r="AO37" s="232">
        <f t="shared" si="133"/>
        <v>0.89800000000000002</v>
      </c>
      <c r="AP37" s="232">
        <f t="shared" si="133"/>
        <v>0.89800000000000002</v>
      </c>
      <c r="AQ37" s="232">
        <f t="shared" si="133"/>
        <v>0.89800000000000002</v>
      </c>
      <c r="AR37" s="232">
        <f t="shared" si="133"/>
        <v>0.89800000000000002</v>
      </c>
      <c r="AS37" s="232">
        <f t="shared" si="133"/>
        <v>0.89800000000000002</v>
      </c>
      <c r="AT37" s="232">
        <f t="shared" si="133"/>
        <v>0.89800000000000002</v>
      </c>
      <c r="AU37" s="232">
        <f t="shared" si="133"/>
        <v>0.89800000000000002</v>
      </c>
      <c r="AV37" s="232">
        <f t="shared" si="133"/>
        <v>0.89800000000000002</v>
      </c>
      <c r="AW37" s="232">
        <f t="shared" si="133"/>
        <v>0.89800000000000002</v>
      </c>
      <c r="AX37" s="232">
        <f t="shared" si="133"/>
        <v>0.89800000000000002</v>
      </c>
      <c r="AY37" s="232">
        <f t="shared" si="133"/>
        <v>0.89800000000000002</v>
      </c>
      <c r="AZ37" s="232">
        <f t="shared" si="133"/>
        <v>0.89800000000000002</v>
      </c>
      <c r="BA37" s="232">
        <f t="shared" si="133"/>
        <v>0.89800000000000002</v>
      </c>
      <c r="BB37" s="232">
        <f t="shared" si="133"/>
        <v>0.89800000000000002</v>
      </c>
      <c r="BC37" s="232">
        <f t="shared" si="133"/>
        <v>0.89800000000000002</v>
      </c>
      <c r="BD37" s="232">
        <f t="shared" si="133"/>
        <v>0.89800000000000002</v>
      </c>
      <c r="BE37" s="232">
        <f t="shared" si="133"/>
        <v>0.89800000000000002</v>
      </c>
      <c r="BF37" s="232">
        <f t="shared" si="133"/>
        <v>0.89800000000000002</v>
      </c>
      <c r="BG37" s="232">
        <f t="shared" si="133"/>
        <v>0.89800000000000002</v>
      </c>
      <c r="BH37" s="232">
        <f t="shared" si="133"/>
        <v>0.89800000000000002</v>
      </c>
      <c r="BI37" s="232">
        <f t="shared" si="133"/>
        <v>0.89800000000000002</v>
      </c>
      <c r="BJ37" s="232">
        <f t="shared" si="133"/>
        <v>0.89800000000000002</v>
      </c>
      <c r="BK37" s="232">
        <f t="shared" si="133"/>
        <v>0.89800000000000002</v>
      </c>
      <c r="BL37" s="232">
        <f t="shared" si="133"/>
        <v>0.89800000000000002</v>
      </c>
      <c r="BM37" s="232">
        <f t="shared" si="133"/>
        <v>0.89800000000000002</v>
      </c>
      <c r="BN37" s="232">
        <f t="shared" si="133"/>
        <v>0.89800000000000002</v>
      </c>
      <c r="BO37" s="232">
        <f t="shared" si="133"/>
        <v>0.89800000000000002</v>
      </c>
      <c r="BP37" s="232">
        <f t="shared" si="133"/>
        <v>0.89800000000000002</v>
      </c>
      <c r="BQ37" s="232">
        <f t="shared" si="133"/>
        <v>0.89800000000000002</v>
      </c>
      <c r="BR37" s="232">
        <f t="shared" si="133"/>
        <v>0.89800000000000002</v>
      </c>
      <c r="BS37" s="232">
        <f t="shared" si="133"/>
        <v>0.89800000000000002</v>
      </c>
      <c r="BT37" s="232">
        <f t="shared" si="133"/>
        <v>0.89800000000000002</v>
      </c>
      <c r="BU37" s="232">
        <f t="shared" ref="BU37:CA37" si="134">+BT37</f>
        <v>0.89800000000000002</v>
      </c>
      <c r="BV37" s="232">
        <f t="shared" si="134"/>
        <v>0.89800000000000002</v>
      </c>
      <c r="BW37" s="232">
        <f t="shared" si="134"/>
        <v>0.89800000000000002</v>
      </c>
      <c r="BX37" s="232">
        <f t="shared" si="134"/>
        <v>0.89800000000000002</v>
      </c>
      <c r="BY37" s="232">
        <f t="shared" si="134"/>
        <v>0.89800000000000002</v>
      </c>
      <c r="BZ37" s="232">
        <f t="shared" si="134"/>
        <v>0.89800000000000002</v>
      </c>
      <c r="CA37" s="232">
        <f t="shared" si="134"/>
        <v>0.89800000000000002</v>
      </c>
      <c r="CB37" s="232">
        <f t="shared" si="130"/>
        <v>0.89800000000000002</v>
      </c>
      <c r="CC37" s="232">
        <f t="shared" si="131"/>
        <v>0.89800000000000002</v>
      </c>
      <c r="CD37" s="232">
        <f t="shared" si="132"/>
        <v>0.89800000000000002</v>
      </c>
      <c r="CE37" s="232"/>
      <c r="CF37" s="232"/>
      <c r="CG37" s="232"/>
      <c r="CH37" s="232"/>
      <c r="CI37" s="232"/>
      <c r="CJ37" s="232"/>
    </row>
    <row r="38" spans="1:88" ht="13.5" thickBot="1" x14ac:dyDescent="0.25">
      <c r="B38" s="225" t="s">
        <v>437</v>
      </c>
      <c r="C38" s="666">
        <f>ROUND(SUM([7]B.4!$I$13:$I$14),3)</f>
        <v>1.7000000000000001E-2</v>
      </c>
      <c r="D38" s="666">
        <f>ROUND(SUM([7]B.4!$I$13:$I$14),3)</f>
        <v>1.7000000000000001E-2</v>
      </c>
      <c r="E38" s="666">
        <f>ROUND(SUM([7]B.4!$I$13:$I$14),3)</f>
        <v>1.7000000000000001E-2</v>
      </c>
      <c r="F38" s="666">
        <f>ROUND(SUM([7]B.4!$I$13:$I$14),3)</f>
        <v>1.7000000000000001E-2</v>
      </c>
      <c r="G38" s="666">
        <f>ROUND(SUM([7]B.4!$I$13:$I$14),3)</f>
        <v>1.7000000000000001E-2</v>
      </c>
      <c r="H38" s="666">
        <f>ROUND(SUM([7]B.4!$I$13:$I$14),3)</f>
        <v>1.7000000000000001E-2</v>
      </c>
      <c r="I38" s="232">
        <f t="shared" ref="I38:BT38" si="135">+H38</f>
        <v>1.7000000000000001E-2</v>
      </c>
      <c r="J38" s="232">
        <f t="shared" si="135"/>
        <v>1.7000000000000001E-2</v>
      </c>
      <c r="K38" s="232">
        <f t="shared" si="135"/>
        <v>1.7000000000000001E-2</v>
      </c>
      <c r="L38" s="232">
        <f t="shared" si="135"/>
        <v>1.7000000000000001E-2</v>
      </c>
      <c r="M38" s="232">
        <f t="shared" si="135"/>
        <v>1.7000000000000001E-2</v>
      </c>
      <c r="N38" s="232">
        <f t="shared" si="135"/>
        <v>1.7000000000000001E-2</v>
      </c>
      <c r="O38" s="232">
        <f t="shared" si="135"/>
        <v>1.7000000000000001E-2</v>
      </c>
      <c r="P38" s="232">
        <f t="shared" si="135"/>
        <v>1.7000000000000001E-2</v>
      </c>
      <c r="Q38" s="232">
        <f t="shared" si="135"/>
        <v>1.7000000000000001E-2</v>
      </c>
      <c r="R38" s="232">
        <f t="shared" si="135"/>
        <v>1.7000000000000001E-2</v>
      </c>
      <c r="S38" s="232">
        <f t="shared" si="135"/>
        <v>1.7000000000000001E-2</v>
      </c>
      <c r="T38" s="232">
        <f t="shared" si="135"/>
        <v>1.7000000000000001E-2</v>
      </c>
      <c r="U38" s="232">
        <f t="shared" si="135"/>
        <v>1.7000000000000001E-2</v>
      </c>
      <c r="V38" s="232">
        <f t="shared" si="135"/>
        <v>1.7000000000000001E-2</v>
      </c>
      <c r="W38" s="232">
        <f t="shared" si="135"/>
        <v>1.7000000000000001E-2</v>
      </c>
      <c r="X38" s="232">
        <f t="shared" si="135"/>
        <v>1.7000000000000001E-2</v>
      </c>
      <c r="Y38" s="232">
        <f t="shared" si="135"/>
        <v>1.7000000000000001E-2</v>
      </c>
      <c r="Z38" s="232">
        <f t="shared" si="135"/>
        <v>1.7000000000000001E-2</v>
      </c>
      <c r="AA38" s="232">
        <f t="shared" si="135"/>
        <v>1.7000000000000001E-2</v>
      </c>
      <c r="AB38" s="232">
        <f t="shared" si="135"/>
        <v>1.7000000000000001E-2</v>
      </c>
      <c r="AC38" s="232">
        <f t="shared" si="135"/>
        <v>1.7000000000000001E-2</v>
      </c>
      <c r="AD38" s="232">
        <f t="shared" si="135"/>
        <v>1.7000000000000001E-2</v>
      </c>
      <c r="AE38" s="232">
        <f t="shared" si="135"/>
        <v>1.7000000000000001E-2</v>
      </c>
      <c r="AF38" s="232">
        <f t="shared" si="135"/>
        <v>1.7000000000000001E-2</v>
      </c>
      <c r="AG38" s="232">
        <f t="shared" si="135"/>
        <v>1.7000000000000001E-2</v>
      </c>
      <c r="AH38" s="232">
        <f t="shared" si="135"/>
        <v>1.7000000000000001E-2</v>
      </c>
      <c r="AI38" s="232">
        <f t="shared" si="135"/>
        <v>1.7000000000000001E-2</v>
      </c>
      <c r="AJ38" s="232">
        <f t="shared" si="135"/>
        <v>1.7000000000000001E-2</v>
      </c>
      <c r="AK38" s="232">
        <f t="shared" si="135"/>
        <v>1.7000000000000001E-2</v>
      </c>
      <c r="AL38" s="232">
        <f t="shared" si="135"/>
        <v>1.7000000000000001E-2</v>
      </c>
      <c r="AM38" s="232">
        <f t="shared" si="135"/>
        <v>1.7000000000000001E-2</v>
      </c>
      <c r="AN38" s="232">
        <f t="shared" si="135"/>
        <v>1.7000000000000001E-2</v>
      </c>
      <c r="AO38" s="232">
        <f t="shared" si="135"/>
        <v>1.7000000000000001E-2</v>
      </c>
      <c r="AP38" s="232">
        <f t="shared" si="135"/>
        <v>1.7000000000000001E-2</v>
      </c>
      <c r="AQ38" s="232">
        <f t="shared" si="135"/>
        <v>1.7000000000000001E-2</v>
      </c>
      <c r="AR38" s="232">
        <f t="shared" si="135"/>
        <v>1.7000000000000001E-2</v>
      </c>
      <c r="AS38" s="232">
        <f t="shared" si="135"/>
        <v>1.7000000000000001E-2</v>
      </c>
      <c r="AT38" s="232">
        <f t="shared" si="135"/>
        <v>1.7000000000000001E-2</v>
      </c>
      <c r="AU38" s="232">
        <f t="shared" si="135"/>
        <v>1.7000000000000001E-2</v>
      </c>
      <c r="AV38" s="232">
        <f t="shared" si="135"/>
        <v>1.7000000000000001E-2</v>
      </c>
      <c r="AW38" s="232">
        <f t="shared" si="135"/>
        <v>1.7000000000000001E-2</v>
      </c>
      <c r="AX38" s="232">
        <f t="shared" si="135"/>
        <v>1.7000000000000001E-2</v>
      </c>
      <c r="AY38" s="232">
        <f t="shared" si="135"/>
        <v>1.7000000000000001E-2</v>
      </c>
      <c r="AZ38" s="232">
        <f t="shared" si="135"/>
        <v>1.7000000000000001E-2</v>
      </c>
      <c r="BA38" s="232">
        <f t="shared" si="135"/>
        <v>1.7000000000000001E-2</v>
      </c>
      <c r="BB38" s="232">
        <f t="shared" si="135"/>
        <v>1.7000000000000001E-2</v>
      </c>
      <c r="BC38" s="232">
        <f t="shared" si="135"/>
        <v>1.7000000000000001E-2</v>
      </c>
      <c r="BD38" s="232">
        <f t="shared" si="135"/>
        <v>1.7000000000000001E-2</v>
      </c>
      <c r="BE38" s="232">
        <f t="shared" si="135"/>
        <v>1.7000000000000001E-2</v>
      </c>
      <c r="BF38" s="232">
        <f t="shared" si="135"/>
        <v>1.7000000000000001E-2</v>
      </c>
      <c r="BG38" s="232">
        <f t="shared" si="135"/>
        <v>1.7000000000000001E-2</v>
      </c>
      <c r="BH38" s="232">
        <f t="shared" si="135"/>
        <v>1.7000000000000001E-2</v>
      </c>
      <c r="BI38" s="232">
        <f t="shared" si="135"/>
        <v>1.7000000000000001E-2</v>
      </c>
      <c r="BJ38" s="232">
        <f t="shared" si="135"/>
        <v>1.7000000000000001E-2</v>
      </c>
      <c r="BK38" s="232">
        <f t="shared" si="135"/>
        <v>1.7000000000000001E-2</v>
      </c>
      <c r="BL38" s="232">
        <f t="shared" si="135"/>
        <v>1.7000000000000001E-2</v>
      </c>
      <c r="BM38" s="232">
        <f t="shared" si="135"/>
        <v>1.7000000000000001E-2</v>
      </c>
      <c r="BN38" s="232">
        <f t="shared" si="135"/>
        <v>1.7000000000000001E-2</v>
      </c>
      <c r="BO38" s="232">
        <f t="shared" si="135"/>
        <v>1.7000000000000001E-2</v>
      </c>
      <c r="BP38" s="232">
        <f t="shared" si="135"/>
        <v>1.7000000000000001E-2</v>
      </c>
      <c r="BQ38" s="232">
        <f t="shared" si="135"/>
        <v>1.7000000000000001E-2</v>
      </c>
      <c r="BR38" s="232">
        <f t="shared" si="135"/>
        <v>1.7000000000000001E-2</v>
      </c>
      <c r="BS38" s="232">
        <f t="shared" si="135"/>
        <v>1.7000000000000001E-2</v>
      </c>
      <c r="BT38" s="232">
        <f t="shared" si="135"/>
        <v>1.7000000000000001E-2</v>
      </c>
      <c r="BU38" s="232">
        <f t="shared" ref="BU38:CA38" si="136">+BT38</f>
        <v>1.7000000000000001E-2</v>
      </c>
      <c r="BV38" s="232">
        <f t="shared" si="136"/>
        <v>1.7000000000000001E-2</v>
      </c>
      <c r="BW38" s="232">
        <f t="shared" si="136"/>
        <v>1.7000000000000001E-2</v>
      </c>
      <c r="BX38" s="232">
        <f t="shared" si="136"/>
        <v>1.7000000000000001E-2</v>
      </c>
      <c r="BY38" s="232">
        <f t="shared" si="136"/>
        <v>1.7000000000000001E-2</v>
      </c>
      <c r="BZ38" s="232">
        <f t="shared" si="136"/>
        <v>1.7000000000000001E-2</v>
      </c>
      <c r="CA38" s="232">
        <f t="shared" si="136"/>
        <v>1.7000000000000001E-2</v>
      </c>
      <c r="CB38" s="232">
        <f t="shared" si="130"/>
        <v>1.7000000000000001E-2</v>
      </c>
      <c r="CC38" s="232">
        <f t="shared" si="131"/>
        <v>1.7000000000000001E-2</v>
      </c>
      <c r="CD38" s="232">
        <f t="shared" si="132"/>
        <v>1.7000000000000001E-2</v>
      </c>
      <c r="CE38" s="232"/>
      <c r="CF38" s="232"/>
      <c r="CG38" s="232"/>
      <c r="CH38" s="232"/>
      <c r="CI38" s="232"/>
      <c r="CJ38" s="232"/>
    </row>
    <row r="39" spans="1:88" x14ac:dyDescent="0.2">
      <c r="D39" s="608"/>
      <c r="E39" s="608"/>
      <c r="F39" s="608"/>
      <c r="G39" s="608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667"/>
      <c r="AA39" s="231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</row>
    <row r="40" spans="1:88" x14ac:dyDescent="0.2">
      <c r="A40" s="225" t="s">
        <v>438</v>
      </c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45"/>
      <c r="U40" s="45"/>
      <c r="V40" s="45"/>
      <c r="W40" s="45"/>
      <c r="X40" s="45"/>
      <c r="Y40" s="45"/>
      <c r="Z40" s="45"/>
      <c r="AA40" s="231"/>
      <c r="AB40" s="231"/>
      <c r="AC40" s="231"/>
      <c r="AD40" s="231"/>
      <c r="AE40" s="231"/>
      <c r="AF40" s="231"/>
      <c r="AG40" s="231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</row>
    <row r="41" spans="1:88" x14ac:dyDescent="0.2">
      <c r="B41" s="225" t="s">
        <v>640</v>
      </c>
      <c r="C41" s="45">
        <f>'[13]Mcf Bal current'!I108</f>
        <v>2203209</v>
      </c>
      <c r="D41" s="45">
        <f>'[13]Mcf Bal current'!J108</f>
        <v>3060109</v>
      </c>
      <c r="E41" s="45">
        <f>'[13]Mcf Bal current'!K108</f>
        <v>3885461</v>
      </c>
      <c r="F41" s="45">
        <f>'[13]Mcf Bal current'!L108</f>
        <v>4717635</v>
      </c>
      <c r="G41" s="45">
        <f>'[13]Mcf Bal current'!M108</f>
        <v>5575224</v>
      </c>
      <c r="H41" s="45">
        <f>'[13]Mcf Bal current'!N108</f>
        <v>6408271</v>
      </c>
      <c r="I41" s="45">
        <f>H41+(I18+I20)-(I13+I15)</f>
        <v>7251537.1614285717</v>
      </c>
      <c r="J41" s="45">
        <f t="shared" ref="J41:BU41" si="137">I41+(J18+J20)-(J13+J15)</f>
        <v>6760577.3337969929</v>
      </c>
      <c r="K41" s="45">
        <f t="shared" si="137"/>
        <v>5530468.1652443614</v>
      </c>
      <c r="L41" s="45">
        <f t="shared" si="137"/>
        <v>4000946.2566917296</v>
      </c>
      <c r="M41" s="45">
        <f t="shared" si="137"/>
        <v>2552034.3099812036</v>
      </c>
      <c r="N41" s="45">
        <f t="shared" si="137"/>
        <v>1386449.4714285722</v>
      </c>
      <c r="O41" s="45">
        <f t="shared" si="137"/>
        <v>2224319.1414285721</v>
      </c>
      <c r="P41" s="45">
        <f t="shared" si="137"/>
        <v>3062188.8114285721</v>
      </c>
      <c r="Q41" s="45">
        <f t="shared" si="137"/>
        <v>3900058.481428572</v>
      </c>
      <c r="R41" s="45">
        <f t="shared" si="137"/>
        <v>4737928.1514285719</v>
      </c>
      <c r="S41" s="45">
        <f t="shared" si="137"/>
        <v>5575797.8214285718</v>
      </c>
      <c r="T41" s="45">
        <f t="shared" si="137"/>
        <v>6413667.4914285718</v>
      </c>
      <c r="U41" s="45">
        <f t="shared" si="137"/>
        <v>7251537.1614285717</v>
      </c>
      <c r="V41" s="45">
        <f t="shared" si="137"/>
        <v>6760577.3337969929</v>
      </c>
      <c r="W41" s="45">
        <f t="shared" si="137"/>
        <v>5530468.1652443614</v>
      </c>
      <c r="X41" s="45">
        <f t="shared" si="137"/>
        <v>4000946.2566917296</v>
      </c>
      <c r="Y41" s="45">
        <f t="shared" si="137"/>
        <v>2552034.3099812036</v>
      </c>
      <c r="Z41" s="45">
        <f t="shared" si="137"/>
        <v>1386449.4714285722</v>
      </c>
      <c r="AA41" s="45">
        <f t="shared" si="137"/>
        <v>2224319.1414285721</v>
      </c>
      <c r="AB41" s="45">
        <f t="shared" si="137"/>
        <v>3062188.8114285721</v>
      </c>
      <c r="AC41" s="45">
        <f t="shared" si="137"/>
        <v>3900058.481428572</v>
      </c>
      <c r="AD41" s="45">
        <f t="shared" si="137"/>
        <v>4737928.1514285719</v>
      </c>
      <c r="AE41" s="45">
        <f t="shared" si="137"/>
        <v>5575797.8214285718</v>
      </c>
      <c r="AF41" s="45">
        <f t="shared" si="137"/>
        <v>6413667.4914285718</v>
      </c>
      <c r="AG41" s="45">
        <f t="shared" si="137"/>
        <v>7251537.1614285717</v>
      </c>
      <c r="AH41" s="45">
        <f t="shared" si="137"/>
        <v>6760577.3337969929</v>
      </c>
      <c r="AI41" s="45">
        <f t="shared" si="137"/>
        <v>5530468.1652443614</v>
      </c>
      <c r="AJ41" s="45">
        <f t="shared" si="137"/>
        <v>4000946.2566917296</v>
      </c>
      <c r="AK41" s="45">
        <f t="shared" si="137"/>
        <v>2552034.3099812036</v>
      </c>
      <c r="AL41" s="45">
        <f t="shared" si="137"/>
        <v>1386449.4714285722</v>
      </c>
      <c r="AM41" s="45">
        <f t="shared" si="137"/>
        <v>2224319.1414285721</v>
      </c>
      <c r="AN41" s="45">
        <f t="shared" si="137"/>
        <v>3062188.8114285721</v>
      </c>
      <c r="AO41" s="45">
        <f t="shared" si="137"/>
        <v>3900058.481428572</v>
      </c>
      <c r="AP41" s="45">
        <f t="shared" si="137"/>
        <v>4737928.1514285719</v>
      </c>
      <c r="AQ41" s="45">
        <f t="shared" si="137"/>
        <v>5575797.8214285718</v>
      </c>
      <c r="AR41" s="45">
        <f t="shared" si="137"/>
        <v>6413667.4914285718</v>
      </c>
      <c r="AS41" s="45">
        <f t="shared" si="137"/>
        <v>7251537.1614285717</v>
      </c>
      <c r="AT41" s="45">
        <f t="shared" si="137"/>
        <v>6760577.3337969929</v>
      </c>
      <c r="AU41" s="45">
        <f t="shared" si="137"/>
        <v>5530468.1652443614</v>
      </c>
      <c r="AV41" s="45">
        <f t="shared" si="137"/>
        <v>4000946.2566917296</v>
      </c>
      <c r="AW41" s="45">
        <f t="shared" si="137"/>
        <v>2552034.3099812036</v>
      </c>
      <c r="AX41" s="45">
        <f t="shared" si="137"/>
        <v>1386449.4714285722</v>
      </c>
      <c r="AY41" s="45">
        <f t="shared" si="137"/>
        <v>2224319.1414285721</v>
      </c>
      <c r="AZ41" s="45">
        <f t="shared" si="137"/>
        <v>3062188.8114285721</v>
      </c>
      <c r="BA41" s="45">
        <f t="shared" si="137"/>
        <v>3900058.481428572</v>
      </c>
      <c r="BB41" s="45">
        <f t="shared" si="137"/>
        <v>4737928.1514285719</v>
      </c>
      <c r="BC41" s="45">
        <f t="shared" si="137"/>
        <v>5575797.8214285718</v>
      </c>
      <c r="BD41" s="45">
        <f t="shared" si="137"/>
        <v>6413667.4914285718</v>
      </c>
      <c r="BE41" s="45">
        <f t="shared" si="137"/>
        <v>7251537.1614285717</v>
      </c>
      <c r="BF41" s="45">
        <f t="shared" si="137"/>
        <v>6760577.3337969929</v>
      </c>
      <c r="BG41" s="45">
        <f t="shared" si="137"/>
        <v>5530468.1652443614</v>
      </c>
      <c r="BH41" s="45">
        <f t="shared" si="137"/>
        <v>4000946.2566917296</v>
      </c>
      <c r="BI41" s="45">
        <f t="shared" si="137"/>
        <v>2552034.3099812036</v>
      </c>
      <c r="BJ41" s="45">
        <f t="shared" si="137"/>
        <v>1386449.4714285722</v>
      </c>
      <c r="BK41" s="45">
        <f t="shared" si="137"/>
        <v>2224319.1414285721</v>
      </c>
      <c r="BL41" s="45">
        <f t="shared" si="137"/>
        <v>3062188.8114285721</v>
      </c>
      <c r="BM41" s="45">
        <f t="shared" si="137"/>
        <v>3900058.481428572</v>
      </c>
      <c r="BN41" s="45">
        <f t="shared" si="137"/>
        <v>4737928.1514285719</v>
      </c>
      <c r="BO41" s="45">
        <f t="shared" si="137"/>
        <v>5575797.8214285718</v>
      </c>
      <c r="BP41" s="45">
        <f t="shared" si="137"/>
        <v>6413667.4914285718</v>
      </c>
      <c r="BQ41" s="45">
        <f t="shared" si="137"/>
        <v>7251537.1614285717</v>
      </c>
      <c r="BR41" s="45">
        <f t="shared" si="137"/>
        <v>6760577.3337969929</v>
      </c>
      <c r="BS41" s="45">
        <f t="shared" si="137"/>
        <v>5530468.1652443614</v>
      </c>
      <c r="BT41" s="45">
        <f t="shared" si="137"/>
        <v>4000946.2566917296</v>
      </c>
      <c r="BU41" s="45">
        <f t="shared" si="137"/>
        <v>2552034.3099812036</v>
      </c>
      <c r="BV41" s="45">
        <f t="shared" ref="BV41:CD41" si="138">BU41+(BV18+BV20)-(BV13+BV15)</f>
        <v>1386449.4714285722</v>
      </c>
      <c r="BW41" s="45">
        <f t="shared" si="138"/>
        <v>2224319.1414285721</v>
      </c>
      <c r="BX41" s="45">
        <f t="shared" si="138"/>
        <v>3062188.8114285721</v>
      </c>
      <c r="BY41" s="45">
        <f t="shared" si="138"/>
        <v>3900058.481428572</v>
      </c>
      <c r="BZ41" s="45">
        <f t="shared" si="138"/>
        <v>4737928.1514285719</v>
      </c>
      <c r="CA41" s="45">
        <f t="shared" si="138"/>
        <v>5575797.8214285718</v>
      </c>
      <c r="CB41" s="45">
        <f t="shared" si="138"/>
        <v>6413667.4914285718</v>
      </c>
      <c r="CC41" s="45">
        <f t="shared" si="138"/>
        <v>7251537.1614285717</v>
      </c>
      <c r="CD41" s="45">
        <f t="shared" si="138"/>
        <v>6760577.3337969929</v>
      </c>
      <c r="CE41" s="225"/>
    </row>
    <row r="42" spans="1:88" x14ac:dyDescent="0.2">
      <c r="B42" s="225" t="s">
        <v>439</v>
      </c>
      <c r="C42" s="196">
        <f>'[13]$ bal current'!I124-'[13]$ bal current'!H124</f>
        <v>3228164.3599999994</v>
      </c>
      <c r="D42" s="196">
        <f>'[13]$ bal current'!J124-'[13]$ bal current'!I124</f>
        <v>616707.25</v>
      </c>
      <c r="E42" s="196">
        <f>'[13]$ bal current'!K124-'[13]$ bal current'!J124</f>
        <v>2189221.2100000009</v>
      </c>
      <c r="F42" s="196">
        <f>'[13]$ bal current'!L124-'[13]$ bal current'!K124</f>
        <v>2176108.1099999994</v>
      </c>
      <c r="G42" s="196">
        <f>'[13]$ bal current'!M124-'[13]$ bal current'!L124</f>
        <v>2340771.7300000004</v>
      </c>
      <c r="H42" s="196">
        <f>'[13]$ bal current'!N124-'[13]$ bal current'!M124</f>
        <v>2056652.3599999994</v>
      </c>
      <c r="I42" s="196">
        <f>+(I34+I35)*(I18+I20)+(I18*I38)+(I20*I36)</f>
        <v>2247495.3334041233</v>
      </c>
      <c r="J42" s="196">
        <f>-I44*(J13+J15)</f>
        <v>-1393171.3821889441</v>
      </c>
      <c r="K42" s="196">
        <f>-I44*(K13+K15)</f>
        <v>-3490617.3461543974</v>
      </c>
      <c r="L42" s="196">
        <f>-I44*(L13+L15)</f>
        <v>-4340245.43658912</v>
      </c>
      <c r="M42" s="196">
        <f>-I44*(M13+M15)</f>
        <v>-4111502.7052346566</v>
      </c>
      <c r="N42" s="196">
        <f>-I44*(N13+N15)</f>
        <v>-3307519.9826805517</v>
      </c>
      <c r="O42" s="196">
        <f t="shared" ref="O42:BZ42" si="139">+(O34+O35)*(O18+O20)+(O18*O38)+(O20*O36)</f>
        <v>2114706.5007201484</v>
      </c>
      <c r="P42" s="196">
        <f t="shared" si="139"/>
        <v>2143012.9084904189</v>
      </c>
      <c r="Q42" s="196">
        <f t="shared" si="139"/>
        <v>2185043.6351796081</v>
      </c>
      <c r="R42" s="196">
        <f t="shared" si="139"/>
        <v>2228789.901733662</v>
      </c>
      <c r="S42" s="196">
        <f t="shared" si="139"/>
        <v>2242514.2206525807</v>
      </c>
      <c r="T42" s="196">
        <f t="shared" si="139"/>
        <v>2244229.7605174459</v>
      </c>
      <c r="U42" s="196">
        <f t="shared" si="139"/>
        <v>2266531.7787606888</v>
      </c>
      <c r="V42" s="196">
        <f t="shared" ref="V42" si="140">-U44*(V13+V15)</f>
        <v>-1310692.1687958408</v>
      </c>
      <c r="W42" s="196">
        <f t="shared" ref="W42" si="141">-U44*(W13+W15)</f>
        <v>-3283964.1112058121</v>
      </c>
      <c r="X42" s="196">
        <f t="shared" ref="X42" si="142">-U44*(X13+X15)</f>
        <v>-4083292.1039844691</v>
      </c>
      <c r="Y42" s="196">
        <f t="shared" ref="Y42" si="143">-U44*(Y13+Y15)</f>
        <v>-3868091.5116609284</v>
      </c>
      <c r="Z42" s="196">
        <f t="shared" ref="Z42" si="144">-U44*(Z13+Z15)</f>
        <v>-3111706.5673742178</v>
      </c>
      <c r="AA42" s="196">
        <f t="shared" si="139"/>
        <v>2360886.4713282567</v>
      </c>
      <c r="AB42" s="196">
        <f t="shared" si="139"/>
        <v>2360886.4713282567</v>
      </c>
      <c r="AC42" s="196">
        <f t="shared" si="139"/>
        <v>2396912.8084904188</v>
      </c>
      <c r="AD42" s="196">
        <f t="shared" si="139"/>
        <v>2436370.2253823103</v>
      </c>
      <c r="AE42" s="196">
        <f t="shared" si="139"/>
        <v>2449236.774368797</v>
      </c>
      <c r="AF42" s="196">
        <f t="shared" si="139"/>
        <v>2444947.9247066351</v>
      </c>
      <c r="AG42" s="196">
        <f t="shared" si="139"/>
        <v>2466392.173017446</v>
      </c>
      <c r="AH42" s="196">
        <f t="shared" ref="AH42" si="145">-AG44*(AH13+AH15)</f>
        <v>-1395856.4131907544</v>
      </c>
      <c r="AI42" s="196">
        <f t="shared" ref="AI42" si="146">-AG44*(AI13+AI15)</f>
        <v>-3497344.7423022818</v>
      </c>
      <c r="AJ42" s="196">
        <f t="shared" ref="AJ42" si="147">-AG44*(AJ13+AJ15)</f>
        <v>-4348610.3037559986</v>
      </c>
      <c r="AK42" s="196">
        <f t="shared" ref="AK42" si="148">-AG44*(AK13+AK15)</f>
        <v>-4119426.7211660175</v>
      </c>
      <c r="AL42" s="196">
        <f t="shared" ref="AL42" si="149">-AG44*(AL13+AL15)</f>
        <v>-3313894.4989863997</v>
      </c>
      <c r="AM42" s="196">
        <f t="shared" si="139"/>
        <v>2442374.6149093378</v>
      </c>
      <c r="AN42" s="196">
        <f t="shared" si="139"/>
        <v>2439801.3051120401</v>
      </c>
      <c r="AO42" s="196">
        <f t="shared" si="139"/>
        <v>2467249.9429498781</v>
      </c>
      <c r="AP42" s="196">
        <f t="shared" si="139"/>
        <v>2497271.8905850132</v>
      </c>
      <c r="AQ42" s="196">
        <f t="shared" si="139"/>
        <v>2508422.8997066352</v>
      </c>
      <c r="AR42" s="196">
        <f t="shared" si="139"/>
        <v>2504134.0500444728</v>
      </c>
      <c r="AS42" s="196">
        <f t="shared" si="139"/>
        <v>2526436.0682877158</v>
      </c>
      <c r="AT42" s="196">
        <f t="shared" ref="AT42" si="150">-AS44*(AT13+AT15)</f>
        <v>-1443964.2102963389</v>
      </c>
      <c r="AU42" s="196">
        <f t="shared" ref="AU42" si="151">-AS44*(AU13+AU15)</f>
        <v>-3617879.7412326974</v>
      </c>
      <c r="AV42" s="196">
        <f t="shared" ref="AV42" si="152">-AS44*(AV13+AV15)</f>
        <v>-4498483.9298735578</v>
      </c>
      <c r="AW42" s="196">
        <f t="shared" ref="AW42" si="153">-AS44*(AW13+AW15)</f>
        <v>-4261401.5998286242</v>
      </c>
      <c r="AX42" s="196">
        <f t="shared" ref="AX42" si="154">-AS44*(AX13+AX15)</f>
        <v>-3428106.9370853347</v>
      </c>
      <c r="AY42" s="196">
        <f t="shared" si="139"/>
        <v>2517858.3689633915</v>
      </c>
      <c r="AZ42" s="196">
        <f t="shared" si="139"/>
        <v>2514427.2892336622</v>
      </c>
      <c r="BA42" s="196">
        <f t="shared" si="139"/>
        <v>2541875.9270714996</v>
      </c>
      <c r="BB42" s="196">
        <f t="shared" si="139"/>
        <v>2571897.8747066353</v>
      </c>
      <c r="BC42" s="196">
        <f t="shared" si="139"/>
        <v>2584764.4236931214</v>
      </c>
      <c r="BD42" s="196">
        <f t="shared" si="139"/>
        <v>2580475.5740309595</v>
      </c>
      <c r="BE42" s="196">
        <f t="shared" si="139"/>
        <v>2604493.1321390672</v>
      </c>
      <c r="BF42" s="196">
        <f t="shared" ref="BF42" si="155">-BE44*(BF13+BF15)</f>
        <v>-1489052.2681662804</v>
      </c>
      <c r="BG42" s="196">
        <f t="shared" ref="BG42" si="156">-BE44*(BG13+BG15)</f>
        <v>-3730848.7261812305</v>
      </c>
      <c r="BH42" s="196">
        <f t="shared" ref="BH42" si="157">-BE44*(BH13+BH15)</f>
        <v>-4638949.9485676875</v>
      </c>
      <c r="BI42" s="196">
        <f t="shared" ref="BI42" si="158">-BE44*(BI13+BI15)</f>
        <v>-4394464.6775490204</v>
      </c>
      <c r="BJ42" s="196">
        <f t="shared" ref="BJ42" si="159">-BE44*(BJ13+BJ15)</f>
        <v>-3535150.2300295066</v>
      </c>
      <c r="BK42" s="196">
        <f t="shared" si="139"/>
        <v>2621648.5307877162</v>
      </c>
      <c r="BL42" s="196">
        <f t="shared" si="139"/>
        <v>2618217.4510579864</v>
      </c>
      <c r="BM42" s="196">
        <f t="shared" si="139"/>
        <v>2643950.5490309591</v>
      </c>
      <c r="BN42" s="196">
        <f t="shared" si="139"/>
        <v>2671399.1868687971</v>
      </c>
      <c r="BO42" s="196">
        <f t="shared" si="139"/>
        <v>2691985.6652471754</v>
      </c>
      <c r="BP42" s="196">
        <f t="shared" si="139"/>
        <v>2688554.585517446</v>
      </c>
      <c r="BQ42" s="196">
        <f t="shared" si="139"/>
        <v>2716003.2233552835</v>
      </c>
      <c r="BR42" s="196">
        <f t="shared" ref="BR42" si="160">-BQ44*(BR13+BR15)</f>
        <v>-1547500.889560618</v>
      </c>
      <c r="BS42" s="196">
        <f t="shared" ref="BS42" si="161">-BQ44*(BS13+BS15)</f>
        <v>-3877292.8566781748</v>
      </c>
      <c r="BT42" s="196">
        <f t="shared" ref="BT42" si="162">-BQ44*(BT13+BT15)</f>
        <v>-4821039.076671307</v>
      </c>
      <c r="BU42" s="196">
        <f t="shared" ref="BU42" si="163">-BQ44*(BU13+BU15)</f>
        <v>-4566957.2136808485</v>
      </c>
      <c r="BV42" s="196">
        <f t="shared" ref="BV42" si="164">-BQ44*(BV13+BV15)</f>
        <v>-3673912.7582391789</v>
      </c>
      <c r="BW42" s="196">
        <f t="shared" si="139"/>
        <v>2744309.631125554</v>
      </c>
      <c r="BX42" s="196">
        <f t="shared" si="139"/>
        <v>2740020.7814633916</v>
      </c>
      <c r="BY42" s="196">
        <f t="shared" si="139"/>
        <v>2765753.8794363649</v>
      </c>
      <c r="BZ42" s="196">
        <f t="shared" si="139"/>
        <v>2797491.3669363647</v>
      </c>
      <c r="CA42" s="196">
        <f t="shared" ref="CA42:CC42" si="165">+(CA34+CA35)*(CA18+CA20)+(CA18*CA38)+(CA20*CA36)</f>
        <v>2823224.4649093379</v>
      </c>
      <c r="CB42" s="196">
        <f t="shared" si="165"/>
        <v>2820651.1551120402</v>
      </c>
      <c r="CC42" s="196">
        <f t="shared" si="165"/>
        <v>2851530.8726796075</v>
      </c>
      <c r="CD42" s="196">
        <f t="shared" ref="CD42" si="166">-CC44*(CD13+CD15)</f>
        <v>-1619015.4828691534</v>
      </c>
      <c r="CE42" s="247"/>
      <c r="CF42" s="229"/>
      <c r="CG42" s="229"/>
      <c r="CH42" s="229"/>
      <c r="CI42" s="34"/>
      <c r="CJ42" s="34"/>
    </row>
    <row r="43" spans="1:88" x14ac:dyDescent="0.2">
      <c r="B43" s="225" t="s">
        <v>440</v>
      </c>
      <c r="C43" s="196">
        <f>'[13]$ bal current'!I124</f>
        <v>8950357.0199999996</v>
      </c>
      <c r="D43" s="196">
        <f>C43+D42</f>
        <v>9567064.2699999996</v>
      </c>
      <c r="E43" s="196">
        <f t="shared" ref="E43:G43" si="167">D43+E42</f>
        <v>11756285.48</v>
      </c>
      <c r="F43" s="196">
        <f t="shared" si="167"/>
        <v>13932393.59</v>
      </c>
      <c r="G43" s="196">
        <f t="shared" si="167"/>
        <v>16273165.32</v>
      </c>
      <c r="H43" s="196">
        <f>G43+H42</f>
        <v>18329817.68</v>
      </c>
      <c r="I43" s="196">
        <f t="shared" ref="I43:AN43" si="168">+H43+I42</f>
        <v>20577313.013404123</v>
      </c>
      <c r="J43" s="196">
        <f t="shared" si="168"/>
        <v>19184141.631215177</v>
      </c>
      <c r="K43" s="196">
        <f t="shared" si="168"/>
        <v>15693524.28506078</v>
      </c>
      <c r="L43" s="196">
        <f t="shared" si="168"/>
        <v>11353278.84847166</v>
      </c>
      <c r="M43" s="196">
        <f t="shared" si="168"/>
        <v>7241776.1432370041</v>
      </c>
      <c r="N43" s="196">
        <f t="shared" si="168"/>
        <v>3934256.1605564523</v>
      </c>
      <c r="O43" s="196">
        <f t="shared" si="168"/>
        <v>6048962.6612766013</v>
      </c>
      <c r="P43" s="196">
        <f t="shared" si="168"/>
        <v>8191975.5697670206</v>
      </c>
      <c r="Q43" s="196">
        <f t="shared" si="168"/>
        <v>10377019.20494663</v>
      </c>
      <c r="R43" s="196">
        <f t="shared" si="168"/>
        <v>12605809.106680293</v>
      </c>
      <c r="S43" s="196">
        <f t="shared" si="168"/>
        <v>14848323.327332873</v>
      </c>
      <c r="T43" s="196">
        <f t="shared" si="168"/>
        <v>17092553.087850317</v>
      </c>
      <c r="U43" s="196">
        <f t="shared" si="168"/>
        <v>19359084.866611008</v>
      </c>
      <c r="V43" s="196">
        <f t="shared" si="168"/>
        <v>18048392.697815165</v>
      </c>
      <c r="W43" s="196">
        <f t="shared" si="168"/>
        <v>14764428.586609352</v>
      </c>
      <c r="X43" s="196">
        <f t="shared" si="168"/>
        <v>10681136.482624883</v>
      </c>
      <c r="Y43" s="196">
        <f t="shared" si="168"/>
        <v>6813044.9709639549</v>
      </c>
      <c r="Z43" s="196">
        <f t="shared" si="168"/>
        <v>3701338.4035897371</v>
      </c>
      <c r="AA43" s="196">
        <f t="shared" si="168"/>
        <v>6062224.8749179933</v>
      </c>
      <c r="AB43" s="196">
        <f t="shared" si="168"/>
        <v>8423111.34624625</v>
      </c>
      <c r="AC43" s="196">
        <f t="shared" si="168"/>
        <v>10820024.154736668</v>
      </c>
      <c r="AD43" s="196">
        <f t="shared" si="168"/>
        <v>13256394.380118977</v>
      </c>
      <c r="AE43" s="196">
        <f t="shared" si="168"/>
        <v>15705631.154487774</v>
      </c>
      <c r="AF43" s="196">
        <f t="shared" si="168"/>
        <v>18150579.079194408</v>
      </c>
      <c r="AG43" s="196">
        <f t="shared" si="168"/>
        <v>20616971.252211854</v>
      </c>
      <c r="AH43" s="196">
        <f t="shared" si="168"/>
        <v>19221114.839021098</v>
      </c>
      <c r="AI43" s="196">
        <f t="shared" si="168"/>
        <v>15723770.096718816</v>
      </c>
      <c r="AJ43" s="196">
        <f t="shared" si="168"/>
        <v>11375159.792962817</v>
      </c>
      <c r="AK43" s="196">
        <f t="shared" si="168"/>
        <v>7255733.0717968</v>
      </c>
      <c r="AL43" s="196">
        <f t="shared" si="168"/>
        <v>3941838.5728104003</v>
      </c>
      <c r="AM43" s="196">
        <f t="shared" si="168"/>
        <v>6384213.1877197381</v>
      </c>
      <c r="AN43" s="196">
        <f t="shared" si="168"/>
        <v>8824014.4928317778</v>
      </c>
      <c r="AO43" s="196">
        <f t="shared" ref="AO43:BT43" si="169">+AN43+AO42</f>
        <v>11291264.435781656</v>
      </c>
      <c r="AP43" s="196">
        <f t="shared" si="169"/>
        <v>13788536.326366669</v>
      </c>
      <c r="AQ43" s="196">
        <f t="shared" si="169"/>
        <v>16296959.226073304</v>
      </c>
      <c r="AR43" s="196">
        <f t="shared" si="169"/>
        <v>18801093.276117776</v>
      </c>
      <c r="AS43" s="196">
        <f t="shared" si="169"/>
        <v>21327529.344405491</v>
      </c>
      <c r="AT43" s="196">
        <f t="shared" si="169"/>
        <v>19883565.134109151</v>
      </c>
      <c r="AU43" s="196">
        <f t="shared" si="169"/>
        <v>16265685.392876454</v>
      </c>
      <c r="AV43" s="196">
        <f t="shared" si="169"/>
        <v>11767201.463002896</v>
      </c>
      <c r="AW43" s="196">
        <f t="shared" si="169"/>
        <v>7505799.8631742718</v>
      </c>
      <c r="AX43" s="196">
        <f t="shared" si="169"/>
        <v>4077692.9260889371</v>
      </c>
      <c r="AY43" s="196">
        <f t="shared" si="169"/>
        <v>6595551.2950523291</v>
      </c>
      <c r="AZ43" s="196">
        <f t="shared" si="169"/>
        <v>9109978.5842859913</v>
      </c>
      <c r="BA43" s="196">
        <f t="shared" si="169"/>
        <v>11651854.51135749</v>
      </c>
      <c r="BB43" s="196">
        <f t="shared" si="169"/>
        <v>14223752.386064125</v>
      </c>
      <c r="BC43" s="196">
        <f t="shared" si="169"/>
        <v>16808516.809757248</v>
      </c>
      <c r="BD43" s="196">
        <f t="shared" si="169"/>
        <v>19388992.383788206</v>
      </c>
      <c r="BE43" s="196">
        <f t="shared" si="169"/>
        <v>21993485.515927274</v>
      </c>
      <c r="BF43" s="196">
        <f t="shared" si="169"/>
        <v>20504433.247760992</v>
      </c>
      <c r="BG43" s="196">
        <f t="shared" si="169"/>
        <v>16773584.521579761</v>
      </c>
      <c r="BH43" s="196">
        <f t="shared" si="169"/>
        <v>12134634.573012073</v>
      </c>
      <c r="BI43" s="196">
        <f t="shared" si="169"/>
        <v>7740169.8954630522</v>
      </c>
      <c r="BJ43" s="196">
        <f t="shared" si="169"/>
        <v>4205019.6654335456</v>
      </c>
      <c r="BK43" s="196">
        <f t="shared" si="169"/>
        <v>6826668.1962212622</v>
      </c>
      <c r="BL43" s="196">
        <f t="shared" si="169"/>
        <v>9444885.6472792476</v>
      </c>
      <c r="BM43" s="196">
        <f t="shared" si="169"/>
        <v>12088836.196310207</v>
      </c>
      <c r="BN43" s="196">
        <f t="shared" si="169"/>
        <v>14760235.383179005</v>
      </c>
      <c r="BO43" s="196">
        <f t="shared" si="169"/>
        <v>17452221.048426181</v>
      </c>
      <c r="BP43" s="196">
        <f t="shared" si="169"/>
        <v>20140775.633943629</v>
      </c>
      <c r="BQ43" s="196">
        <f t="shared" si="169"/>
        <v>22856778.857298911</v>
      </c>
      <c r="BR43" s="196">
        <f t="shared" si="169"/>
        <v>21309277.967738293</v>
      </c>
      <c r="BS43" s="196">
        <f t="shared" si="169"/>
        <v>17431985.11106012</v>
      </c>
      <c r="BT43" s="196">
        <f t="shared" si="169"/>
        <v>12610946.034388814</v>
      </c>
      <c r="BU43" s="196">
        <f t="shared" ref="BU43:CA43" si="170">+BT43+BU42</f>
        <v>8043988.8207079656</v>
      </c>
      <c r="BV43" s="196">
        <f t="shared" si="170"/>
        <v>4370076.0624687867</v>
      </c>
      <c r="BW43" s="196">
        <f t="shared" si="170"/>
        <v>7114385.6935943402</v>
      </c>
      <c r="BX43" s="196">
        <f t="shared" si="170"/>
        <v>9854406.4750577323</v>
      </c>
      <c r="BY43" s="196">
        <f t="shared" si="170"/>
        <v>12620160.354494097</v>
      </c>
      <c r="BZ43" s="196">
        <f t="shared" si="170"/>
        <v>15417651.721430462</v>
      </c>
      <c r="CA43" s="196">
        <f t="shared" si="170"/>
        <v>18240876.186339799</v>
      </c>
      <c r="CB43" s="196">
        <f t="shared" ref="CB43" si="171">+CA43+CB42</f>
        <v>21061527.341451839</v>
      </c>
      <c r="CC43" s="196">
        <f t="shared" ref="CC43" si="172">+CB43+CC42</f>
        <v>23913058.214131445</v>
      </c>
      <c r="CD43" s="196">
        <f t="shared" ref="CD43" si="173">+CC43+CD42</f>
        <v>22294042.731262293</v>
      </c>
      <c r="CE43" s="247"/>
      <c r="CF43" s="229"/>
      <c r="CG43" s="229"/>
      <c r="CH43" s="229"/>
      <c r="CI43" s="229"/>
      <c r="CJ43" s="229"/>
    </row>
    <row r="44" spans="1:88" x14ac:dyDescent="0.2">
      <c r="B44" s="225" t="s">
        <v>441</v>
      </c>
      <c r="C44" s="511"/>
      <c r="D44" s="511"/>
      <c r="E44" s="511"/>
      <c r="F44" s="511"/>
      <c r="G44" s="511"/>
      <c r="H44" s="232"/>
      <c r="I44" s="232">
        <f>I43/I41</f>
        <v>2.8376484261649071</v>
      </c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>
        <f>U43/U41</f>
        <v>2.6696525765024441</v>
      </c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>
        <f>AG43/AG41</f>
        <v>2.843117368531868</v>
      </c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>
        <f>AS43/AS41</f>
        <v>2.9411046057721522</v>
      </c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>
        <f>BE43/BE41</f>
        <v>3.0329411580364156</v>
      </c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>
        <f>BQ43/BQ41</f>
        <v>3.1519908604862015</v>
      </c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>
        <f>CC43/CC41</f>
        <v>3.2976536811155928</v>
      </c>
      <c r="CD44" s="232"/>
      <c r="CE44" s="232"/>
      <c r="CF44" s="223"/>
      <c r="CG44" s="223"/>
      <c r="CH44" s="223"/>
      <c r="CI44" s="223"/>
      <c r="CJ44" s="223"/>
    </row>
    <row r="45" spans="1:88" x14ac:dyDescent="0.2">
      <c r="C45" s="479"/>
      <c r="D45" s="479"/>
      <c r="E45" s="479"/>
      <c r="F45" s="479"/>
      <c r="G45" s="479"/>
      <c r="H45" s="479"/>
      <c r="I45" s="479"/>
      <c r="J45" s="45"/>
      <c r="K45" s="45"/>
      <c r="L45" s="45"/>
      <c r="M45" s="45"/>
      <c r="N45" s="45"/>
      <c r="O45" s="45"/>
      <c r="P45" s="45"/>
      <c r="Q45" s="45"/>
      <c r="R45" s="45">
        <f>R46-Q46</f>
        <v>493862.14285714272</v>
      </c>
      <c r="S45" s="45"/>
      <c r="T45" s="45"/>
      <c r="U45" s="45"/>
      <c r="V45" s="45"/>
      <c r="W45" s="45"/>
      <c r="X45" s="45"/>
      <c r="Y45" s="45"/>
      <c r="Z45" s="45"/>
      <c r="AA45" s="231"/>
      <c r="AB45" s="247"/>
      <c r="AC45" s="247"/>
      <c r="AD45" s="247"/>
      <c r="AE45" s="247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</row>
    <row r="46" spans="1:88" x14ac:dyDescent="0.2">
      <c r="B46" s="225" t="s">
        <v>641</v>
      </c>
      <c r="C46" s="45">
        <f>-'[13]Mcf Bal current'!I110+'[13]Mcf Bal current'!I111</f>
        <v>-3009021</v>
      </c>
      <c r="D46" s="45">
        <f>-'[13]Mcf Bal current'!J110+'[13]Mcf Bal current'!J111</f>
        <v>-2665083</v>
      </c>
      <c r="E46" s="45">
        <f>-'[13]Mcf Bal current'!K110+'[13]Mcf Bal current'!K111</f>
        <v>-2122295</v>
      </c>
      <c r="F46" s="45">
        <f>-'[13]Mcf Bal current'!L110+'[13]Mcf Bal current'!L111</f>
        <v>-1847533</v>
      </c>
      <c r="G46" s="45">
        <f>-'[13]Mcf Bal current'!M110+'[13]Mcf Bal current'!M111</f>
        <v>-1348914</v>
      </c>
      <c r="H46" s="45">
        <f>-'[13]Mcf Bal current'!N110+'[13]Mcf Bal current'!N111</f>
        <v>-678977</v>
      </c>
      <c r="I46" s="45">
        <f>H46+I19-I14</f>
        <v>-181069.14285714284</v>
      </c>
      <c r="J46" s="45">
        <f t="shared" ref="J46:BU46" si="174">I46+J19-J14</f>
        <v>-565184.14285714284</v>
      </c>
      <c r="K46" s="45">
        <f t="shared" si="174"/>
        <v>-1333414.1428571427</v>
      </c>
      <c r="L46" s="45">
        <f t="shared" si="174"/>
        <v>-2255290.1428571427</v>
      </c>
      <c r="M46" s="45">
        <f t="shared" si="174"/>
        <v>-3061931.6428571427</v>
      </c>
      <c r="N46" s="45">
        <f t="shared" si="174"/>
        <v>-3638104.1428571427</v>
      </c>
      <c r="O46" s="45">
        <f t="shared" si="174"/>
        <v>-3144242</v>
      </c>
      <c r="P46" s="45">
        <f t="shared" si="174"/>
        <v>-2650379.8571428573</v>
      </c>
      <c r="Q46" s="45">
        <f t="shared" si="174"/>
        <v>-2156517.7142857146</v>
      </c>
      <c r="R46" s="45">
        <f t="shared" si="174"/>
        <v>-1662655.5714285718</v>
      </c>
      <c r="S46" s="45">
        <f t="shared" si="174"/>
        <v>-1168793.4285714291</v>
      </c>
      <c r="T46" s="45">
        <f t="shared" si="174"/>
        <v>-674931.28571428626</v>
      </c>
      <c r="U46" s="45">
        <f t="shared" si="174"/>
        <v>-181069.14285714342</v>
      </c>
      <c r="V46" s="45">
        <f t="shared" si="174"/>
        <v>-565184.14285714342</v>
      </c>
      <c r="W46" s="45">
        <f t="shared" si="174"/>
        <v>-1333414.1428571434</v>
      </c>
      <c r="X46" s="45">
        <f t="shared" si="174"/>
        <v>-2255290.1428571437</v>
      </c>
      <c r="Y46" s="45">
        <f t="shared" si="174"/>
        <v>-3061931.6428571437</v>
      </c>
      <c r="Z46" s="45">
        <f t="shared" si="174"/>
        <v>-3638104.1428571437</v>
      </c>
      <c r="AA46" s="45">
        <f t="shared" si="174"/>
        <v>-3144242.0000000009</v>
      </c>
      <c r="AB46" s="45">
        <f t="shared" si="174"/>
        <v>-2650379.8571428582</v>
      </c>
      <c r="AC46" s="45">
        <f t="shared" si="174"/>
        <v>-2156517.7142857155</v>
      </c>
      <c r="AD46" s="45">
        <f t="shared" si="174"/>
        <v>-1662655.5714285728</v>
      </c>
      <c r="AE46" s="45">
        <f t="shared" si="174"/>
        <v>-1168793.42857143</v>
      </c>
      <c r="AF46" s="45">
        <f t="shared" si="174"/>
        <v>-674931.28571428719</v>
      </c>
      <c r="AG46" s="45">
        <f t="shared" si="174"/>
        <v>-181069.14285714435</v>
      </c>
      <c r="AH46" s="45">
        <f t="shared" si="174"/>
        <v>-565184.14285714435</v>
      </c>
      <c r="AI46" s="45">
        <f t="shared" si="174"/>
        <v>-1333414.1428571444</v>
      </c>
      <c r="AJ46" s="45">
        <f t="shared" si="174"/>
        <v>-2255290.1428571446</v>
      </c>
      <c r="AK46" s="45">
        <f t="shared" si="174"/>
        <v>-3061931.6428571446</v>
      </c>
      <c r="AL46" s="45">
        <f t="shared" si="174"/>
        <v>-3638104.1428571446</v>
      </c>
      <c r="AM46" s="45">
        <f t="shared" si="174"/>
        <v>-3144242.0000000019</v>
      </c>
      <c r="AN46" s="45">
        <f t="shared" si="174"/>
        <v>-2650379.8571428591</v>
      </c>
      <c r="AO46" s="45">
        <f t="shared" si="174"/>
        <v>-2156517.7142857164</v>
      </c>
      <c r="AP46" s="45">
        <f t="shared" si="174"/>
        <v>-1662655.5714285737</v>
      </c>
      <c r="AQ46" s="45">
        <f t="shared" si="174"/>
        <v>-1168793.428571431</v>
      </c>
      <c r="AR46" s="45">
        <f t="shared" si="174"/>
        <v>-674931.28571428813</v>
      </c>
      <c r="AS46" s="45">
        <f t="shared" si="174"/>
        <v>-181069.14285714529</v>
      </c>
      <c r="AT46" s="45">
        <f t="shared" si="174"/>
        <v>-565184.14285714529</v>
      </c>
      <c r="AU46" s="45">
        <f t="shared" si="174"/>
        <v>-1333414.1428571453</v>
      </c>
      <c r="AV46" s="45">
        <f t="shared" si="174"/>
        <v>-2255290.1428571455</v>
      </c>
      <c r="AW46" s="45">
        <f t="shared" si="174"/>
        <v>-3061931.6428571455</v>
      </c>
      <c r="AX46" s="45">
        <f t="shared" si="174"/>
        <v>-3638104.1428571455</v>
      </c>
      <c r="AY46" s="45">
        <f t="shared" si="174"/>
        <v>-3144242.0000000028</v>
      </c>
      <c r="AZ46" s="45">
        <f t="shared" si="174"/>
        <v>-2650379.8571428601</v>
      </c>
      <c r="BA46" s="45">
        <f t="shared" si="174"/>
        <v>-2156517.7142857173</v>
      </c>
      <c r="BB46" s="45">
        <f t="shared" si="174"/>
        <v>-1662655.5714285746</v>
      </c>
      <c r="BC46" s="45">
        <f t="shared" si="174"/>
        <v>-1168793.4285714319</v>
      </c>
      <c r="BD46" s="45">
        <f t="shared" si="174"/>
        <v>-674931.28571428906</v>
      </c>
      <c r="BE46" s="45">
        <f t="shared" si="174"/>
        <v>-181069.14285714622</v>
      </c>
      <c r="BF46" s="45">
        <f t="shared" si="174"/>
        <v>-565184.14285714622</v>
      </c>
      <c r="BG46" s="45">
        <f t="shared" si="174"/>
        <v>-1333414.1428571462</v>
      </c>
      <c r="BH46" s="45">
        <f t="shared" si="174"/>
        <v>-2255290.1428571464</v>
      </c>
      <c r="BI46" s="45">
        <f t="shared" si="174"/>
        <v>-3061931.6428571464</v>
      </c>
      <c r="BJ46" s="45">
        <f t="shared" si="174"/>
        <v>-3638104.1428571464</v>
      </c>
      <c r="BK46" s="45">
        <f t="shared" si="174"/>
        <v>-3144242.0000000037</v>
      </c>
      <c r="BL46" s="45">
        <f t="shared" si="174"/>
        <v>-2650379.857142861</v>
      </c>
      <c r="BM46" s="45">
        <f t="shared" si="174"/>
        <v>-2156517.7142857183</v>
      </c>
      <c r="BN46" s="45">
        <f t="shared" si="174"/>
        <v>-1662655.5714285756</v>
      </c>
      <c r="BO46" s="45">
        <f t="shared" si="174"/>
        <v>-1168793.4285714328</v>
      </c>
      <c r="BP46" s="45">
        <f t="shared" si="174"/>
        <v>-674931.28571428999</v>
      </c>
      <c r="BQ46" s="45">
        <f t="shared" si="174"/>
        <v>-181069.14285714715</v>
      </c>
      <c r="BR46" s="45">
        <f t="shared" si="174"/>
        <v>-565184.14285714715</v>
      </c>
      <c r="BS46" s="45">
        <f t="shared" si="174"/>
        <v>-1333414.1428571471</v>
      </c>
      <c r="BT46" s="45">
        <f t="shared" si="174"/>
        <v>-2255290.1428571474</v>
      </c>
      <c r="BU46" s="45">
        <f t="shared" si="174"/>
        <v>-3061931.6428571474</v>
      </c>
      <c r="BV46" s="45">
        <f t="shared" ref="BV46:CD46" si="175">BU46+BV19-BV14</f>
        <v>-3638104.1428571474</v>
      </c>
      <c r="BW46" s="45">
        <f t="shared" si="175"/>
        <v>-3144242.0000000047</v>
      </c>
      <c r="BX46" s="45">
        <f t="shared" si="175"/>
        <v>-2650379.8571428619</v>
      </c>
      <c r="BY46" s="45">
        <f t="shared" si="175"/>
        <v>-2156517.7142857192</v>
      </c>
      <c r="BZ46" s="45">
        <f t="shared" si="175"/>
        <v>-1662655.5714285765</v>
      </c>
      <c r="CA46" s="45">
        <f t="shared" si="175"/>
        <v>-1168793.4285714338</v>
      </c>
      <c r="CB46" s="45">
        <f t="shared" si="175"/>
        <v>-674931.28571429092</v>
      </c>
      <c r="CC46" s="45">
        <f t="shared" si="175"/>
        <v>-181069.14285714808</v>
      </c>
      <c r="CD46" s="45">
        <f t="shared" si="175"/>
        <v>-565184.14285714808</v>
      </c>
      <c r="CE46" s="225"/>
    </row>
    <row r="47" spans="1:88" x14ac:dyDescent="0.2">
      <c r="B47" s="225" t="s">
        <v>442</v>
      </c>
      <c r="C47" s="45"/>
      <c r="D47" s="45">
        <f>D48-C48</f>
        <v>-1172859.9600000009</v>
      </c>
      <c r="E47" s="45">
        <f t="shared" ref="E47:H47" si="176">E48-D48</f>
        <v>2996071.33</v>
      </c>
      <c r="F47" s="45">
        <f t="shared" si="176"/>
        <v>656485.65000000037</v>
      </c>
      <c r="G47" s="45">
        <f t="shared" si="176"/>
        <v>1367954.8100000005</v>
      </c>
      <c r="H47" s="45">
        <f t="shared" si="176"/>
        <v>1634416.7299999986</v>
      </c>
      <c r="I47" s="45">
        <f>+(I34+I35+I36)*I19</f>
        <v>1330073.1457750965</v>
      </c>
      <c r="J47" s="45">
        <f>-J14*I49</f>
        <v>-1012556.942955686</v>
      </c>
      <c r="K47" s="45">
        <f>-K14*I49</f>
        <v>-2025113.885911372</v>
      </c>
      <c r="L47" s="45">
        <f>-L14*I49</f>
        <v>-2430136.6630936465</v>
      </c>
      <c r="M47" s="45">
        <f>-M14*I49</f>
        <v>-2126369.5802069409</v>
      </c>
      <c r="N47" s="45">
        <f>-N14*I49</f>
        <v>-1518835.4144335291</v>
      </c>
      <c r="O47" s="45">
        <f t="shared" ref="O47:U47" si="177">+(O34+O35+O36)*O19</f>
        <v>1249494.0539576164</v>
      </c>
      <c r="P47" s="45">
        <f t="shared" si="177"/>
        <v>1266178.5858108986</v>
      </c>
      <c r="Q47" s="45">
        <f t="shared" si="177"/>
        <v>1290952.5876536502</v>
      </c>
      <c r="R47" s="45">
        <f t="shared" si="177"/>
        <v>1316737.7732450857</v>
      </c>
      <c r="S47" s="45">
        <f t="shared" si="177"/>
        <v>1324827.2432345557</v>
      </c>
      <c r="T47" s="45">
        <f t="shared" si="177"/>
        <v>1325838.4269832396</v>
      </c>
      <c r="U47" s="45">
        <f t="shared" si="177"/>
        <v>1338983.8157161281</v>
      </c>
      <c r="V47" s="45">
        <f>-V14*U49</f>
        <v>-1110192.3515785951</v>
      </c>
      <c r="W47" s="45">
        <f>-W14*U49</f>
        <v>-2220384.7031571902</v>
      </c>
      <c r="X47" s="45">
        <f>-X14*U49</f>
        <v>-2664461.6437886278</v>
      </c>
      <c r="Y47" s="45">
        <f>-Y14*U49</f>
        <v>-2331403.9383150497</v>
      </c>
      <c r="Z47" s="45">
        <f>-Z14*U49</f>
        <v>-1665288.5273678924</v>
      </c>
      <c r="AA47" s="45">
        <f t="shared" ref="AA47:AG47" si="178">+(AA34+AA35+AA36)*AA19</f>
        <v>1394598.9218937345</v>
      </c>
      <c r="AB47" s="45">
        <f t="shared" si="178"/>
        <v>1394598.9218937345</v>
      </c>
      <c r="AC47" s="45">
        <f t="shared" si="178"/>
        <v>1415833.7806160932</v>
      </c>
      <c r="AD47" s="45">
        <f t="shared" si="178"/>
        <v>1439091.0068358192</v>
      </c>
      <c r="AE47" s="45">
        <f t="shared" si="178"/>
        <v>1446674.8849509475</v>
      </c>
      <c r="AF47" s="45">
        <f t="shared" si="178"/>
        <v>1444146.9255792382</v>
      </c>
      <c r="AG47" s="45">
        <f t="shared" si="178"/>
        <v>1456786.722437785</v>
      </c>
      <c r="AH47" s="45">
        <f>-AH14*AG49</f>
        <v>-1140977.2790385222</v>
      </c>
      <c r="AI47" s="45">
        <f>-AI14*AG49</f>
        <v>-2281954.5580770443</v>
      </c>
      <c r="AJ47" s="45">
        <f>-AJ14*AG49</f>
        <v>-2738345.4696924533</v>
      </c>
      <c r="AK47" s="45">
        <f>-AK14*AG49</f>
        <v>-2396052.2859808966</v>
      </c>
      <c r="AL47" s="45">
        <f>-AL14*AG49</f>
        <v>-1711465.9185577834</v>
      </c>
      <c r="AM47" s="45">
        <f t="shared" ref="AM47:AS47" si="179">+(AM34+AM35+AM36)*AM19</f>
        <v>1442630.1499562126</v>
      </c>
      <c r="AN47" s="45">
        <f t="shared" si="179"/>
        <v>1441113.3743331868</v>
      </c>
      <c r="AO47" s="45">
        <f t="shared" si="179"/>
        <v>1457292.3143121267</v>
      </c>
      <c r="AP47" s="45">
        <f t="shared" si="179"/>
        <v>1474988.0299140925</v>
      </c>
      <c r="AQ47" s="45">
        <f t="shared" si="179"/>
        <v>1481560.7242805369</v>
      </c>
      <c r="AR47" s="45">
        <f t="shared" si="179"/>
        <v>1479032.7649088276</v>
      </c>
      <c r="AS47" s="45">
        <f t="shared" si="179"/>
        <v>1492178.1536417161</v>
      </c>
      <c r="AT47" s="45">
        <f>-AT14*AS49</f>
        <v>-1175694.5877433307</v>
      </c>
      <c r="AU47" s="45">
        <f>-AU14*AS49</f>
        <v>-2351389.1754866615</v>
      </c>
      <c r="AV47" s="45">
        <f>-AV14*AS49</f>
        <v>-2821667.010583994</v>
      </c>
      <c r="AW47" s="45">
        <f>-AW14*AS49</f>
        <v>-2468958.6342609948</v>
      </c>
      <c r="AX47" s="45">
        <f>-AX14*AS49</f>
        <v>-1763541.8816149964</v>
      </c>
      <c r="AY47" s="45">
        <f t="shared" ref="AY47:BE47" si="180">+(AY34+AY35+AY36)*AY19</f>
        <v>1487122.2348982973</v>
      </c>
      <c r="AZ47" s="45">
        <f t="shared" si="180"/>
        <v>1485099.86740093</v>
      </c>
      <c r="BA47" s="45">
        <f t="shared" si="180"/>
        <v>1501278.80737987</v>
      </c>
      <c r="BB47" s="45">
        <f t="shared" si="180"/>
        <v>1518974.5229818358</v>
      </c>
      <c r="BC47" s="45">
        <f t="shared" si="180"/>
        <v>1526558.4010969638</v>
      </c>
      <c r="BD47" s="45">
        <f t="shared" si="180"/>
        <v>1524030.4417252543</v>
      </c>
      <c r="BE47" s="45">
        <f t="shared" si="180"/>
        <v>1538187.0142068267</v>
      </c>
      <c r="BF47" s="45">
        <f>-BF14*BE49</f>
        <v>-1223894.3464305897</v>
      </c>
      <c r="BG47" s="45">
        <f>-BG14*BE49</f>
        <v>-2447788.6928611794</v>
      </c>
      <c r="BH47" s="45">
        <f>-BH14*BE49</f>
        <v>-2937346.431433415</v>
      </c>
      <c r="BI47" s="45">
        <f>-BI14*BE49</f>
        <v>-2570178.1275042379</v>
      </c>
      <c r="BJ47" s="45">
        <f>-BJ14*BE49</f>
        <v>-1835841.5196458844</v>
      </c>
      <c r="BK47" s="45">
        <f t="shared" ref="BK47:BQ47" si="181">+(BK34+BK35+BK36)*BK19</f>
        <v>1548298.8516936642</v>
      </c>
      <c r="BL47" s="45">
        <f t="shared" si="181"/>
        <v>1546276.4841962969</v>
      </c>
      <c r="BM47" s="45">
        <f t="shared" si="181"/>
        <v>1561444.2404265529</v>
      </c>
      <c r="BN47" s="45">
        <f t="shared" si="181"/>
        <v>1577623.1804054929</v>
      </c>
      <c r="BO47" s="45">
        <f t="shared" si="181"/>
        <v>1589757.385389698</v>
      </c>
      <c r="BP47" s="45">
        <f t="shared" si="181"/>
        <v>1587735.0178923304</v>
      </c>
      <c r="BQ47" s="45">
        <f t="shared" si="181"/>
        <v>1603913.9578712704</v>
      </c>
      <c r="BR47" s="45">
        <f>-BR14*BQ49</f>
        <v>-1282262.1194796127</v>
      </c>
      <c r="BS47" s="45">
        <f>-BS14*BQ49</f>
        <v>-2564524.2389592254</v>
      </c>
      <c r="BT47" s="45">
        <f>-BT14*BQ49</f>
        <v>-3077429.0867510703</v>
      </c>
      <c r="BU47" s="45">
        <f>-BU14*BQ49</f>
        <v>-2692750.4509071866</v>
      </c>
      <c r="BV47" s="45">
        <f>-BV14*BQ49</f>
        <v>-1923393.1792194189</v>
      </c>
      <c r="BW47" s="45">
        <f t="shared" ref="BW47:CC47" si="182">+(BW34+BW35+BW36)*BW19</f>
        <v>1620598.4897245523</v>
      </c>
      <c r="BX47" s="45">
        <f t="shared" si="182"/>
        <v>1618070.530352843</v>
      </c>
      <c r="BY47" s="45">
        <f t="shared" si="182"/>
        <v>1633238.2865830993</v>
      </c>
      <c r="BZ47" s="45">
        <f t="shared" si="182"/>
        <v>1651945.1859337485</v>
      </c>
      <c r="CA47" s="45">
        <f t="shared" si="182"/>
        <v>1667112.9421640048</v>
      </c>
      <c r="CB47" s="45">
        <f t="shared" si="182"/>
        <v>1665596.1665409792</v>
      </c>
      <c r="CC47" s="45">
        <f t="shared" si="182"/>
        <v>1683797.4740172864</v>
      </c>
      <c r="CD47" s="45">
        <f t="shared" ref="CD47" si="183">-CD14*CC49</f>
        <v>-1282262.1194796127</v>
      </c>
      <c r="CE47" s="45"/>
      <c r="CF47" s="34"/>
      <c r="CG47" s="34"/>
      <c r="CH47" s="34"/>
      <c r="CI47" s="34"/>
      <c r="CJ47" s="34"/>
    </row>
    <row r="48" spans="1:88" x14ac:dyDescent="0.2">
      <c r="A48" s="45"/>
      <c r="B48" s="225" t="s">
        <v>440</v>
      </c>
      <c r="C48" s="45">
        <f>'[13]$ bal current'!I136</f>
        <v>-7237769.2699999996</v>
      </c>
      <c r="D48" s="45">
        <f>'[13]$ bal current'!J136</f>
        <v>-8410629.2300000004</v>
      </c>
      <c r="E48" s="45">
        <f>'[13]$ bal current'!K136</f>
        <v>-5414557.9000000004</v>
      </c>
      <c r="F48" s="45">
        <f>'[13]$ bal current'!L136</f>
        <v>-4758072.25</v>
      </c>
      <c r="G48" s="45">
        <f>'[13]$ bal current'!M136</f>
        <v>-3390117.4399999995</v>
      </c>
      <c r="H48" s="45">
        <f>'[13]$ bal current'!N136</f>
        <v>-1755700.7100000009</v>
      </c>
      <c r="I48" s="45">
        <f t="shared" ref="I48:BT48" si="184">H48+I47</f>
        <v>-425627.5642249044</v>
      </c>
      <c r="J48" s="45">
        <f t="shared" si="184"/>
        <v>-1438184.5071805904</v>
      </c>
      <c r="K48" s="45">
        <f t="shared" si="184"/>
        <v>-3463298.3930919627</v>
      </c>
      <c r="L48" s="45">
        <f t="shared" si="184"/>
        <v>-5893435.0561856087</v>
      </c>
      <c r="M48" s="45">
        <f t="shared" si="184"/>
        <v>-8019804.6363925496</v>
      </c>
      <c r="N48" s="45">
        <f t="shared" si="184"/>
        <v>-9538640.0508260783</v>
      </c>
      <c r="O48" s="45">
        <f t="shared" si="184"/>
        <v>-8289145.9968684614</v>
      </c>
      <c r="P48" s="45">
        <f t="shared" si="184"/>
        <v>-7022967.4110575626</v>
      </c>
      <c r="Q48" s="45">
        <f t="shared" si="184"/>
        <v>-5732014.8234039126</v>
      </c>
      <c r="R48" s="45">
        <f t="shared" si="184"/>
        <v>-4415277.0501588266</v>
      </c>
      <c r="S48" s="45">
        <f t="shared" si="184"/>
        <v>-3090449.8069242709</v>
      </c>
      <c r="T48" s="45">
        <f t="shared" si="184"/>
        <v>-1764611.3799410313</v>
      </c>
      <c r="U48" s="45">
        <f t="shared" si="184"/>
        <v>-425627.56422490324</v>
      </c>
      <c r="V48" s="45">
        <f t="shared" si="184"/>
        <v>-1535819.9158034984</v>
      </c>
      <c r="W48" s="45">
        <f t="shared" si="184"/>
        <v>-3756204.6189606888</v>
      </c>
      <c r="X48" s="45">
        <f t="shared" si="184"/>
        <v>-6420666.2627493162</v>
      </c>
      <c r="Y48" s="45">
        <f t="shared" si="184"/>
        <v>-8752070.2010643668</v>
      </c>
      <c r="Z48" s="45">
        <f t="shared" si="184"/>
        <v>-10417358.728432259</v>
      </c>
      <c r="AA48" s="45">
        <f t="shared" si="184"/>
        <v>-9022759.8065385241</v>
      </c>
      <c r="AB48" s="45">
        <f t="shared" si="184"/>
        <v>-7628160.8846447896</v>
      </c>
      <c r="AC48" s="45">
        <f t="shared" si="184"/>
        <v>-6212327.1040286962</v>
      </c>
      <c r="AD48" s="45">
        <f t="shared" si="184"/>
        <v>-4773236.097192877</v>
      </c>
      <c r="AE48" s="45">
        <f t="shared" si="184"/>
        <v>-3326561.2122419295</v>
      </c>
      <c r="AF48" s="45">
        <f t="shared" si="184"/>
        <v>-1882414.2866626913</v>
      </c>
      <c r="AG48" s="45">
        <f t="shared" si="184"/>
        <v>-425627.56422490627</v>
      </c>
      <c r="AH48" s="45">
        <f t="shared" si="184"/>
        <v>-1566604.8432634284</v>
      </c>
      <c r="AI48" s="45">
        <f t="shared" si="184"/>
        <v>-3848559.4013404725</v>
      </c>
      <c r="AJ48" s="45">
        <f t="shared" si="184"/>
        <v>-6586904.8710329253</v>
      </c>
      <c r="AK48" s="45">
        <f t="shared" si="184"/>
        <v>-8982957.1570138223</v>
      </c>
      <c r="AL48" s="45">
        <f t="shared" si="184"/>
        <v>-10694423.075571606</v>
      </c>
      <c r="AM48" s="45">
        <f t="shared" si="184"/>
        <v>-9251792.9256153926</v>
      </c>
      <c r="AN48" s="45">
        <f t="shared" si="184"/>
        <v>-7810679.5512822056</v>
      </c>
      <c r="AO48" s="45">
        <f t="shared" si="184"/>
        <v>-6353387.2369700791</v>
      </c>
      <c r="AP48" s="45">
        <f t="shared" si="184"/>
        <v>-4878399.2070559869</v>
      </c>
      <c r="AQ48" s="45">
        <f t="shared" si="184"/>
        <v>-3396838.4827754498</v>
      </c>
      <c r="AR48" s="45">
        <f t="shared" si="184"/>
        <v>-1917805.7178666221</v>
      </c>
      <c r="AS48" s="45">
        <f t="shared" si="184"/>
        <v>-425627.56422490603</v>
      </c>
      <c r="AT48" s="45">
        <f t="shared" si="184"/>
        <v>-1601322.1519682368</v>
      </c>
      <c r="AU48" s="45">
        <f t="shared" si="184"/>
        <v>-3952711.3274548985</v>
      </c>
      <c r="AV48" s="45">
        <f t="shared" si="184"/>
        <v>-6774378.3380388925</v>
      </c>
      <c r="AW48" s="45">
        <f t="shared" si="184"/>
        <v>-9243336.9722998869</v>
      </c>
      <c r="AX48" s="45">
        <f t="shared" si="184"/>
        <v>-11006878.853914883</v>
      </c>
      <c r="AY48" s="45">
        <f t="shared" si="184"/>
        <v>-9519756.6190165859</v>
      </c>
      <c r="AZ48" s="45">
        <f t="shared" si="184"/>
        <v>-8034656.7516156556</v>
      </c>
      <c r="BA48" s="45">
        <f t="shared" si="184"/>
        <v>-6533377.9442357859</v>
      </c>
      <c r="BB48" s="45">
        <f t="shared" si="184"/>
        <v>-5014403.4212539503</v>
      </c>
      <c r="BC48" s="45">
        <f t="shared" si="184"/>
        <v>-3487845.0201569865</v>
      </c>
      <c r="BD48" s="45">
        <f t="shared" si="184"/>
        <v>-1963814.5784317323</v>
      </c>
      <c r="BE48" s="45">
        <f t="shared" si="184"/>
        <v>-425627.56422490557</v>
      </c>
      <c r="BF48" s="45">
        <f t="shared" si="184"/>
        <v>-1649521.9106554952</v>
      </c>
      <c r="BG48" s="45">
        <f t="shared" si="184"/>
        <v>-4097310.6035166746</v>
      </c>
      <c r="BH48" s="45">
        <f t="shared" si="184"/>
        <v>-7034657.0349500896</v>
      </c>
      <c r="BI48" s="45">
        <f t="shared" si="184"/>
        <v>-9604835.1624543276</v>
      </c>
      <c r="BJ48" s="45">
        <f t="shared" si="184"/>
        <v>-11440676.682100212</v>
      </c>
      <c r="BK48" s="45">
        <f t="shared" si="184"/>
        <v>-9892377.8304065485</v>
      </c>
      <c r="BL48" s="45">
        <f t="shared" si="184"/>
        <v>-8346101.3462102516</v>
      </c>
      <c r="BM48" s="45">
        <f t="shared" si="184"/>
        <v>-6784657.1057836991</v>
      </c>
      <c r="BN48" s="45">
        <f t="shared" si="184"/>
        <v>-5207033.9253782062</v>
      </c>
      <c r="BO48" s="45">
        <f t="shared" si="184"/>
        <v>-3617276.5399885084</v>
      </c>
      <c r="BP48" s="45">
        <f t="shared" si="184"/>
        <v>-2029541.522096178</v>
      </c>
      <c r="BQ48" s="45">
        <f t="shared" si="184"/>
        <v>-425627.56422490766</v>
      </c>
      <c r="BR48" s="45">
        <f t="shared" si="184"/>
        <v>-1707889.6837045203</v>
      </c>
      <c r="BS48" s="45">
        <f t="shared" si="184"/>
        <v>-4272413.9226637455</v>
      </c>
      <c r="BT48" s="45">
        <f t="shared" si="184"/>
        <v>-7349843.0094148163</v>
      </c>
      <c r="BU48" s="45">
        <f t="shared" ref="BU48:CD48" si="185">BT48+BU47</f>
        <v>-10042593.460322004</v>
      </c>
      <c r="BV48" s="45">
        <f t="shared" si="185"/>
        <v>-11965986.639541423</v>
      </c>
      <c r="BW48" s="45">
        <f t="shared" si="185"/>
        <v>-10345388.149816871</v>
      </c>
      <c r="BX48" s="45">
        <f t="shared" si="185"/>
        <v>-8727317.6194640286</v>
      </c>
      <c r="BY48" s="45">
        <f t="shared" si="185"/>
        <v>-7094079.3328809291</v>
      </c>
      <c r="BZ48" s="45">
        <f t="shared" si="185"/>
        <v>-5442134.1469471809</v>
      </c>
      <c r="CA48" s="45">
        <f t="shared" si="185"/>
        <v>-3775021.2047831761</v>
      </c>
      <c r="CB48" s="45">
        <f t="shared" si="185"/>
        <v>-2109425.0382421967</v>
      </c>
      <c r="CC48" s="45">
        <f t="shared" si="185"/>
        <v>-425627.56422491022</v>
      </c>
      <c r="CD48" s="45">
        <f t="shared" si="185"/>
        <v>-1707889.6837045229</v>
      </c>
      <c r="CE48" s="45"/>
      <c r="CF48" s="45"/>
      <c r="CG48" s="45"/>
      <c r="CH48" s="45"/>
      <c r="CI48" s="45"/>
      <c r="CJ48" s="45"/>
    </row>
    <row r="49" spans="1:88" x14ac:dyDescent="0.2">
      <c r="A49" s="668">
        <f>SUM(H47:N47)/SUM(H19:N19)</f>
        <v>-5.5268048343467129</v>
      </c>
      <c r="B49" s="225" t="s">
        <v>443</v>
      </c>
      <c r="C49" s="479"/>
      <c r="D49" s="479"/>
      <c r="E49" s="479"/>
      <c r="F49" s="479"/>
      <c r="G49" s="479"/>
      <c r="H49" s="232">
        <f>H48/H46</f>
        <v>2.5858029211593339</v>
      </c>
      <c r="I49" s="232">
        <f>SUM(O47:U47)/SUM(O19:U19)</f>
        <v>2.6360775886275882</v>
      </c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>
        <f>SUM(AA47:AG47)/SUM(AA19:AG19)</f>
        <v>2.8902603428103433</v>
      </c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>
        <f>SUM(AM47:AS47)/SUM(AM19:AS19)</f>
        <v>2.9704054229554226</v>
      </c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>
        <f>SUM(AY47:BE47)/SUM(AY19:BE19)</f>
        <v>3.060788013338013</v>
      </c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>
        <f>SUM(BK47:BQ47)/SUM(BK19:BQ19)</f>
        <v>3.1862706388206385</v>
      </c>
      <c r="BF49" s="232"/>
      <c r="BG49" s="232"/>
      <c r="BH49" s="232"/>
      <c r="BI49" s="232"/>
      <c r="BJ49" s="232"/>
      <c r="BK49" s="232"/>
      <c r="BL49" s="232"/>
      <c r="BM49" s="232"/>
      <c r="BN49" s="232"/>
      <c r="BO49" s="232"/>
      <c r="BP49" s="232"/>
      <c r="BQ49" s="232">
        <f>SUM(BW47:CC47)/SUM(BW19:CC19)</f>
        <v>3.3382245407745406</v>
      </c>
      <c r="BR49" s="232"/>
      <c r="BS49" s="232"/>
      <c r="BT49" s="232"/>
      <c r="BU49" s="232"/>
      <c r="BV49" s="232"/>
      <c r="BW49" s="232"/>
      <c r="BX49" s="232"/>
      <c r="BY49" s="232"/>
      <c r="BZ49" s="232"/>
      <c r="CA49" s="232"/>
      <c r="CB49" s="232"/>
      <c r="CC49" s="232">
        <f>SUM(BW47:CC47)/SUM(BW19:CC19)</f>
        <v>3.3382245407745406</v>
      </c>
      <c r="CD49" s="232"/>
      <c r="CE49" s="232"/>
      <c r="CF49" s="223"/>
      <c r="CG49" s="223"/>
      <c r="CH49" s="223"/>
      <c r="CI49" s="223"/>
      <c r="CJ49" s="223"/>
    </row>
    <row r="50" spans="1:88" x14ac:dyDescent="0.2">
      <c r="D50" s="511"/>
      <c r="E50" s="511"/>
      <c r="F50" s="511"/>
      <c r="G50" s="511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45">
        <f>R48-Q48</f>
        <v>1316737.773245086</v>
      </c>
      <c r="S50" s="232">
        <f>R50/R45</f>
        <v>2.6662051187551192</v>
      </c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  <c r="BB50" s="225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5"/>
      <c r="BN50" s="225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5"/>
      <c r="BZ50" s="225"/>
      <c r="CA50" s="225"/>
      <c r="CB50" s="225"/>
      <c r="CC50" s="225"/>
      <c r="CD50" s="225"/>
      <c r="CE50" s="225"/>
    </row>
    <row r="51" spans="1:88" x14ac:dyDescent="0.2">
      <c r="B51" s="225" t="s">
        <v>642</v>
      </c>
      <c r="C51" s="45">
        <f t="shared" ref="C51:F51" si="186">C48+C43</f>
        <v>1712587.75</v>
      </c>
      <c r="D51" s="45">
        <f t="shared" si="186"/>
        <v>1156435.0399999991</v>
      </c>
      <c r="E51" s="45">
        <f t="shared" si="186"/>
        <v>6341727.5800000001</v>
      </c>
      <c r="F51" s="45">
        <f t="shared" si="186"/>
        <v>9174321.3399999999</v>
      </c>
      <c r="G51" s="45">
        <f>G48+G43</f>
        <v>12883047.880000001</v>
      </c>
      <c r="H51" s="45">
        <f>H48+H43</f>
        <v>16574116.969999999</v>
      </c>
      <c r="I51" s="45">
        <f t="shared" ref="I51:BT51" si="187">I48+I43</f>
        <v>20151685.449179217</v>
      </c>
      <c r="J51" s="45">
        <f t="shared" si="187"/>
        <v>17745957.124034587</v>
      </c>
      <c r="K51" s="45">
        <f t="shared" si="187"/>
        <v>12230225.891968817</v>
      </c>
      <c r="L51" s="45">
        <f t="shared" si="187"/>
        <v>5459843.7922860514</v>
      </c>
      <c r="M51" s="45">
        <f t="shared" si="187"/>
        <v>-778028.49315554556</v>
      </c>
      <c r="N51" s="45">
        <f t="shared" si="187"/>
        <v>-5604383.8902696259</v>
      </c>
      <c r="O51" s="45">
        <f t="shared" si="187"/>
        <v>-2240183.3355918601</v>
      </c>
      <c r="P51" s="45">
        <f t="shared" si="187"/>
        <v>1169008.1587094581</v>
      </c>
      <c r="Q51" s="45">
        <f t="shared" si="187"/>
        <v>4645004.3815427171</v>
      </c>
      <c r="R51" s="45">
        <f t="shared" si="187"/>
        <v>8190532.056521466</v>
      </c>
      <c r="S51" s="45">
        <f t="shared" si="187"/>
        <v>11757873.520408602</v>
      </c>
      <c r="T51" s="45">
        <f t="shared" si="187"/>
        <v>15327941.707909286</v>
      </c>
      <c r="U51" s="45">
        <f t="shared" si="187"/>
        <v>18933457.302386105</v>
      </c>
      <c r="V51" s="45">
        <f t="shared" si="187"/>
        <v>16512572.782011667</v>
      </c>
      <c r="W51" s="45">
        <f t="shared" si="187"/>
        <v>11008223.967648663</v>
      </c>
      <c r="X51" s="45">
        <f t="shared" si="187"/>
        <v>4260470.2198755667</v>
      </c>
      <c r="Y51" s="45">
        <f t="shared" si="187"/>
        <v>-1939025.2301004119</v>
      </c>
      <c r="Z51" s="45">
        <f t="shared" si="187"/>
        <v>-6716020.3248425219</v>
      </c>
      <c r="AA51" s="45">
        <f t="shared" si="187"/>
        <v>-2960534.9316205308</v>
      </c>
      <c r="AB51" s="45">
        <f t="shared" si="187"/>
        <v>794950.46160146035</v>
      </c>
      <c r="AC51" s="45">
        <f t="shared" si="187"/>
        <v>4607697.0507079717</v>
      </c>
      <c r="AD51" s="45">
        <f t="shared" si="187"/>
        <v>8483158.2829261012</v>
      </c>
      <c r="AE51" s="45">
        <f t="shared" si="187"/>
        <v>12379069.942245845</v>
      </c>
      <c r="AF51" s="45">
        <f t="shared" si="187"/>
        <v>16268164.792531718</v>
      </c>
      <c r="AG51" s="45">
        <f t="shared" si="187"/>
        <v>20191343.687986948</v>
      </c>
      <c r="AH51" s="45">
        <f t="shared" si="187"/>
        <v>17654509.995757669</v>
      </c>
      <c r="AI51" s="45">
        <f t="shared" si="187"/>
        <v>11875210.695378345</v>
      </c>
      <c r="AJ51" s="45">
        <f t="shared" si="187"/>
        <v>4788254.9219298922</v>
      </c>
      <c r="AK51" s="45">
        <f t="shared" si="187"/>
        <v>-1727224.0852170223</v>
      </c>
      <c r="AL51" s="45">
        <f t="shared" si="187"/>
        <v>-6752584.5027612057</v>
      </c>
      <c r="AM51" s="45">
        <f t="shared" si="187"/>
        <v>-2867579.7378956545</v>
      </c>
      <c r="AN51" s="45">
        <f t="shared" si="187"/>
        <v>1013334.9415495722</v>
      </c>
      <c r="AO51" s="45">
        <f t="shared" si="187"/>
        <v>4937877.1988115767</v>
      </c>
      <c r="AP51" s="45">
        <f t="shared" si="187"/>
        <v>8910137.1193106808</v>
      </c>
      <c r="AQ51" s="45">
        <f t="shared" si="187"/>
        <v>12900120.743297854</v>
      </c>
      <c r="AR51" s="45">
        <f t="shared" si="187"/>
        <v>16883287.558251154</v>
      </c>
      <c r="AS51" s="45">
        <f t="shared" si="187"/>
        <v>20901901.780180585</v>
      </c>
      <c r="AT51" s="45">
        <f t="shared" si="187"/>
        <v>18282242.982140914</v>
      </c>
      <c r="AU51" s="45">
        <f t="shared" si="187"/>
        <v>12312974.065421555</v>
      </c>
      <c r="AV51" s="45">
        <f t="shared" si="187"/>
        <v>4992823.1249640035</v>
      </c>
      <c r="AW51" s="45">
        <f t="shared" si="187"/>
        <v>-1737537.1091256151</v>
      </c>
      <c r="AX51" s="45">
        <f t="shared" si="187"/>
        <v>-6929185.9278259464</v>
      </c>
      <c r="AY51" s="45">
        <f t="shared" si="187"/>
        <v>-2924205.3239642568</v>
      </c>
      <c r="AZ51" s="45">
        <f t="shared" si="187"/>
        <v>1075321.8326703357</v>
      </c>
      <c r="BA51" s="45">
        <f t="shared" si="187"/>
        <v>5118476.5671217041</v>
      </c>
      <c r="BB51" s="45">
        <f t="shared" si="187"/>
        <v>9209348.964810174</v>
      </c>
      <c r="BC51" s="45">
        <f t="shared" si="187"/>
        <v>13320671.789600261</v>
      </c>
      <c r="BD51" s="45">
        <f t="shared" si="187"/>
        <v>17425177.805356473</v>
      </c>
      <c r="BE51" s="45">
        <f t="shared" si="187"/>
        <v>21567857.951702368</v>
      </c>
      <c r="BF51" s="45">
        <f t="shared" si="187"/>
        <v>18854911.337105498</v>
      </c>
      <c r="BG51" s="45">
        <f t="shared" si="187"/>
        <v>12676273.918063086</v>
      </c>
      <c r="BH51" s="45">
        <f t="shared" si="187"/>
        <v>5099977.538061983</v>
      </c>
      <c r="BI51" s="45">
        <f t="shared" si="187"/>
        <v>-1864665.2669912754</v>
      </c>
      <c r="BJ51" s="45">
        <f t="shared" si="187"/>
        <v>-7235657.0166666666</v>
      </c>
      <c r="BK51" s="45">
        <f t="shared" si="187"/>
        <v>-3065709.6341852862</v>
      </c>
      <c r="BL51" s="45">
        <f t="shared" si="187"/>
        <v>1098784.3010689961</v>
      </c>
      <c r="BM51" s="45">
        <f t="shared" si="187"/>
        <v>5304179.0905265082</v>
      </c>
      <c r="BN51" s="45">
        <f t="shared" si="187"/>
        <v>9553201.4578007981</v>
      </c>
      <c r="BO51" s="45">
        <f t="shared" si="187"/>
        <v>13834944.508437673</v>
      </c>
      <c r="BP51" s="45">
        <f t="shared" si="187"/>
        <v>18111234.111847449</v>
      </c>
      <c r="BQ51" s="45">
        <f t="shared" si="187"/>
        <v>22431151.293074004</v>
      </c>
      <c r="BR51" s="45">
        <f t="shared" si="187"/>
        <v>19601388.284033772</v>
      </c>
      <c r="BS51" s="45">
        <f t="shared" si="187"/>
        <v>13159571.188396376</v>
      </c>
      <c r="BT51" s="45">
        <f t="shared" si="187"/>
        <v>5261103.0249739978</v>
      </c>
      <c r="BU51" s="45">
        <f t="shared" ref="BU51:CD51" si="188">BU48+BU43</f>
        <v>-1998604.6396140382</v>
      </c>
      <c r="BV51" s="45">
        <f t="shared" si="188"/>
        <v>-7595910.5770726362</v>
      </c>
      <c r="BW51" s="45">
        <f t="shared" si="188"/>
        <v>-3231002.4562225305</v>
      </c>
      <c r="BX51" s="45">
        <f t="shared" si="188"/>
        <v>1127088.8555937037</v>
      </c>
      <c r="BY51" s="45">
        <f t="shared" si="188"/>
        <v>5526081.0216131676</v>
      </c>
      <c r="BZ51" s="45">
        <f t="shared" si="188"/>
        <v>9975517.574483281</v>
      </c>
      <c r="CA51" s="45">
        <f t="shared" si="188"/>
        <v>14465854.981556624</v>
      </c>
      <c r="CB51" s="45">
        <f t="shared" si="188"/>
        <v>18952102.30320964</v>
      </c>
      <c r="CC51" s="45">
        <f t="shared" si="188"/>
        <v>23487430.649906535</v>
      </c>
      <c r="CD51" s="45">
        <f t="shared" si="188"/>
        <v>20586153.047557771</v>
      </c>
      <c r="CE51" s="45"/>
      <c r="CF51" s="34"/>
      <c r="CG51" s="34"/>
      <c r="CH51" s="34"/>
      <c r="CI51" s="34"/>
      <c r="CJ51" s="34"/>
    </row>
    <row r="52" spans="1:88" x14ac:dyDescent="0.2">
      <c r="B52" s="232" t="s">
        <v>534</v>
      </c>
      <c r="C52" s="45">
        <f>'[13]$ bal current'!I148</f>
        <v>1712587.7499999995</v>
      </c>
      <c r="D52" s="45">
        <f>'[13]$ bal current'!J148</f>
        <v>1156435.0399999993</v>
      </c>
      <c r="E52" s="45">
        <f>'[13]$ bal current'!K148</f>
        <v>6341727.5800000001</v>
      </c>
      <c r="F52" s="45">
        <f>'[13]$ bal current'!L148</f>
        <v>9174321.3399999999</v>
      </c>
      <c r="G52" s="45">
        <f>'[13]$ bal current'!M148</f>
        <v>12883047.880000001</v>
      </c>
      <c r="H52" s="45">
        <f>'[13]$ bal current'!N148</f>
        <v>16574116.969999999</v>
      </c>
      <c r="I52" s="608"/>
      <c r="J52" s="608"/>
      <c r="K52" s="608"/>
      <c r="L52" s="608"/>
      <c r="M52" s="608"/>
      <c r="N52" s="608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25"/>
      <c r="BU52" s="225"/>
      <c r="BV52" s="225"/>
      <c r="BW52" s="225"/>
      <c r="BX52" s="225"/>
      <c r="BY52" s="225"/>
      <c r="BZ52" s="225"/>
      <c r="CA52" s="225"/>
      <c r="CB52" s="225"/>
      <c r="CC52" s="225"/>
      <c r="CD52" s="225"/>
      <c r="CE52" s="225"/>
    </row>
    <row r="53" spans="1:88" x14ac:dyDescent="0.2">
      <c r="B53" s="225" t="s">
        <v>537</v>
      </c>
      <c r="H53" s="225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231"/>
      <c r="V53" s="231"/>
      <c r="W53" s="231"/>
      <c r="X53" s="231"/>
      <c r="Y53" s="231"/>
      <c r="Z53" s="231"/>
      <c r="AA53" s="231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5"/>
      <c r="BK53" s="225"/>
      <c r="BL53" s="225"/>
      <c r="BM53" s="225"/>
      <c r="BN53" s="225"/>
      <c r="BO53" s="225"/>
      <c r="BP53" s="225"/>
      <c r="BQ53" s="225"/>
      <c r="BR53" s="225"/>
      <c r="BS53" s="225"/>
      <c r="BT53" s="225"/>
      <c r="BU53" s="225"/>
      <c r="BV53" s="225"/>
      <c r="BW53" s="225"/>
      <c r="BX53" s="225"/>
      <c r="BY53" s="225"/>
      <c r="BZ53" s="225"/>
      <c r="CA53" s="225"/>
      <c r="CB53" s="225"/>
      <c r="CC53" s="225"/>
      <c r="CD53" s="225"/>
      <c r="CE53" s="225"/>
    </row>
    <row r="54" spans="1:88" ht="18" x14ac:dyDescent="0.25">
      <c r="A54" s="233" t="s">
        <v>444</v>
      </c>
      <c r="D54" s="45"/>
      <c r="H54" s="225"/>
      <c r="I54" s="225"/>
      <c r="J54" s="225"/>
      <c r="K54" s="225"/>
      <c r="L54" s="225"/>
      <c r="M54" s="225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25"/>
      <c r="BU54" s="225"/>
      <c r="BV54" s="225"/>
      <c r="BW54" s="225"/>
      <c r="BX54" s="225"/>
      <c r="BY54" s="225"/>
      <c r="BZ54" s="225"/>
      <c r="CA54" s="225"/>
      <c r="CB54" s="225"/>
      <c r="CC54" s="225"/>
      <c r="CD54" s="225"/>
      <c r="CE54" s="225"/>
    </row>
    <row r="55" spans="1:88" x14ac:dyDescent="0.2">
      <c r="H55" s="225"/>
      <c r="I55" s="225"/>
      <c r="J55" s="225"/>
      <c r="K55" s="225"/>
      <c r="L55" s="225"/>
      <c r="M55" s="225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225"/>
      <c r="BF55" s="225"/>
      <c r="BG55" s="225"/>
      <c r="BH55" s="225"/>
      <c r="BI55" s="225"/>
      <c r="BJ55" s="225"/>
      <c r="BK55" s="225"/>
      <c r="BL55" s="225"/>
      <c r="BM55" s="225"/>
      <c r="BN55" s="225"/>
      <c r="BO55" s="225"/>
      <c r="BP55" s="225"/>
      <c r="BQ55" s="225"/>
      <c r="BR55" s="225"/>
      <c r="BS55" s="225"/>
      <c r="BT55" s="225"/>
      <c r="BU55" s="225"/>
      <c r="BV55" s="225"/>
      <c r="BW55" s="225"/>
      <c r="BX55" s="225"/>
      <c r="BY55" s="225"/>
      <c r="BZ55" s="225"/>
      <c r="CA55" s="225"/>
      <c r="CB55" s="225"/>
      <c r="CC55" s="225"/>
      <c r="CD55" s="225"/>
      <c r="CE55" s="225"/>
    </row>
    <row r="56" spans="1:88" x14ac:dyDescent="0.2">
      <c r="B56" s="225" t="s">
        <v>445</v>
      </c>
      <c r="H56" s="231">
        <f t="shared" ref="H56:AM56" si="189">+H10-H24+H21-H16-H26</f>
        <v>1904964.4195199062</v>
      </c>
      <c r="I56" s="231">
        <f t="shared" si="189"/>
        <v>2441858.6558907405</v>
      </c>
      <c r="J56" s="231">
        <f t="shared" si="189"/>
        <v>1007206.4918052445</v>
      </c>
      <c r="K56" s="231">
        <f t="shared" si="189"/>
        <v>792557.67793471925</v>
      </c>
      <c r="L56" s="231">
        <f t="shared" si="189"/>
        <v>724148.68910202803</v>
      </c>
      <c r="M56" s="231">
        <f t="shared" si="189"/>
        <v>332931.31770181889</v>
      </c>
      <c r="N56" s="231">
        <f t="shared" si="189"/>
        <v>489719.22246472863</v>
      </c>
      <c r="O56" s="231">
        <f t="shared" si="189"/>
        <v>2437055.4440017762</v>
      </c>
      <c r="P56" s="231">
        <f t="shared" si="189"/>
        <v>1946213.8602593835</v>
      </c>
      <c r="Q56" s="231">
        <f t="shared" si="189"/>
        <v>1745272.5077881501</v>
      </c>
      <c r="R56" s="231">
        <f t="shared" si="189"/>
        <v>1716055.1594330217</v>
      </c>
      <c r="S56" s="231">
        <f t="shared" si="189"/>
        <v>1720605.5889784102</v>
      </c>
      <c r="T56" s="231">
        <f t="shared" si="189"/>
        <v>1779369.666489485</v>
      </c>
      <c r="U56" s="231">
        <f t="shared" si="189"/>
        <v>2434104.447903703</v>
      </c>
      <c r="V56" s="231">
        <f t="shared" si="189"/>
        <v>1126476.4605639004</v>
      </c>
      <c r="W56" s="231">
        <f t="shared" si="189"/>
        <v>960441.56071374798</v>
      </c>
      <c r="X56" s="231">
        <f t="shared" si="189"/>
        <v>925957.76063420298</v>
      </c>
      <c r="Y56" s="231">
        <f t="shared" si="189"/>
        <v>425493.23950831499</v>
      </c>
      <c r="Z56" s="231">
        <f t="shared" si="189"/>
        <v>579376.27324473113</v>
      </c>
      <c r="AA56" s="231">
        <f t="shared" si="189"/>
        <v>2438643.1238447134</v>
      </c>
      <c r="AB56" s="231">
        <f t="shared" si="189"/>
        <v>1946992.1799803176</v>
      </c>
      <c r="AC56" s="231">
        <f t="shared" si="189"/>
        <v>1745722.5042549465</v>
      </c>
      <c r="AD56" s="231">
        <f t="shared" si="189"/>
        <v>1716499.9369357761</v>
      </c>
      <c r="AE56" s="231">
        <f t="shared" si="189"/>
        <v>1721050.3806578601</v>
      </c>
      <c r="AF56" s="231">
        <f t="shared" si="189"/>
        <v>1779936.7298182719</v>
      </c>
      <c r="AG56" s="231">
        <f t="shared" si="189"/>
        <v>2435792.4194248859</v>
      </c>
      <c r="AH56" s="231">
        <f t="shared" si="189"/>
        <v>1129746.4262947123</v>
      </c>
      <c r="AI56" s="231">
        <f t="shared" si="189"/>
        <v>965124.45023045223</v>
      </c>
      <c r="AJ56" s="231">
        <f t="shared" si="189"/>
        <v>931285.84841730352</v>
      </c>
      <c r="AK56" s="231">
        <f t="shared" si="189"/>
        <v>430175.18112990819</v>
      </c>
      <c r="AL56" s="231">
        <f t="shared" si="189"/>
        <v>582493.31390008423</v>
      </c>
      <c r="AM56" s="231">
        <f t="shared" si="189"/>
        <v>2440230.7745816763</v>
      </c>
      <c r="AN56" s="231">
        <f t="shared" ref="AN56:BS56" si="190">+AN10-AN24+AN21-AN16-AN26</f>
        <v>1947769.4490231774</v>
      </c>
      <c r="AO56" s="231">
        <f t="shared" si="190"/>
        <v>1746173.4653552654</v>
      </c>
      <c r="AP56" s="231">
        <f t="shared" si="190"/>
        <v>1716944.6695651966</v>
      </c>
      <c r="AQ56" s="231">
        <f t="shared" si="190"/>
        <v>1721495.1280192486</v>
      </c>
      <c r="AR56" s="231">
        <f t="shared" si="190"/>
        <v>1780502.7763345239</v>
      </c>
      <c r="AS56" s="231">
        <f t="shared" si="190"/>
        <v>2437480.3621050511</v>
      </c>
      <c r="AT56" s="231">
        <f t="shared" si="190"/>
        <v>1133016.3322359195</v>
      </c>
      <c r="AU56" s="231">
        <f t="shared" si="190"/>
        <v>969807.24752923008</v>
      </c>
      <c r="AV56" s="231">
        <f t="shared" si="190"/>
        <v>936614.84066109546</v>
      </c>
      <c r="AW56" s="231">
        <f t="shared" si="190"/>
        <v>434858.05496406555</v>
      </c>
      <c r="AX56" s="231">
        <f t="shared" si="190"/>
        <v>585611.29530177265</v>
      </c>
      <c r="AY56" s="231">
        <f t="shared" si="190"/>
        <v>2441819.4071281292</v>
      </c>
      <c r="AZ56" s="231">
        <f t="shared" si="190"/>
        <v>1948547.7167937667</v>
      </c>
      <c r="BA56" s="231">
        <f t="shared" si="190"/>
        <v>1746623.4118954667</v>
      </c>
      <c r="BB56" s="231">
        <f t="shared" si="190"/>
        <v>1717389.3977379808</v>
      </c>
      <c r="BC56" s="231">
        <f t="shared" si="190"/>
        <v>1721939.8709186688</v>
      </c>
      <c r="BD56" s="231">
        <f t="shared" si="190"/>
        <v>1781069.8220526588</v>
      </c>
      <c r="BE56" s="231">
        <f t="shared" si="190"/>
        <v>2439168.2532043559</v>
      </c>
      <c r="BF56" s="231">
        <f t="shared" si="190"/>
        <v>1136286.1292912709</v>
      </c>
      <c r="BG56" s="231">
        <f t="shared" si="190"/>
        <v>974489.87739880197</v>
      </c>
      <c r="BH56" s="231">
        <f t="shared" si="190"/>
        <v>941942.63103828486</v>
      </c>
      <c r="BI56" s="231">
        <f t="shared" si="190"/>
        <v>439539.77356367186</v>
      </c>
      <c r="BJ56" s="231">
        <f t="shared" si="190"/>
        <v>588728.1440832885</v>
      </c>
      <c r="BK56" s="231">
        <f t="shared" si="190"/>
        <v>2443406.9796521021</v>
      </c>
      <c r="BL56" s="231">
        <f t="shared" si="190"/>
        <v>1949325.9655335904</v>
      </c>
      <c r="BM56" s="231">
        <f t="shared" si="190"/>
        <v>1747073.3517422401</v>
      </c>
      <c r="BN56" s="231">
        <f t="shared" si="190"/>
        <v>1717834.1194370664</v>
      </c>
      <c r="BO56" s="231">
        <f t="shared" si="190"/>
        <v>1722384.607370822</v>
      </c>
      <c r="BP56" s="231">
        <f t="shared" si="190"/>
        <v>1781635.6131944563</v>
      </c>
      <c r="BQ56" s="231">
        <f t="shared" si="190"/>
        <v>2440856.3850939241</v>
      </c>
      <c r="BR56" s="231">
        <f t="shared" si="190"/>
        <v>1139554.4217841241</v>
      </c>
      <c r="BS56" s="231">
        <f t="shared" si="190"/>
        <v>979170.26676394371</v>
      </c>
      <c r="BT56" s="231">
        <f t="shared" ref="BT56:CD56" si="191">+BT10-BT24+BT21-BT16-BT26</f>
        <v>947268.88039078936</v>
      </c>
      <c r="BU56" s="231">
        <f t="shared" si="191"/>
        <v>444219.49013701454</v>
      </c>
      <c r="BV56" s="231">
        <f t="shared" si="191"/>
        <v>591844.35315613402</v>
      </c>
      <c r="BW56" s="231">
        <f t="shared" si="191"/>
        <v>2444993.8027959624</v>
      </c>
      <c r="BX56" s="231">
        <f t="shared" si="191"/>
        <v>1950103.8594704887</v>
      </c>
      <c r="BY56" s="231">
        <f t="shared" si="191"/>
        <v>1747523.0942608714</v>
      </c>
      <c r="BZ56" s="231">
        <f t="shared" si="191"/>
        <v>1718278.6487275849</v>
      </c>
      <c r="CA56" s="231">
        <f t="shared" si="191"/>
        <v>1722830.1643573465</v>
      </c>
      <c r="CB56" s="231">
        <f t="shared" si="191"/>
        <v>1781635.6131944563</v>
      </c>
      <c r="CC56" s="231">
        <f t="shared" si="191"/>
        <v>2440856.3850939241</v>
      </c>
      <c r="CD56" s="231">
        <f t="shared" si="191"/>
        <v>1139554.4217841241</v>
      </c>
      <c r="CE56" s="231"/>
      <c r="CF56" s="227"/>
      <c r="CG56" s="227"/>
      <c r="CH56" s="227"/>
      <c r="CI56" s="227"/>
      <c r="CJ56" s="227"/>
    </row>
    <row r="57" spans="1:88" x14ac:dyDescent="0.2">
      <c r="B57" s="225" t="s">
        <v>446</v>
      </c>
      <c r="H57" s="231">
        <f t="shared" ref="H57:AM57" si="192">+H26</f>
        <v>0</v>
      </c>
      <c r="I57" s="231">
        <f t="shared" si="192"/>
        <v>0</v>
      </c>
      <c r="J57" s="231">
        <f t="shared" si="192"/>
        <v>116000</v>
      </c>
      <c r="K57" s="231">
        <f t="shared" si="192"/>
        <v>163200</v>
      </c>
      <c r="L57" s="231">
        <f t="shared" si="192"/>
        <v>196480</v>
      </c>
      <c r="M57" s="231">
        <f t="shared" si="192"/>
        <v>87880</v>
      </c>
      <c r="N57" s="231">
        <f t="shared" si="192"/>
        <v>86540</v>
      </c>
      <c r="O57" s="231">
        <f t="shared" si="192"/>
        <v>0</v>
      </c>
      <c r="P57" s="231">
        <f t="shared" si="192"/>
        <v>0</v>
      </c>
      <c r="Q57" s="231">
        <f t="shared" si="192"/>
        <v>0</v>
      </c>
      <c r="R57" s="231">
        <f t="shared" si="192"/>
        <v>0</v>
      </c>
      <c r="S57" s="231">
        <f t="shared" si="192"/>
        <v>0</v>
      </c>
      <c r="T57" s="231">
        <f t="shared" si="192"/>
        <v>0</v>
      </c>
      <c r="U57" s="231">
        <f t="shared" si="192"/>
        <v>0</v>
      </c>
      <c r="V57" s="231">
        <f t="shared" si="192"/>
        <v>0</v>
      </c>
      <c r="W57" s="231">
        <f t="shared" si="192"/>
        <v>0</v>
      </c>
      <c r="X57" s="231">
        <f t="shared" si="192"/>
        <v>0</v>
      </c>
      <c r="Y57" s="231">
        <f t="shared" si="192"/>
        <v>0</v>
      </c>
      <c r="Z57" s="231">
        <f t="shared" si="192"/>
        <v>0</v>
      </c>
      <c r="AA57" s="231">
        <f t="shared" si="192"/>
        <v>0</v>
      </c>
      <c r="AB57" s="231">
        <f t="shared" si="192"/>
        <v>0</v>
      </c>
      <c r="AC57" s="231">
        <f t="shared" si="192"/>
        <v>0</v>
      </c>
      <c r="AD57" s="231">
        <f t="shared" si="192"/>
        <v>0</v>
      </c>
      <c r="AE57" s="231">
        <f t="shared" si="192"/>
        <v>0</v>
      </c>
      <c r="AF57" s="231">
        <f t="shared" si="192"/>
        <v>0</v>
      </c>
      <c r="AG57" s="231">
        <f t="shared" si="192"/>
        <v>0</v>
      </c>
      <c r="AH57" s="231">
        <f t="shared" si="192"/>
        <v>0</v>
      </c>
      <c r="AI57" s="231">
        <f t="shared" si="192"/>
        <v>0</v>
      </c>
      <c r="AJ57" s="231">
        <f t="shared" si="192"/>
        <v>0</v>
      </c>
      <c r="AK57" s="231">
        <f t="shared" si="192"/>
        <v>0</v>
      </c>
      <c r="AL57" s="231">
        <f t="shared" si="192"/>
        <v>0</v>
      </c>
      <c r="AM57" s="231">
        <f t="shared" si="192"/>
        <v>0</v>
      </c>
      <c r="AN57" s="231">
        <f t="shared" ref="AN57:BS57" si="193">+AN26</f>
        <v>0</v>
      </c>
      <c r="AO57" s="231">
        <f t="shared" si="193"/>
        <v>0</v>
      </c>
      <c r="AP57" s="231">
        <f t="shared" si="193"/>
        <v>0</v>
      </c>
      <c r="AQ57" s="231">
        <f t="shared" si="193"/>
        <v>0</v>
      </c>
      <c r="AR57" s="231">
        <f t="shared" si="193"/>
        <v>0</v>
      </c>
      <c r="AS57" s="231">
        <f t="shared" si="193"/>
        <v>0</v>
      </c>
      <c r="AT57" s="231">
        <f t="shared" si="193"/>
        <v>0</v>
      </c>
      <c r="AU57" s="231">
        <f t="shared" si="193"/>
        <v>0</v>
      </c>
      <c r="AV57" s="231">
        <f t="shared" si="193"/>
        <v>0</v>
      </c>
      <c r="AW57" s="231">
        <f t="shared" si="193"/>
        <v>0</v>
      </c>
      <c r="AX57" s="231">
        <f t="shared" si="193"/>
        <v>0</v>
      </c>
      <c r="AY57" s="231">
        <f t="shared" si="193"/>
        <v>0</v>
      </c>
      <c r="AZ57" s="231">
        <f t="shared" si="193"/>
        <v>0</v>
      </c>
      <c r="BA57" s="231">
        <f t="shared" si="193"/>
        <v>0</v>
      </c>
      <c r="BB57" s="231">
        <f t="shared" si="193"/>
        <v>0</v>
      </c>
      <c r="BC57" s="231">
        <f t="shared" si="193"/>
        <v>0</v>
      </c>
      <c r="BD57" s="231">
        <f t="shared" si="193"/>
        <v>0</v>
      </c>
      <c r="BE57" s="231">
        <f t="shared" si="193"/>
        <v>0</v>
      </c>
      <c r="BF57" s="231">
        <f t="shared" si="193"/>
        <v>0</v>
      </c>
      <c r="BG57" s="231">
        <f t="shared" si="193"/>
        <v>0</v>
      </c>
      <c r="BH57" s="231">
        <f t="shared" si="193"/>
        <v>0</v>
      </c>
      <c r="BI57" s="231">
        <f t="shared" si="193"/>
        <v>0</v>
      </c>
      <c r="BJ57" s="231">
        <f t="shared" si="193"/>
        <v>0</v>
      </c>
      <c r="BK57" s="231">
        <f t="shared" si="193"/>
        <v>0</v>
      </c>
      <c r="BL57" s="231">
        <f t="shared" si="193"/>
        <v>0</v>
      </c>
      <c r="BM57" s="231">
        <f t="shared" si="193"/>
        <v>0</v>
      </c>
      <c r="BN57" s="231">
        <f t="shared" si="193"/>
        <v>0</v>
      </c>
      <c r="BO57" s="231">
        <f t="shared" si="193"/>
        <v>0</v>
      </c>
      <c r="BP57" s="231">
        <f t="shared" si="193"/>
        <v>0</v>
      </c>
      <c r="BQ57" s="231">
        <f t="shared" si="193"/>
        <v>0</v>
      </c>
      <c r="BR57" s="231">
        <f t="shared" si="193"/>
        <v>0</v>
      </c>
      <c r="BS57" s="231">
        <f t="shared" si="193"/>
        <v>0</v>
      </c>
      <c r="BT57" s="231">
        <f t="shared" ref="BT57:CD57" si="194">+BT26</f>
        <v>0</v>
      </c>
      <c r="BU57" s="231">
        <f t="shared" si="194"/>
        <v>0</v>
      </c>
      <c r="BV57" s="231">
        <f t="shared" si="194"/>
        <v>0</v>
      </c>
      <c r="BW57" s="231">
        <f t="shared" si="194"/>
        <v>0</v>
      </c>
      <c r="BX57" s="231">
        <f t="shared" si="194"/>
        <v>0</v>
      </c>
      <c r="BY57" s="231">
        <f t="shared" si="194"/>
        <v>0</v>
      </c>
      <c r="BZ57" s="231">
        <f t="shared" si="194"/>
        <v>0</v>
      </c>
      <c r="CA57" s="231">
        <f t="shared" si="194"/>
        <v>0</v>
      </c>
      <c r="CB57" s="231">
        <f t="shared" si="194"/>
        <v>0</v>
      </c>
      <c r="CC57" s="231">
        <f t="shared" si="194"/>
        <v>0</v>
      </c>
      <c r="CD57" s="231">
        <f t="shared" si="194"/>
        <v>0</v>
      </c>
      <c r="CE57" s="231"/>
      <c r="CF57" s="227"/>
      <c r="CG57" s="227"/>
      <c r="CH57" s="227"/>
      <c r="CI57" s="227"/>
      <c r="CJ57" s="227"/>
    </row>
    <row r="58" spans="1:88" x14ac:dyDescent="0.2">
      <c r="B58" s="225" t="s">
        <v>447</v>
      </c>
      <c r="H58" s="231">
        <f t="shared" ref="H58:AM58" si="195">+H24</f>
        <v>2395.3333333333335</v>
      </c>
      <c r="I58" s="231">
        <f t="shared" si="195"/>
        <v>2395.3333333333335</v>
      </c>
      <c r="J58" s="231">
        <f t="shared" si="195"/>
        <v>2395.3333333333335</v>
      </c>
      <c r="K58" s="231">
        <f t="shared" si="195"/>
        <v>2395.3333333333335</v>
      </c>
      <c r="L58" s="231">
        <f t="shared" si="195"/>
        <v>2395.3333333333335</v>
      </c>
      <c r="M58" s="231">
        <f t="shared" si="195"/>
        <v>2395.3333333333335</v>
      </c>
      <c r="N58" s="231">
        <f t="shared" si="195"/>
        <v>2395.3333333333335</v>
      </c>
      <c r="O58" s="231">
        <f t="shared" si="195"/>
        <v>2395.3333333333335</v>
      </c>
      <c r="P58" s="231">
        <f t="shared" si="195"/>
        <v>2395.3333333333335</v>
      </c>
      <c r="Q58" s="231">
        <f t="shared" si="195"/>
        <v>2395.3333333333335</v>
      </c>
      <c r="R58" s="231">
        <f t="shared" si="195"/>
        <v>2395.3333333333335</v>
      </c>
      <c r="S58" s="231">
        <f t="shared" si="195"/>
        <v>2395.3333333333335</v>
      </c>
      <c r="T58" s="231">
        <f t="shared" si="195"/>
        <v>2395.3333333333335</v>
      </c>
      <c r="U58" s="231">
        <f t="shared" si="195"/>
        <v>2395.3333333333335</v>
      </c>
      <c r="V58" s="231">
        <f t="shared" si="195"/>
        <v>2395.3333333333335</v>
      </c>
      <c r="W58" s="231">
        <f t="shared" si="195"/>
        <v>2395.3333333333335</v>
      </c>
      <c r="X58" s="231">
        <f t="shared" si="195"/>
        <v>2395.3333333333335</v>
      </c>
      <c r="Y58" s="231">
        <f t="shared" si="195"/>
        <v>2395.3333333333335</v>
      </c>
      <c r="Z58" s="231">
        <f t="shared" si="195"/>
        <v>2395.3333333333335</v>
      </c>
      <c r="AA58" s="231">
        <f t="shared" si="195"/>
        <v>2395.3333333333335</v>
      </c>
      <c r="AB58" s="231">
        <f t="shared" si="195"/>
        <v>2395.3333333333335</v>
      </c>
      <c r="AC58" s="231">
        <f t="shared" si="195"/>
        <v>2395.3333333333335</v>
      </c>
      <c r="AD58" s="231">
        <f t="shared" si="195"/>
        <v>2395.3333333333335</v>
      </c>
      <c r="AE58" s="231">
        <f t="shared" si="195"/>
        <v>2395.3333333333335</v>
      </c>
      <c r="AF58" s="231">
        <f t="shared" si="195"/>
        <v>2395.3333333333335</v>
      </c>
      <c r="AG58" s="231">
        <f t="shared" si="195"/>
        <v>2395.3333333333335</v>
      </c>
      <c r="AH58" s="231">
        <f t="shared" si="195"/>
        <v>2395.3333333333335</v>
      </c>
      <c r="AI58" s="231">
        <f t="shared" si="195"/>
        <v>2395.3333333333335</v>
      </c>
      <c r="AJ58" s="231">
        <f t="shared" si="195"/>
        <v>2395.3333333333335</v>
      </c>
      <c r="AK58" s="231">
        <f t="shared" si="195"/>
        <v>2395.3333333333335</v>
      </c>
      <c r="AL58" s="231">
        <f t="shared" si="195"/>
        <v>2395.3333333333335</v>
      </c>
      <c r="AM58" s="231">
        <f t="shared" si="195"/>
        <v>2395.3333333333335</v>
      </c>
      <c r="AN58" s="231">
        <f t="shared" ref="AN58:BS58" si="196">+AN24</f>
        <v>2395.3333333333335</v>
      </c>
      <c r="AO58" s="231">
        <f t="shared" si="196"/>
        <v>2395.3333333333335</v>
      </c>
      <c r="AP58" s="231">
        <f t="shared" si="196"/>
        <v>2395.3333333333335</v>
      </c>
      <c r="AQ58" s="231">
        <f t="shared" si="196"/>
        <v>2395.3333333333335</v>
      </c>
      <c r="AR58" s="231">
        <f t="shared" si="196"/>
        <v>2395.3333333333335</v>
      </c>
      <c r="AS58" s="231">
        <f t="shared" si="196"/>
        <v>2395.3333333333335</v>
      </c>
      <c r="AT58" s="231">
        <f t="shared" si="196"/>
        <v>2395.3333333333335</v>
      </c>
      <c r="AU58" s="231">
        <f t="shared" si="196"/>
        <v>2395.3333333333335</v>
      </c>
      <c r="AV58" s="231">
        <f t="shared" si="196"/>
        <v>2395.3333333333335</v>
      </c>
      <c r="AW58" s="231">
        <f t="shared" si="196"/>
        <v>2395.3333333333335</v>
      </c>
      <c r="AX58" s="231">
        <f t="shared" si="196"/>
        <v>2395.3333333333335</v>
      </c>
      <c r="AY58" s="231">
        <f t="shared" si="196"/>
        <v>2395.3333333333335</v>
      </c>
      <c r="AZ58" s="231">
        <f t="shared" si="196"/>
        <v>2395.3333333333335</v>
      </c>
      <c r="BA58" s="231">
        <f t="shared" si="196"/>
        <v>2395.3333333333335</v>
      </c>
      <c r="BB58" s="231">
        <f t="shared" si="196"/>
        <v>2395.3333333333335</v>
      </c>
      <c r="BC58" s="231">
        <f t="shared" si="196"/>
        <v>2395.3333333333335</v>
      </c>
      <c r="BD58" s="231">
        <f t="shared" si="196"/>
        <v>2395.3333333333335</v>
      </c>
      <c r="BE58" s="231">
        <f t="shared" si="196"/>
        <v>2395.3333333333335</v>
      </c>
      <c r="BF58" s="231">
        <f t="shared" si="196"/>
        <v>2395.3333333333335</v>
      </c>
      <c r="BG58" s="231">
        <f t="shared" si="196"/>
        <v>2395.3333333333335</v>
      </c>
      <c r="BH58" s="231">
        <f t="shared" si="196"/>
        <v>2395.3333333333335</v>
      </c>
      <c r="BI58" s="231">
        <f t="shared" si="196"/>
        <v>2395.3333333333335</v>
      </c>
      <c r="BJ58" s="231">
        <f t="shared" si="196"/>
        <v>2395.3333333333335</v>
      </c>
      <c r="BK58" s="231">
        <f t="shared" si="196"/>
        <v>2395.3333333333335</v>
      </c>
      <c r="BL58" s="231">
        <f t="shared" si="196"/>
        <v>2395.3333333333335</v>
      </c>
      <c r="BM58" s="231">
        <f t="shared" si="196"/>
        <v>2395.3333333333335</v>
      </c>
      <c r="BN58" s="231">
        <f t="shared" si="196"/>
        <v>2395.3333333333335</v>
      </c>
      <c r="BO58" s="231">
        <f t="shared" si="196"/>
        <v>2395.3333333333335</v>
      </c>
      <c r="BP58" s="231">
        <f t="shared" si="196"/>
        <v>2395.3333333333335</v>
      </c>
      <c r="BQ58" s="231">
        <f t="shared" si="196"/>
        <v>2395.3333333333335</v>
      </c>
      <c r="BR58" s="231">
        <f t="shared" si="196"/>
        <v>2395.3333333333335</v>
      </c>
      <c r="BS58" s="231">
        <f t="shared" si="196"/>
        <v>2395.3333333333335</v>
      </c>
      <c r="BT58" s="231">
        <f t="shared" ref="BT58:CD58" si="197">+BT24</f>
        <v>2395.3333333333335</v>
      </c>
      <c r="BU58" s="231">
        <f t="shared" si="197"/>
        <v>2395.3333333333335</v>
      </c>
      <c r="BV58" s="231">
        <f t="shared" si="197"/>
        <v>2395.3333333333335</v>
      </c>
      <c r="BW58" s="231">
        <f t="shared" si="197"/>
        <v>2395.3333333333335</v>
      </c>
      <c r="BX58" s="231">
        <f t="shared" si="197"/>
        <v>2395.3333333333335</v>
      </c>
      <c r="BY58" s="231">
        <f t="shared" si="197"/>
        <v>2395.3333333333335</v>
      </c>
      <c r="BZ58" s="231">
        <f t="shared" si="197"/>
        <v>2395.3333333333335</v>
      </c>
      <c r="CA58" s="231">
        <f t="shared" si="197"/>
        <v>2395.3333333333335</v>
      </c>
      <c r="CB58" s="231">
        <f t="shared" si="197"/>
        <v>2395.3333333333335</v>
      </c>
      <c r="CC58" s="231">
        <f t="shared" si="197"/>
        <v>2395.3333333333335</v>
      </c>
      <c r="CD58" s="231">
        <f t="shared" si="197"/>
        <v>2395.3333333333335</v>
      </c>
      <c r="CE58" s="231"/>
      <c r="CF58" s="227"/>
      <c r="CG58" s="227"/>
      <c r="CH58" s="227"/>
      <c r="CI58" s="227"/>
      <c r="CJ58" s="227"/>
    </row>
    <row r="59" spans="1:88" x14ac:dyDescent="0.2">
      <c r="B59" s="225" t="s">
        <v>448</v>
      </c>
      <c r="H59" s="231">
        <f t="shared" ref="H59:AM59" si="198">+H16</f>
        <v>0</v>
      </c>
      <c r="I59" s="231">
        <f t="shared" si="198"/>
        <v>0</v>
      </c>
      <c r="J59" s="231">
        <f t="shared" si="198"/>
        <v>875074.82763157901</v>
      </c>
      <c r="K59" s="231">
        <f t="shared" si="198"/>
        <v>1998339.1685526315</v>
      </c>
      <c r="L59" s="231">
        <f t="shared" si="198"/>
        <v>2451397.9085526317</v>
      </c>
      <c r="M59" s="231">
        <f t="shared" si="198"/>
        <v>2255553.446710526</v>
      </c>
      <c r="N59" s="231">
        <f t="shared" si="198"/>
        <v>1741757.3385526314</v>
      </c>
      <c r="O59" s="231">
        <f t="shared" si="198"/>
        <v>0</v>
      </c>
      <c r="P59" s="231">
        <f t="shared" si="198"/>
        <v>0</v>
      </c>
      <c r="Q59" s="231">
        <f t="shared" si="198"/>
        <v>0</v>
      </c>
      <c r="R59" s="231">
        <f t="shared" si="198"/>
        <v>0</v>
      </c>
      <c r="S59" s="231">
        <f t="shared" si="198"/>
        <v>0</v>
      </c>
      <c r="T59" s="231">
        <f t="shared" si="198"/>
        <v>0</v>
      </c>
      <c r="U59" s="231">
        <f t="shared" si="198"/>
        <v>0</v>
      </c>
      <c r="V59" s="231">
        <f t="shared" si="198"/>
        <v>875074.82763157901</v>
      </c>
      <c r="W59" s="231">
        <f t="shared" si="198"/>
        <v>1998339.1685526315</v>
      </c>
      <c r="X59" s="231">
        <f t="shared" si="198"/>
        <v>2451397.9085526317</v>
      </c>
      <c r="Y59" s="231">
        <f t="shared" si="198"/>
        <v>2255553.446710526</v>
      </c>
      <c r="Z59" s="231">
        <f t="shared" si="198"/>
        <v>1741757.3385526314</v>
      </c>
      <c r="AA59" s="231">
        <f t="shared" si="198"/>
        <v>0</v>
      </c>
      <c r="AB59" s="231">
        <f t="shared" si="198"/>
        <v>0</v>
      </c>
      <c r="AC59" s="231">
        <f t="shared" si="198"/>
        <v>0</v>
      </c>
      <c r="AD59" s="231">
        <f t="shared" si="198"/>
        <v>0</v>
      </c>
      <c r="AE59" s="231">
        <f t="shared" si="198"/>
        <v>0</v>
      </c>
      <c r="AF59" s="231">
        <f t="shared" si="198"/>
        <v>0</v>
      </c>
      <c r="AG59" s="231">
        <f t="shared" si="198"/>
        <v>0</v>
      </c>
      <c r="AH59" s="231">
        <f t="shared" si="198"/>
        <v>875074.82763157901</v>
      </c>
      <c r="AI59" s="231">
        <f t="shared" si="198"/>
        <v>1998339.1685526315</v>
      </c>
      <c r="AJ59" s="231">
        <f t="shared" si="198"/>
        <v>2451397.9085526317</v>
      </c>
      <c r="AK59" s="231">
        <f t="shared" si="198"/>
        <v>2255553.446710526</v>
      </c>
      <c r="AL59" s="231">
        <f t="shared" si="198"/>
        <v>1741757.3385526314</v>
      </c>
      <c r="AM59" s="231">
        <f t="shared" si="198"/>
        <v>0</v>
      </c>
      <c r="AN59" s="231">
        <f t="shared" ref="AN59:BS59" si="199">+AN16</f>
        <v>0</v>
      </c>
      <c r="AO59" s="231">
        <f t="shared" si="199"/>
        <v>0</v>
      </c>
      <c r="AP59" s="231">
        <f t="shared" si="199"/>
        <v>0</v>
      </c>
      <c r="AQ59" s="231">
        <f t="shared" si="199"/>
        <v>0</v>
      </c>
      <c r="AR59" s="231">
        <f t="shared" si="199"/>
        <v>0</v>
      </c>
      <c r="AS59" s="231">
        <f t="shared" si="199"/>
        <v>0</v>
      </c>
      <c r="AT59" s="231">
        <f t="shared" si="199"/>
        <v>875074.82763157901</v>
      </c>
      <c r="AU59" s="231">
        <f t="shared" si="199"/>
        <v>1998339.1685526315</v>
      </c>
      <c r="AV59" s="231">
        <f t="shared" si="199"/>
        <v>2451397.9085526317</v>
      </c>
      <c r="AW59" s="231">
        <f t="shared" si="199"/>
        <v>2255553.446710526</v>
      </c>
      <c r="AX59" s="231">
        <f t="shared" si="199"/>
        <v>1741757.3385526314</v>
      </c>
      <c r="AY59" s="231">
        <f t="shared" si="199"/>
        <v>0</v>
      </c>
      <c r="AZ59" s="231">
        <f t="shared" si="199"/>
        <v>0</v>
      </c>
      <c r="BA59" s="231">
        <f t="shared" si="199"/>
        <v>0</v>
      </c>
      <c r="BB59" s="231">
        <f t="shared" si="199"/>
        <v>0</v>
      </c>
      <c r="BC59" s="231">
        <f t="shared" si="199"/>
        <v>0</v>
      </c>
      <c r="BD59" s="231">
        <f t="shared" si="199"/>
        <v>0</v>
      </c>
      <c r="BE59" s="231">
        <f t="shared" si="199"/>
        <v>0</v>
      </c>
      <c r="BF59" s="231">
        <f t="shared" si="199"/>
        <v>875074.82763157901</v>
      </c>
      <c r="BG59" s="231">
        <f t="shared" si="199"/>
        <v>1998339.1685526315</v>
      </c>
      <c r="BH59" s="231">
        <f t="shared" si="199"/>
        <v>2451397.9085526317</v>
      </c>
      <c r="BI59" s="231">
        <f t="shared" si="199"/>
        <v>2255553.446710526</v>
      </c>
      <c r="BJ59" s="231">
        <f t="shared" si="199"/>
        <v>1741757.3385526314</v>
      </c>
      <c r="BK59" s="231">
        <f t="shared" si="199"/>
        <v>0</v>
      </c>
      <c r="BL59" s="231">
        <f t="shared" si="199"/>
        <v>0</v>
      </c>
      <c r="BM59" s="231">
        <f t="shared" si="199"/>
        <v>0</v>
      </c>
      <c r="BN59" s="231">
        <f t="shared" si="199"/>
        <v>0</v>
      </c>
      <c r="BO59" s="231">
        <f t="shared" si="199"/>
        <v>0</v>
      </c>
      <c r="BP59" s="231">
        <f t="shared" si="199"/>
        <v>0</v>
      </c>
      <c r="BQ59" s="231">
        <f t="shared" si="199"/>
        <v>0</v>
      </c>
      <c r="BR59" s="231">
        <f t="shared" si="199"/>
        <v>875074.82763157901</v>
      </c>
      <c r="BS59" s="231">
        <f t="shared" si="199"/>
        <v>1998339.1685526315</v>
      </c>
      <c r="BT59" s="231">
        <f t="shared" ref="BT59:CD59" si="200">+BT16</f>
        <v>2451397.9085526317</v>
      </c>
      <c r="BU59" s="231">
        <f t="shared" si="200"/>
        <v>2255553.446710526</v>
      </c>
      <c r="BV59" s="231">
        <f t="shared" si="200"/>
        <v>1741757.3385526314</v>
      </c>
      <c r="BW59" s="231">
        <f t="shared" si="200"/>
        <v>0</v>
      </c>
      <c r="BX59" s="231">
        <f t="shared" si="200"/>
        <v>0</v>
      </c>
      <c r="BY59" s="231">
        <f t="shared" si="200"/>
        <v>0</v>
      </c>
      <c r="BZ59" s="231">
        <f t="shared" si="200"/>
        <v>0</v>
      </c>
      <c r="CA59" s="231">
        <f t="shared" si="200"/>
        <v>0</v>
      </c>
      <c r="CB59" s="231">
        <f t="shared" si="200"/>
        <v>0</v>
      </c>
      <c r="CC59" s="231">
        <f t="shared" si="200"/>
        <v>0</v>
      </c>
      <c r="CD59" s="231">
        <f t="shared" si="200"/>
        <v>875074.82763157901</v>
      </c>
      <c r="CE59" s="231"/>
      <c r="CF59" s="227"/>
      <c r="CG59" s="227"/>
      <c r="CH59" s="227"/>
      <c r="CI59" s="227"/>
      <c r="CJ59" s="227"/>
    </row>
    <row r="60" spans="1:88" x14ac:dyDescent="0.2">
      <c r="B60" s="225" t="s">
        <v>449</v>
      </c>
      <c r="H60" s="231">
        <f t="shared" ref="H60:AM60" si="201">-H21</f>
        <v>-1457892.6614285714</v>
      </c>
      <c r="I60" s="231">
        <f t="shared" si="201"/>
        <v>-1341174.0185714285</v>
      </c>
      <c r="J60" s="231">
        <f t="shared" si="201"/>
        <v>0</v>
      </c>
      <c r="K60" s="231">
        <f t="shared" si="201"/>
        <v>0</v>
      </c>
      <c r="L60" s="231">
        <f t="shared" si="201"/>
        <v>0</v>
      </c>
      <c r="M60" s="231">
        <f t="shared" si="201"/>
        <v>0</v>
      </c>
      <c r="N60" s="231">
        <f t="shared" si="201"/>
        <v>0</v>
      </c>
      <c r="O60" s="231">
        <f t="shared" si="201"/>
        <v>-1331731.8128571429</v>
      </c>
      <c r="P60" s="231">
        <f t="shared" si="201"/>
        <v>-1331731.8128571429</v>
      </c>
      <c r="Q60" s="231">
        <f t="shared" si="201"/>
        <v>-1331731.8128571429</v>
      </c>
      <c r="R60" s="231">
        <f t="shared" si="201"/>
        <v>-1331731.8128571429</v>
      </c>
      <c r="S60" s="231">
        <f t="shared" si="201"/>
        <v>-1331731.8128571429</v>
      </c>
      <c r="T60" s="231">
        <f t="shared" si="201"/>
        <v>-1331731.8128571429</v>
      </c>
      <c r="U60" s="231">
        <f t="shared" si="201"/>
        <v>-1331731.8128571429</v>
      </c>
      <c r="V60" s="231">
        <f t="shared" si="201"/>
        <v>0</v>
      </c>
      <c r="W60" s="231">
        <f t="shared" si="201"/>
        <v>0</v>
      </c>
      <c r="X60" s="231">
        <f t="shared" si="201"/>
        <v>0</v>
      </c>
      <c r="Y60" s="231">
        <f t="shared" si="201"/>
        <v>0</v>
      </c>
      <c r="Z60" s="231">
        <f t="shared" si="201"/>
        <v>0</v>
      </c>
      <c r="AA60" s="231">
        <f t="shared" si="201"/>
        <v>-1331731.8128571429</v>
      </c>
      <c r="AB60" s="231">
        <f t="shared" si="201"/>
        <v>-1331731.8128571429</v>
      </c>
      <c r="AC60" s="231">
        <f t="shared" si="201"/>
        <v>-1331731.8128571429</v>
      </c>
      <c r="AD60" s="231">
        <f t="shared" si="201"/>
        <v>-1331731.8128571429</v>
      </c>
      <c r="AE60" s="231">
        <f t="shared" si="201"/>
        <v>-1331731.8128571429</v>
      </c>
      <c r="AF60" s="231">
        <f t="shared" si="201"/>
        <v>-1331731.8128571429</v>
      </c>
      <c r="AG60" s="231">
        <f t="shared" si="201"/>
        <v>-1331731.8128571429</v>
      </c>
      <c r="AH60" s="231">
        <f t="shared" si="201"/>
        <v>0</v>
      </c>
      <c r="AI60" s="231">
        <f t="shared" si="201"/>
        <v>0</v>
      </c>
      <c r="AJ60" s="231">
        <f t="shared" si="201"/>
        <v>0</v>
      </c>
      <c r="AK60" s="231">
        <f t="shared" si="201"/>
        <v>0</v>
      </c>
      <c r="AL60" s="231">
        <f t="shared" si="201"/>
        <v>0</v>
      </c>
      <c r="AM60" s="231">
        <f t="shared" si="201"/>
        <v>-1331731.8128571429</v>
      </c>
      <c r="AN60" s="231">
        <f t="shared" ref="AN60:BS60" si="202">-AN21</f>
        <v>-1331731.8128571429</v>
      </c>
      <c r="AO60" s="231">
        <f t="shared" si="202"/>
        <v>-1331731.8128571429</v>
      </c>
      <c r="AP60" s="231">
        <f t="shared" si="202"/>
        <v>-1331731.8128571429</v>
      </c>
      <c r="AQ60" s="231">
        <f t="shared" si="202"/>
        <v>-1331731.8128571429</v>
      </c>
      <c r="AR60" s="231">
        <f t="shared" si="202"/>
        <v>-1331731.8128571429</v>
      </c>
      <c r="AS60" s="231">
        <f t="shared" si="202"/>
        <v>-1331731.8128571429</v>
      </c>
      <c r="AT60" s="231">
        <f t="shared" si="202"/>
        <v>0</v>
      </c>
      <c r="AU60" s="231">
        <f t="shared" si="202"/>
        <v>0</v>
      </c>
      <c r="AV60" s="231">
        <f t="shared" si="202"/>
        <v>0</v>
      </c>
      <c r="AW60" s="231">
        <f t="shared" si="202"/>
        <v>0</v>
      </c>
      <c r="AX60" s="231">
        <f t="shared" si="202"/>
        <v>0</v>
      </c>
      <c r="AY60" s="231">
        <f t="shared" si="202"/>
        <v>-1331731.8128571429</v>
      </c>
      <c r="AZ60" s="231">
        <f t="shared" si="202"/>
        <v>-1331731.8128571429</v>
      </c>
      <c r="BA60" s="231">
        <f t="shared" si="202"/>
        <v>-1331731.8128571429</v>
      </c>
      <c r="BB60" s="231">
        <f t="shared" si="202"/>
        <v>-1331731.8128571429</v>
      </c>
      <c r="BC60" s="231">
        <f t="shared" si="202"/>
        <v>-1331731.8128571429</v>
      </c>
      <c r="BD60" s="231">
        <f t="shared" si="202"/>
        <v>-1331731.8128571429</v>
      </c>
      <c r="BE60" s="231">
        <f t="shared" si="202"/>
        <v>-1331731.8128571429</v>
      </c>
      <c r="BF60" s="231">
        <f t="shared" si="202"/>
        <v>0</v>
      </c>
      <c r="BG60" s="231">
        <f t="shared" si="202"/>
        <v>0</v>
      </c>
      <c r="BH60" s="231">
        <f t="shared" si="202"/>
        <v>0</v>
      </c>
      <c r="BI60" s="231">
        <f t="shared" si="202"/>
        <v>0</v>
      </c>
      <c r="BJ60" s="231">
        <f t="shared" si="202"/>
        <v>0</v>
      </c>
      <c r="BK60" s="231">
        <f t="shared" si="202"/>
        <v>-1331731.8128571429</v>
      </c>
      <c r="BL60" s="231">
        <f t="shared" si="202"/>
        <v>-1331731.8128571429</v>
      </c>
      <c r="BM60" s="231">
        <f t="shared" si="202"/>
        <v>-1331731.8128571429</v>
      </c>
      <c r="BN60" s="231">
        <f t="shared" si="202"/>
        <v>-1331731.8128571429</v>
      </c>
      <c r="BO60" s="231">
        <f t="shared" si="202"/>
        <v>-1331731.8128571429</v>
      </c>
      <c r="BP60" s="231">
        <f t="shared" si="202"/>
        <v>-1331731.8128571429</v>
      </c>
      <c r="BQ60" s="231">
        <f t="shared" si="202"/>
        <v>-1331731.8128571429</v>
      </c>
      <c r="BR60" s="231">
        <f t="shared" si="202"/>
        <v>0</v>
      </c>
      <c r="BS60" s="231">
        <f t="shared" si="202"/>
        <v>0</v>
      </c>
      <c r="BT60" s="231">
        <f t="shared" ref="BT60:CD60" si="203">-BT21</f>
        <v>0</v>
      </c>
      <c r="BU60" s="231">
        <f t="shared" si="203"/>
        <v>0</v>
      </c>
      <c r="BV60" s="231">
        <f t="shared" si="203"/>
        <v>0</v>
      </c>
      <c r="BW60" s="231">
        <f t="shared" si="203"/>
        <v>-1331731.8128571429</v>
      </c>
      <c r="BX60" s="231">
        <f t="shared" si="203"/>
        <v>-1331731.8128571429</v>
      </c>
      <c r="BY60" s="231">
        <f t="shared" si="203"/>
        <v>-1331731.8128571429</v>
      </c>
      <c r="BZ60" s="231">
        <f t="shared" si="203"/>
        <v>-1331731.8128571429</v>
      </c>
      <c r="CA60" s="231">
        <f t="shared" si="203"/>
        <v>-1331731.8128571429</v>
      </c>
      <c r="CB60" s="231">
        <f t="shared" si="203"/>
        <v>-1331731.8128571429</v>
      </c>
      <c r="CC60" s="231">
        <f t="shared" si="203"/>
        <v>-1331731.8128571429</v>
      </c>
      <c r="CD60" s="231">
        <f t="shared" si="203"/>
        <v>0</v>
      </c>
      <c r="CE60" s="231"/>
      <c r="CF60" s="227"/>
      <c r="CG60" s="227"/>
      <c r="CH60" s="227"/>
      <c r="CI60" s="227"/>
      <c r="CJ60" s="227"/>
    </row>
    <row r="61" spans="1:88" x14ac:dyDescent="0.2"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5"/>
      <c r="BN61" s="225"/>
      <c r="BO61" s="225"/>
      <c r="BP61" s="225"/>
      <c r="BQ61" s="225"/>
      <c r="BR61" s="225"/>
      <c r="BS61" s="225"/>
      <c r="BT61" s="225"/>
      <c r="BU61" s="225"/>
      <c r="BV61" s="225"/>
      <c r="BW61" s="225"/>
      <c r="BX61" s="225"/>
      <c r="BY61" s="225"/>
      <c r="BZ61" s="225"/>
      <c r="CA61" s="225"/>
      <c r="CB61" s="225"/>
      <c r="CC61" s="225"/>
      <c r="CD61" s="225"/>
      <c r="CE61" s="225"/>
    </row>
    <row r="62" spans="1:88" x14ac:dyDescent="0.2">
      <c r="B62" s="225" t="s">
        <v>450</v>
      </c>
      <c r="H62" s="231">
        <f t="shared" ref="H62:AM62" si="204">SUM(H56:H60)</f>
        <v>449467.09142466797</v>
      </c>
      <c r="I62" s="231">
        <f t="shared" si="204"/>
        <v>1103079.9706526455</v>
      </c>
      <c r="J62" s="231">
        <f t="shared" si="204"/>
        <v>2000676.6527701567</v>
      </c>
      <c r="K62" s="231">
        <f t="shared" si="204"/>
        <v>2956492.1798206843</v>
      </c>
      <c r="L62" s="231">
        <f t="shared" si="204"/>
        <v>3374421.9309879933</v>
      </c>
      <c r="M62" s="231">
        <f t="shared" si="204"/>
        <v>2678760.0977456784</v>
      </c>
      <c r="N62" s="231">
        <f t="shared" si="204"/>
        <v>2320411.8943506936</v>
      </c>
      <c r="O62" s="231">
        <f t="shared" si="204"/>
        <v>1107718.9644779668</v>
      </c>
      <c r="P62" s="231">
        <f t="shared" si="204"/>
        <v>616877.38073557382</v>
      </c>
      <c r="Q62" s="231">
        <f t="shared" si="204"/>
        <v>415936.02826434048</v>
      </c>
      <c r="R62" s="231">
        <f t="shared" si="204"/>
        <v>386718.67990921205</v>
      </c>
      <c r="S62" s="231">
        <f t="shared" si="204"/>
        <v>391269.10945460061</v>
      </c>
      <c r="T62" s="231">
        <f t="shared" si="204"/>
        <v>450033.18696567533</v>
      </c>
      <c r="U62" s="231">
        <f t="shared" si="204"/>
        <v>1104767.9683798936</v>
      </c>
      <c r="V62" s="231">
        <f t="shared" si="204"/>
        <v>2003946.6215288127</v>
      </c>
      <c r="W62" s="231">
        <f t="shared" si="204"/>
        <v>2961176.062599713</v>
      </c>
      <c r="X62" s="231">
        <f t="shared" si="204"/>
        <v>3379751.0025201682</v>
      </c>
      <c r="Y62" s="231">
        <f t="shared" si="204"/>
        <v>2683442.0195521745</v>
      </c>
      <c r="Z62" s="231">
        <f t="shared" si="204"/>
        <v>2323528.9451306961</v>
      </c>
      <c r="AA62" s="231">
        <f t="shared" si="204"/>
        <v>1109306.644320904</v>
      </c>
      <c r="AB62" s="231">
        <f t="shared" si="204"/>
        <v>617655.70045650797</v>
      </c>
      <c r="AC62" s="231">
        <f t="shared" si="204"/>
        <v>416386.02473113686</v>
      </c>
      <c r="AD62" s="231">
        <f t="shared" si="204"/>
        <v>387163.45741196652</v>
      </c>
      <c r="AE62" s="231">
        <f t="shared" si="204"/>
        <v>391713.90113405045</v>
      </c>
      <c r="AF62" s="231">
        <f t="shared" si="204"/>
        <v>450600.25029446231</v>
      </c>
      <c r="AG62" s="231">
        <f t="shared" si="204"/>
        <v>1106455.9399010765</v>
      </c>
      <c r="AH62" s="231">
        <f t="shared" si="204"/>
        <v>2007216.5872596246</v>
      </c>
      <c r="AI62" s="231">
        <f t="shared" si="204"/>
        <v>2965858.9521164172</v>
      </c>
      <c r="AJ62" s="231">
        <f t="shared" si="204"/>
        <v>3385079.0903032687</v>
      </c>
      <c r="AK62" s="231">
        <f t="shared" si="204"/>
        <v>2688123.9611737677</v>
      </c>
      <c r="AL62" s="231">
        <f t="shared" si="204"/>
        <v>2326645.9857860492</v>
      </c>
      <c r="AM62" s="231">
        <f t="shared" si="204"/>
        <v>1110894.295057867</v>
      </c>
      <c r="AN62" s="231">
        <f t="shared" ref="AN62:BS62" si="205">SUM(AN56:AN60)</f>
        <v>618432.96949936775</v>
      </c>
      <c r="AO62" s="231">
        <f t="shared" si="205"/>
        <v>416836.98583145579</v>
      </c>
      <c r="AP62" s="231">
        <f t="shared" si="205"/>
        <v>387608.19004138699</v>
      </c>
      <c r="AQ62" s="231">
        <f t="shared" si="205"/>
        <v>392158.64849543897</v>
      </c>
      <c r="AR62" s="231">
        <f t="shared" si="205"/>
        <v>451166.2968107143</v>
      </c>
      <c r="AS62" s="231">
        <f t="shared" si="205"/>
        <v>1108143.8825812417</v>
      </c>
      <c r="AT62" s="231">
        <f t="shared" si="205"/>
        <v>2010486.4932008318</v>
      </c>
      <c r="AU62" s="231">
        <f t="shared" si="205"/>
        <v>2970541.7494151951</v>
      </c>
      <c r="AV62" s="231">
        <f t="shared" si="205"/>
        <v>3390408.0825470607</v>
      </c>
      <c r="AW62" s="231">
        <f t="shared" si="205"/>
        <v>2692806.8350079251</v>
      </c>
      <c r="AX62" s="231">
        <f t="shared" si="205"/>
        <v>2329763.9671877376</v>
      </c>
      <c r="AY62" s="231">
        <f t="shared" si="205"/>
        <v>1112482.9276043198</v>
      </c>
      <c r="AZ62" s="231">
        <f t="shared" si="205"/>
        <v>619211.23726995708</v>
      </c>
      <c r="BA62" s="231">
        <f t="shared" si="205"/>
        <v>417286.93237165711</v>
      </c>
      <c r="BB62" s="231">
        <f t="shared" si="205"/>
        <v>388052.91821417119</v>
      </c>
      <c r="BC62" s="231">
        <f t="shared" si="205"/>
        <v>392603.39139485918</v>
      </c>
      <c r="BD62" s="231">
        <f t="shared" si="205"/>
        <v>451733.34252884914</v>
      </c>
      <c r="BE62" s="231">
        <f t="shared" si="205"/>
        <v>1109831.7736805466</v>
      </c>
      <c r="BF62" s="231">
        <f t="shared" si="205"/>
        <v>2013756.2902561831</v>
      </c>
      <c r="BG62" s="231">
        <f t="shared" si="205"/>
        <v>2975224.379284767</v>
      </c>
      <c r="BH62" s="231">
        <f t="shared" si="205"/>
        <v>3395735.8729242501</v>
      </c>
      <c r="BI62" s="231">
        <f t="shared" si="205"/>
        <v>2697488.5536075314</v>
      </c>
      <c r="BJ62" s="231">
        <f t="shared" si="205"/>
        <v>2332880.8159692534</v>
      </c>
      <c r="BK62" s="231">
        <f t="shared" si="205"/>
        <v>1114070.5001282927</v>
      </c>
      <c r="BL62" s="231">
        <f t="shared" si="205"/>
        <v>619989.48600978078</v>
      </c>
      <c r="BM62" s="231">
        <f t="shared" si="205"/>
        <v>417736.87221843051</v>
      </c>
      <c r="BN62" s="231">
        <f t="shared" si="205"/>
        <v>388497.63991325675</v>
      </c>
      <c r="BO62" s="231">
        <f t="shared" si="205"/>
        <v>393048.12784701237</v>
      </c>
      <c r="BP62" s="231">
        <f t="shared" si="205"/>
        <v>452299.1336706467</v>
      </c>
      <c r="BQ62" s="231">
        <f t="shared" si="205"/>
        <v>1111519.9055701147</v>
      </c>
      <c r="BR62" s="231">
        <f t="shared" si="205"/>
        <v>2017024.5827490364</v>
      </c>
      <c r="BS62" s="231">
        <f t="shared" si="205"/>
        <v>2979904.7686499087</v>
      </c>
      <c r="BT62" s="231">
        <f t="shared" ref="BT62:CD62" si="206">SUM(BT56:BT60)</f>
        <v>3401062.1222767546</v>
      </c>
      <c r="BU62" s="231">
        <f t="shared" si="206"/>
        <v>2702168.270180874</v>
      </c>
      <c r="BV62" s="231">
        <f t="shared" si="206"/>
        <v>2335997.0250420989</v>
      </c>
      <c r="BW62" s="231">
        <f t="shared" si="206"/>
        <v>1115657.323272153</v>
      </c>
      <c r="BX62" s="231">
        <f t="shared" si="206"/>
        <v>620767.37994667911</v>
      </c>
      <c r="BY62" s="231">
        <f t="shared" si="206"/>
        <v>418186.61473706178</v>
      </c>
      <c r="BZ62" s="231">
        <f t="shared" si="206"/>
        <v>388942.16920377524</v>
      </c>
      <c r="CA62" s="231">
        <f t="shared" si="206"/>
        <v>393493.68483353686</v>
      </c>
      <c r="CB62" s="231">
        <f t="shared" si="206"/>
        <v>452299.1336706467</v>
      </c>
      <c r="CC62" s="231">
        <f t="shared" si="206"/>
        <v>1111519.9055701147</v>
      </c>
      <c r="CD62" s="231">
        <f t="shared" si="206"/>
        <v>2017024.5827490364</v>
      </c>
      <c r="CE62" s="231"/>
      <c r="CF62" s="227"/>
      <c r="CG62" s="227"/>
      <c r="CH62" s="227"/>
      <c r="CI62" s="227"/>
      <c r="CJ62" s="227"/>
    </row>
    <row r="63" spans="1:88" x14ac:dyDescent="0.2"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5"/>
      <c r="BN63" s="225"/>
      <c r="BO63" s="225"/>
      <c r="BP63" s="225"/>
      <c r="BQ63" s="225"/>
      <c r="BR63" s="225"/>
      <c r="BS63" s="225"/>
      <c r="BT63" s="225"/>
      <c r="BU63" s="225"/>
      <c r="BV63" s="225"/>
      <c r="BW63" s="225"/>
      <c r="BX63" s="225"/>
      <c r="BY63" s="225"/>
      <c r="BZ63" s="225"/>
      <c r="CA63" s="225"/>
      <c r="CB63" s="225"/>
      <c r="CC63" s="225"/>
      <c r="CD63" s="225"/>
      <c r="CE63" s="225"/>
    </row>
    <row r="64" spans="1:88" ht="18" x14ac:dyDescent="0.25">
      <c r="A64" s="233" t="s">
        <v>451</v>
      </c>
      <c r="F64" s="481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5"/>
      <c r="BN64" s="225"/>
      <c r="BO64" s="225"/>
      <c r="BP64" s="225"/>
      <c r="BQ64" s="225"/>
      <c r="BR64" s="225"/>
      <c r="BS64" s="225"/>
      <c r="BT64" s="225"/>
      <c r="BU64" s="225"/>
      <c r="BV64" s="225"/>
      <c r="BW64" s="225"/>
      <c r="BX64" s="225"/>
      <c r="BY64" s="225"/>
      <c r="BZ64" s="225"/>
      <c r="CA64" s="225"/>
      <c r="CB64" s="225"/>
      <c r="CC64" s="225"/>
      <c r="CD64" s="225"/>
      <c r="CE64" s="225"/>
    </row>
    <row r="65" spans="1:91" x14ac:dyDescent="0.2">
      <c r="B65" s="225" t="s">
        <v>452</v>
      </c>
      <c r="F65" s="45"/>
      <c r="G65" s="45"/>
      <c r="H65" s="669">
        <f t="shared" ref="H65:AM65" si="207">+H80</f>
        <v>671451.08318006061</v>
      </c>
      <c r="I65" s="669">
        <f t="shared" si="207"/>
        <v>1646724.0602259352</v>
      </c>
      <c r="J65" s="669">
        <f t="shared" si="207"/>
        <v>2949305.3786734929</v>
      </c>
      <c r="K65" s="669">
        <f t="shared" si="207"/>
        <v>4348246.8919584639</v>
      </c>
      <c r="L65" s="669">
        <f t="shared" si="207"/>
        <v>4959288.462071429</v>
      </c>
      <c r="M65" s="669">
        <f t="shared" si="207"/>
        <v>3942955.2224594513</v>
      </c>
      <c r="N65" s="669">
        <f t="shared" si="207"/>
        <v>3371732.4805090134</v>
      </c>
      <c r="O65" s="669">
        <f t="shared" si="207"/>
        <v>1609895.1609287171</v>
      </c>
      <c r="P65" s="669">
        <f t="shared" si="207"/>
        <v>860972.41088929749</v>
      </c>
      <c r="Q65" s="669">
        <f t="shared" si="207"/>
        <v>570348.88984803238</v>
      </c>
      <c r="R65" s="669">
        <f t="shared" si="207"/>
        <v>552166.06158208789</v>
      </c>
      <c r="S65" s="669">
        <f t="shared" si="207"/>
        <v>556204.30390401126</v>
      </c>
      <c r="T65" s="669">
        <f t="shared" si="207"/>
        <v>652900.26498445636</v>
      </c>
      <c r="U65" s="669">
        <f t="shared" si="207"/>
        <v>1601670.4721915431</v>
      </c>
      <c r="V65" s="669">
        <f t="shared" si="207"/>
        <v>2949600.992026554</v>
      </c>
      <c r="W65" s="669">
        <f t="shared" si="207"/>
        <v>4348478.2427271158</v>
      </c>
      <c r="X65" s="669">
        <f t="shared" si="207"/>
        <v>4959533.7339440724</v>
      </c>
      <c r="Y65" s="669">
        <f t="shared" si="207"/>
        <v>3943809.7600471252</v>
      </c>
      <c r="Z65" s="669">
        <f t="shared" si="207"/>
        <v>3371151.2939974624</v>
      </c>
      <c r="AA65" s="669">
        <f t="shared" si="207"/>
        <v>1609764.551412541</v>
      </c>
      <c r="AB65" s="669">
        <f t="shared" si="207"/>
        <v>860797.68364712864</v>
      </c>
      <c r="AC65" s="669">
        <f t="shared" si="207"/>
        <v>570136.40579404903</v>
      </c>
      <c r="AD65" s="669">
        <f t="shared" si="207"/>
        <v>551973.67369603727</v>
      </c>
      <c r="AE65" s="669">
        <f t="shared" si="207"/>
        <v>556005.72550042439</v>
      </c>
      <c r="AF65" s="669">
        <f t="shared" si="207"/>
        <v>652732.70034128497</v>
      </c>
      <c r="AG65" s="669">
        <f t="shared" si="207"/>
        <v>1601701.2368662057</v>
      </c>
      <c r="AH65" s="669">
        <f t="shared" si="207"/>
        <v>2949895.7237882642</v>
      </c>
      <c r="AI65" s="669">
        <f t="shared" si="207"/>
        <v>4348708.9546261411</v>
      </c>
      <c r="AJ65" s="669">
        <f t="shared" si="207"/>
        <v>4959778.3450404592</v>
      </c>
      <c r="AK65" s="669">
        <f t="shared" si="207"/>
        <v>3944661.7409703941</v>
      </c>
      <c r="AL65" s="669">
        <f t="shared" si="207"/>
        <v>3370571.9177949959</v>
      </c>
      <c r="AM65" s="669">
        <f t="shared" si="207"/>
        <v>1609634.317900348</v>
      </c>
      <c r="AN65" s="669">
        <f t="shared" ref="AN65:BS65" si="208">+AN80</f>
        <v>860623.44222888316</v>
      </c>
      <c r="AO65" s="669">
        <f t="shared" si="208"/>
        <v>569924.5136065915</v>
      </c>
      <c r="AP65" s="669">
        <f t="shared" si="208"/>
        <v>551781.81670095841</v>
      </c>
      <c r="AQ65" s="669">
        <f t="shared" si="208"/>
        <v>555807.69787892199</v>
      </c>
      <c r="AR65" s="669">
        <f t="shared" si="208"/>
        <v>652565.64832105883</v>
      </c>
      <c r="AS65" s="669">
        <f t="shared" si="208"/>
        <v>1601731.881142983</v>
      </c>
      <c r="AT65" s="669">
        <f t="shared" si="208"/>
        <v>2950189.5491705793</v>
      </c>
      <c r="AU65" s="669">
        <f t="shared" si="208"/>
        <v>4348938.9503178</v>
      </c>
      <c r="AV65" s="669">
        <f t="shared" si="208"/>
        <v>4960022.1956079984</v>
      </c>
      <c r="AW65" s="669">
        <f t="shared" si="208"/>
        <v>3945511.1060602493</v>
      </c>
      <c r="AX65" s="669">
        <f t="shared" si="208"/>
        <v>3369994.3190942737</v>
      </c>
      <c r="AY65" s="669">
        <f t="shared" si="208"/>
        <v>1609504.4905084723</v>
      </c>
      <c r="AZ65" s="669">
        <f t="shared" si="208"/>
        <v>860449.74459008547</v>
      </c>
      <c r="BA65" s="669">
        <f t="shared" si="208"/>
        <v>569713.28226466873</v>
      </c>
      <c r="BB65" s="669">
        <f t="shared" si="208"/>
        <v>551590.55893237772</v>
      </c>
      <c r="BC65" s="669">
        <f t="shared" si="208"/>
        <v>555610.28852233512</v>
      </c>
      <c r="BD65" s="669">
        <f t="shared" si="208"/>
        <v>652399.11296265654</v>
      </c>
      <c r="BE65" s="669">
        <f t="shared" si="208"/>
        <v>1601762.4019684987</v>
      </c>
      <c r="BF65" s="669">
        <f t="shared" si="208"/>
        <v>2950482.6224523443</v>
      </c>
      <c r="BG65" s="669">
        <f t="shared" si="208"/>
        <v>4349168.450110076</v>
      </c>
      <c r="BH65" s="669">
        <f t="shared" si="208"/>
        <v>4960265.5358314058</v>
      </c>
      <c r="BI65" s="669">
        <f t="shared" si="208"/>
        <v>3946358.0655162488</v>
      </c>
      <c r="BJ65" s="669">
        <f t="shared" si="208"/>
        <v>3369418.6650721123</v>
      </c>
      <c r="BK65" s="669">
        <f t="shared" si="208"/>
        <v>1609375.1565920911</v>
      </c>
      <c r="BL65" s="669">
        <f t="shared" si="208"/>
        <v>860276.64173803094</v>
      </c>
      <c r="BM65" s="669">
        <f t="shared" si="208"/>
        <v>569502.74861631286</v>
      </c>
      <c r="BN65" s="669">
        <f t="shared" si="208"/>
        <v>551399.93633099622</v>
      </c>
      <c r="BO65" s="669">
        <f t="shared" si="208"/>
        <v>555413.53363384085</v>
      </c>
      <c r="BP65" s="669">
        <f t="shared" si="208"/>
        <v>652232.79273942369</v>
      </c>
      <c r="BQ65" s="669">
        <f t="shared" si="208"/>
        <v>1601791.8513671134</v>
      </c>
      <c r="BR65" s="669">
        <f t="shared" si="208"/>
        <v>2951151.2336806958</v>
      </c>
      <c r="BS65" s="669">
        <f t="shared" si="208"/>
        <v>4349952.0696186647</v>
      </c>
      <c r="BT65" s="669">
        <f t="shared" ref="BT65:CD65" si="209">+BT80</f>
        <v>4961140.9135826267</v>
      </c>
      <c r="BU65" s="669">
        <f t="shared" si="209"/>
        <v>3947705.995838447</v>
      </c>
      <c r="BV65" s="669">
        <f t="shared" si="209"/>
        <v>3369274.6267137588</v>
      </c>
      <c r="BW65" s="669">
        <f t="shared" si="209"/>
        <v>1609451.6104696221</v>
      </c>
      <c r="BX65" s="669">
        <f t="shared" si="209"/>
        <v>860213.90044756222</v>
      </c>
      <c r="BY65" s="669">
        <f t="shared" si="209"/>
        <v>569365.6076877903</v>
      </c>
      <c r="BZ65" s="669">
        <f t="shared" si="209"/>
        <v>551280.34164306521</v>
      </c>
      <c r="CA65" s="669">
        <f t="shared" si="209"/>
        <v>555288.34309236717</v>
      </c>
      <c r="CB65" s="669">
        <f t="shared" si="209"/>
        <v>651317.45124709874</v>
      </c>
      <c r="CC65" s="669">
        <f t="shared" si="209"/>
        <v>1599543.9059783004</v>
      </c>
      <c r="CD65" s="669">
        <f t="shared" si="209"/>
        <v>0</v>
      </c>
      <c r="CE65" s="669"/>
      <c r="CF65" s="234"/>
      <c r="CG65" s="234"/>
      <c r="CH65" s="234"/>
      <c r="CI65" s="234"/>
      <c r="CJ65" s="234"/>
    </row>
    <row r="66" spans="1:91" x14ac:dyDescent="0.2">
      <c r="B66" s="225" t="s">
        <v>429</v>
      </c>
      <c r="H66" s="669">
        <f t="shared" ref="H66:AM66" si="210">+H24*(H34+H36)</f>
        <v>6432.5479000000005</v>
      </c>
      <c r="I66" s="669">
        <f t="shared" si="210"/>
        <v>6252.8979000000008</v>
      </c>
      <c r="J66" s="669">
        <f t="shared" si="210"/>
        <v>4983.3712333333333</v>
      </c>
      <c r="K66" s="669">
        <f t="shared" si="210"/>
        <v>5531.9025666666666</v>
      </c>
      <c r="L66" s="669">
        <f t="shared" si="210"/>
        <v>5970.2485666666662</v>
      </c>
      <c r="M66" s="669">
        <f t="shared" si="210"/>
        <v>6027.7365666666665</v>
      </c>
      <c r="N66" s="669">
        <f t="shared" si="210"/>
        <v>6006.1785666666674</v>
      </c>
      <c r="O66" s="669">
        <f t="shared" si="210"/>
        <v>5922.3419000000004</v>
      </c>
      <c r="P66" s="669">
        <f t="shared" si="210"/>
        <v>6001.3879000000006</v>
      </c>
      <c r="Q66" s="669">
        <f t="shared" si="210"/>
        <v>6118.7592333333341</v>
      </c>
      <c r="R66" s="669">
        <f t="shared" si="210"/>
        <v>6240.9212333333335</v>
      </c>
      <c r="S66" s="669">
        <f t="shared" si="210"/>
        <v>6279.2465666666667</v>
      </c>
      <c r="T66" s="669">
        <f t="shared" si="210"/>
        <v>6284.0372333333335</v>
      </c>
      <c r="U66" s="669">
        <f t="shared" si="210"/>
        <v>6346.3159000000005</v>
      </c>
      <c r="V66" s="669">
        <f t="shared" si="210"/>
        <v>6559.5005666666666</v>
      </c>
      <c r="W66" s="669">
        <f t="shared" si="210"/>
        <v>6940.3585666666677</v>
      </c>
      <c r="X66" s="669">
        <f t="shared" si="210"/>
        <v>7199.0545666666676</v>
      </c>
      <c r="Y66" s="669">
        <f t="shared" si="210"/>
        <v>7182.2872333333344</v>
      </c>
      <c r="Z66" s="669">
        <f t="shared" si="210"/>
        <v>7062.520566666667</v>
      </c>
      <c r="AA66" s="669">
        <f t="shared" si="210"/>
        <v>6609.8025666666672</v>
      </c>
      <c r="AB66" s="669">
        <f t="shared" si="210"/>
        <v>6609.8025666666672</v>
      </c>
      <c r="AC66" s="669">
        <f t="shared" si="210"/>
        <v>6710.4065666666675</v>
      </c>
      <c r="AD66" s="669">
        <f t="shared" si="210"/>
        <v>6820.5919000000004</v>
      </c>
      <c r="AE66" s="669">
        <f t="shared" si="210"/>
        <v>6856.5219000000006</v>
      </c>
      <c r="AF66" s="669">
        <f t="shared" si="210"/>
        <v>6844.5452333333342</v>
      </c>
      <c r="AG66" s="669">
        <f t="shared" si="210"/>
        <v>6904.4285666666674</v>
      </c>
      <c r="AH66" s="669">
        <f t="shared" si="210"/>
        <v>7105.636566666667</v>
      </c>
      <c r="AI66" s="669">
        <f t="shared" si="210"/>
        <v>7464.9365666666672</v>
      </c>
      <c r="AJ66" s="669">
        <f t="shared" si="210"/>
        <v>7692.4932333333345</v>
      </c>
      <c r="AK66" s="669">
        <f t="shared" si="210"/>
        <v>7661.3539000000001</v>
      </c>
      <c r="AL66" s="669">
        <f t="shared" si="210"/>
        <v>7520.0292333333337</v>
      </c>
      <c r="AM66" s="669">
        <f t="shared" si="210"/>
        <v>6837.3592333333336</v>
      </c>
      <c r="AN66" s="669">
        <f t="shared" ref="AN66:BS66" si="211">+AN24*(AN34+AN36)</f>
        <v>6830.173233333333</v>
      </c>
      <c r="AO66" s="669">
        <f t="shared" si="211"/>
        <v>6906.8239000000003</v>
      </c>
      <c r="AP66" s="669">
        <f t="shared" si="211"/>
        <v>6990.6605666666674</v>
      </c>
      <c r="AQ66" s="669">
        <f t="shared" si="211"/>
        <v>7021.7999</v>
      </c>
      <c r="AR66" s="669">
        <f t="shared" si="211"/>
        <v>7009.8232333333335</v>
      </c>
      <c r="AS66" s="669">
        <f t="shared" si="211"/>
        <v>7072.1018999999997</v>
      </c>
      <c r="AT66" s="669">
        <f t="shared" si="211"/>
        <v>7263.7285666666667</v>
      </c>
      <c r="AU66" s="669">
        <f t="shared" si="211"/>
        <v>7635.0052333333342</v>
      </c>
      <c r="AV66" s="669">
        <f t="shared" si="211"/>
        <v>7903.2825666666668</v>
      </c>
      <c r="AW66" s="669">
        <f t="shared" si="211"/>
        <v>7872.1432333333332</v>
      </c>
      <c r="AX66" s="669">
        <f t="shared" si="211"/>
        <v>7730.8185666666677</v>
      </c>
      <c r="AY66" s="669">
        <f t="shared" si="211"/>
        <v>7048.1485666666667</v>
      </c>
      <c r="AZ66" s="669">
        <f t="shared" si="211"/>
        <v>7038.5672333333341</v>
      </c>
      <c r="BA66" s="669">
        <f t="shared" si="211"/>
        <v>7115.2179000000006</v>
      </c>
      <c r="BB66" s="669">
        <f t="shared" si="211"/>
        <v>7199.0545666666676</v>
      </c>
      <c r="BC66" s="669">
        <f t="shared" si="211"/>
        <v>7234.984566666667</v>
      </c>
      <c r="BD66" s="669">
        <f t="shared" si="211"/>
        <v>7223.0079000000005</v>
      </c>
      <c r="BE66" s="669">
        <f t="shared" si="211"/>
        <v>7290.0772333333334</v>
      </c>
      <c r="BF66" s="669">
        <f t="shared" si="211"/>
        <v>7481.7039000000004</v>
      </c>
      <c r="BG66" s="669">
        <f t="shared" si="211"/>
        <v>7888.9105666666674</v>
      </c>
      <c r="BH66" s="669">
        <f t="shared" si="211"/>
        <v>8188.3272333333334</v>
      </c>
      <c r="BI66" s="669">
        <f t="shared" si="211"/>
        <v>8152.3972333333331</v>
      </c>
      <c r="BJ66" s="669">
        <f t="shared" si="211"/>
        <v>8008.6772333333338</v>
      </c>
      <c r="BK66" s="669">
        <f t="shared" si="211"/>
        <v>7337.9839000000002</v>
      </c>
      <c r="BL66" s="669">
        <f t="shared" si="211"/>
        <v>7328.4025666666676</v>
      </c>
      <c r="BM66" s="669">
        <f t="shared" si="211"/>
        <v>7400.2625666666663</v>
      </c>
      <c r="BN66" s="669">
        <f t="shared" si="211"/>
        <v>7476.9132333333337</v>
      </c>
      <c r="BO66" s="669">
        <f t="shared" si="211"/>
        <v>7534.401233333333</v>
      </c>
      <c r="BP66" s="669">
        <f t="shared" si="211"/>
        <v>7524.8199000000004</v>
      </c>
      <c r="BQ66" s="669">
        <f t="shared" si="211"/>
        <v>7601.4705666666669</v>
      </c>
      <c r="BR66" s="669">
        <f t="shared" si="211"/>
        <v>7793.0972333333339</v>
      </c>
      <c r="BS66" s="669">
        <f t="shared" si="211"/>
        <v>8212.2805666666663</v>
      </c>
      <c r="BT66" s="669">
        <f t="shared" ref="BT66:CD66" si="212">+BT24*(BT34+BT36)</f>
        <v>8518.8832333333339</v>
      </c>
      <c r="BU66" s="669">
        <f t="shared" si="212"/>
        <v>8482.9532333333336</v>
      </c>
      <c r="BV66" s="669">
        <f t="shared" si="212"/>
        <v>8339.2332333333343</v>
      </c>
      <c r="BW66" s="669">
        <f t="shared" si="212"/>
        <v>7680.5165666666662</v>
      </c>
      <c r="BX66" s="669">
        <f t="shared" si="212"/>
        <v>7668.5399000000007</v>
      </c>
      <c r="BY66" s="669">
        <f t="shared" si="212"/>
        <v>7740.3999000000013</v>
      </c>
      <c r="BZ66" s="669">
        <f t="shared" si="212"/>
        <v>7829.0272333333342</v>
      </c>
      <c r="CA66" s="669">
        <f t="shared" si="212"/>
        <v>7900.8872333333338</v>
      </c>
      <c r="CB66" s="669">
        <f t="shared" si="212"/>
        <v>7893.7012333333341</v>
      </c>
      <c r="CC66" s="669">
        <f t="shared" si="212"/>
        <v>7979.9332333333332</v>
      </c>
      <c r="CD66" s="669">
        <f t="shared" si="212"/>
        <v>8171.5599000000002</v>
      </c>
      <c r="CE66" s="669"/>
      <c r="CF66" s="234"/>
      <c r="CG66" s="234"/>
      <c r="CH66" s="234"/>
      <c r="CI66" s="234"/>
      <c r="CJ66" s="234"/>
    </row>
    <row r="67" spans="1:91" x14ac:dyDescent="0.2">
      <c r="B67" s="225" t="s">
        <v>453</v>
      </c>
      <c r="H67" s="669">
        <f t="shared" ref="H67:AM67" si="213">+H56*(H34+H35)</f>
        <v>5144652.0666395491</v>
      </c>
      <c r="I67" s="669">
        <f t="shared" si="213"/>
        <v>6407129.1308844881</v>
      </c>
      <c r="J67" s="669">
        <f t="shared" si="213"/>
        <v>2096284.6005733639</v>
      </c>
      <c r="K67" s="669">
        <f t="shared" si="213"/>
        <v>1835345.4826866654</v>
      </c>
      <c r="L67" s="669">
        <f t="shared" si="213"/>
        <v>1812595.7666405183</v>
      </c>
      <c r="M67" s="669">
        <f t="shared" si="213"/>
        <v>841530.94124261942</v>
      </c>
      <c r="N67" s="669">
        <f t="shared" si="213"/>
        <v>1233322.3661581003</v>
      </c>
      <c r="O67" s="669">
        <f t="shared" si="213"/>
        <v>6050224.6639069468</v>
      </c>
      <c r="P67" s="669">
        <f t="shared" si="213"/>
        <v>4897413.6655585216</v>
      </c>
      <c r="Q67" s="669">
        <f t="shared" si="213"/>
        <v>4479318.3630475961</v>
      </c>
      <c r="R67" s="669">
        <f t="shared" si="213"/>
        <v>4493928.2328313561</v>
      </c>
      <c r="S67" s="669">
        <f t="shared" si="213"/>
        <v>4534028.2412268911</v>
      </c>
      <c r="T67" s="669">
        <f t="shared" si="213"/>
        <v>4692522.7895955294</v>
      </c>
      <c r="U67" s="669">
        <f t="shared" si="213"/>
        <v>6483967.8270325903</v>
      </c>
      <c r="V67" s="669">
        <f t="shared" si="213"/>
        <v>3103345.7774134479</v>
      </c>
      <c r="W67" s="669">
        <f t="shared" si="213"/>
        <v>2802271.1384461322</v>
      </c>
      <c r="X67" s="669">
        <f t="shared" si="213"/>
        <v>2804036.7075716346</v>
      </c>
      <c r="Y67" s="669">
        <f t="shared" si="213"/>
        <v>1285453.060799588</v>
      </c>
      <c r="Z67" s="669">
        <f t="shared" si="213"/>
        <v>1720690.5903797755</v>
      </c>
      <c r="AA67" s="669">
        <f t="shared" si="213"/>
        <v>6770679.9261536272</v>
      </c>
      <c r="AB67" s="669">
        <f t="shared" si="213"/>
        <v>5405653.9640731178</v>
      </c>
      <c r="AC67" s="669">
        <f t="shared" si="213"/>
        <v>4921908.0433232207</v>
      </c>
      <c r="AD67" s="669">
        <f t="shared" si="213"/>
        <v>4920351.9895783914</v>
      </c>
      <c r="AE67" s="669">
        <f t="shared" si="213"/>
        <v>4959824.7558884881</v>
      </c>
      <c r="AF67" s="669">
        <f t="shared" si="213"/>
        <v>5120415.8587114494</v>
      </c>
      <c r="AG67" s="669">
        <f t="shared" si="213"/>
        <v>7069483.5268934797</v>
      </c>
      <c r="AH67" s="669">
        <f t="shared" si="213"/>
        <v>3376054.2775944569</v>
      </c>
      <c r="AI67" s="669">
        <f t="shared" si="213"/>
        <v>3032316.6848456776</v>
      </c>
      <c r="AJ67" s="669">
        <f t="shared" si="213"/>
        <v>3016572.9160445826</v>
      </c>
      <c r="AK67" s="669">
        <f t="shared" si="213"/>
        <v>1387676.0808152545</v>
      </c>
      <c r="AL67" s="669">
        <f t="shared" si="213"/>
        <v>1843846.5669318801</v>
      </c>
      <c r="AM67" s="669">
        <f t="shared" si="213"/>
        <v>7012415.8315425524</v>
      </c>
      <c r="AN67" s="669">
        <f t="shared" ref="AN67:BS67" si="214">+AN56*(AN34+AN35)</f>
        <v>5591262.8327815197</v>
      </c>
      <c r="AO67" s="669">
        <f t="shared" si="214"/>
        <v>5069766.531273067</v>
      </c>
      <c r="AP67" s="669">
        <f t="shared" si="214"/>
        <v>5046425.2112220302</v>
      </c>
      <c r="AQ67" s="669">
        <f t="shared" si="214"/>
        <v>5082710.8407120313</v>
      </c>
      <c r="AR67" s="669">
        <f t="shared" si="214"/>
        <v>5247816.8438442815</v>
      </c>
      <c r="AS67" s="669">
        <f t="shared" si="214"/>
        <v>7249058.6117067691</v>
      </c>
      <c r="AT67" s="669">
        <f t="shared" si="214"/>
        <v>3462380.9907086603</v>
      </c>
      <c r="AU67" s="669">
        <f t="shared" si="214"/>
        <v>3117521.2502475246</v>
      </c>
      <c r="AV67" s="669">
        <f t="shared" si="214"/>
        <v>3118214.0272623687</v>
      </c>
      <c r="AW67" s="669">
        <f t="shared" si="214"/>
        <v>1441958.681437969</v>
      </c>
      <c r="AX67" s="669">
        <f t="shared" si="214"/>
        <v>1906474.1186114219</v>
      </c>
      <c r="AY67" s="669">
        <f t="shared" si="214"/>
        <v>7236964.7662120527</v>
      </c>
      <c r="AZ67" s="669">
        <f t="shared" si="214"/>
        <v>5767046.9382174239</v>
      </c>
      <c r="BA67" s="669">
        <f t="shared" si="214"/>
        <v>5226638.2401417373</v>
      </c>
      <c r="BB67" s="669">
        <f t="shared" si="214"/>
        <v>5200693.9378674729</v>
      </c>
      <c r="BC67" s="669">
        <f t="shared" si="214"/>
        <v>5240916.4990184298</v>
      </c>
      <c r="BD67" s="669">
        <f t="shared" si="214"/>
        <v>5411768.2553770384</v>
      </c>
      <c r="BE67" s="669">
        <f t="shared" si="214"/>
        <v>7481314.58497159</v>
      </c>
      <c r="BF67" s="669">
        <f t="shared" si="214"/>
        <v>3578231.0951064182</v>
      </c>
      <c r="BG67" s="669">
        <f t="shared" si="214"/>
        <v>3238323.2412331193</v>
      </c>
      <c r="BH67" s="669">
        <f t="shared" si="214"/>
        <v>3250704.9644042361</v>
      </c>
      <c r="BI67" s="669">
        <f t="shared" si="214"/>
        <v>1510130.5078620829</v>
      </c>
      <c r="BJ67" s="669">
        <f t="shared" si="214"/>
        <v>1986535.5885529469</v>
      </c>
      <c r="BK67" s="669">
        <f t="shared" si="214"/>
        <v>7544344.2369274562</v>
      </c>
      <c r="BL67" s="669">
        <f t="shared" si="214"/>
        <v>6010820.8519524718</v>
      </c>
      <c r="BM67" s="669">
        <f t="shared" si="214"/>
        <v>5440824.2588041499</v>
      </c>
      <c r="BN67" s="669">
        <f t="shared" si="214"/>
        <v>5406042.2636666065</v>
      </c>
      <c r="BO67" s="669">
        <f t="shared" si="214"/>
        <v>5462681.7297653621</v>
      </c>
      <c r="BP67" s="669">
        <f t="shared" si="214"/>
        <v>5643305.2694754787</v>
      </c>
      <c r="BQ67" s="669">
        <f t="shared" si="214"/>
        <v>7811340.1513140928</v>
      </c>
      <c r="BR67" s="669">
        <f t="shared" si="214"/>
        <v>3740183.738984338</v>
      </c>
      <c r="BS67" s="669">
        <f t="shared" si="214"/>
        <v>3389204.2095914138</v>
      </c>
      <c r="BT67" s="669">
        <f t="shared" ref="BT67:CD67" si="215">+BT56*(BT34+BT35)</f>
        <v>3402914.1086110561</v>
      </c>
      <c r="BU67" s="669">
        <f t="shared" si="215"/>
        <v>1588966.931345955</v>
      </c>
      <c r="BV67" s="669">
        <f t="shared" si="215"/>
        <v>2080664.935235631</v>
      </c>
      <c r="BW67" s="669">
        <f t="shared" si="215"/>
        <v>7907182.0465115113</v>
      </c>
      <c r="BX67" s="669">
        <f t="shared" si="215"/>
        <v>6296711.274334481</v>
      </c>
      <c r="BY67" s="669">
        <f t="shared" si="215"/>
        <v>5696266.9247815469</v>
      </c>
      <c r="BZ67" s="669">
        <f t="shared" si="215"/>
        <v>5666027.3623582618</v>
      </c>
      <c r="CA67" s="669">
        <f t="shared" si="215"/>
        <v>5733948.468801938</v>
      </c>
      <c r="CB67" s="669">
        <f t="shared" si="215"/>
        <v>5924193.7670511808</v>
      </c>
      <c r="CC67" s="669">
        <f t="shared" si="215"/>
        <v>8206155.1685590148</v>
      </c>
      <c r="CD67" s="669">
        <f t="shared" si="215"/>
        <v>3924509.6999199358</v>
      </c>
      <c r="CE67" s="669"/>
      <c r="CF67" s="234"/>
      <c r="CG67" s="234"/>
      <c r="CH67" s="234"/>
      <c r="CI67" s="234"/>
      <c r="CJ67" s="234"/>
    </row>
    <row r="68" spans="1:91" x14ac:dyDescent="0.2">
      <c r="B68" s="225" t="s">
        <v>454</v>
      </c>
      <c r="H68" s="669">
        <f t="shared" ref="H68:BS68" si="216">+H57*H32</f>
        <v>0</v>
      </c>
      <c r="I68" s="669">
        <f t="shared" si="216"/>
        <v>0</v>
      </c>
      <c r="J68" s="669">
        <f t="shared" si="216"/>
        <v>483256.00000000006</v>
      </c>
      <c r="K68" s="669">
        <f t="shared" si="216"/>
        <v>703391.99999999988</v>
      </c>
      <c r="L68" s="669">
        <f t="shared" si="216"/>
        <v>865494.4</v>
      </c>
      <c r="M68" s="669">
        <f t="shared" si="216"/>
        <v>383420.44000000006</v>
      </c>
      <c r="N68" s="669">
        <f t="shared" si="216"/>
        <v>373420.10000000003</v>
      </c>
      <c r="O68" s="669">
        <f t="shared" si="216"/>
        <v>0</v>
      </c>
      <c r="P68" s="669">
        <f t="shared" si="216"/>
        <v>0</v>
      </c>
      <c r="Q68" s="669">
        <f t="shared" si="216"/>
        <v>0</v>
      </c>
      <c r="R68" s="669">
        <f t="shared" si="216"/>
        <v>0</v>
      </c>
      <c r="S68" s="669">
        <f t="shared" si="216"/>
        <v>0</v>
      </c>
      <c r="T68" s="669">
        <f t="shared" si="216"/>
        <v>0</v>
      </c>
      <c r="U68" s="669">
        <f t="shared" si="216"/>
        <v>0</v>
      </c>
      <c r="V68" s="669">
        <f t="shared" si="216"/>
        <v>0</v>
      </c>
      <c r="W68" s="669">
        <f t="shared" si="216"/>
        <v>0</v>
      </c>
      <c r="X68" s="669">
        <f t="shared" si="216"/>
        <v>0</v>
      </c>
      <c r="Y68" s="669">
        <f t="shared" si="216"/>
        <v>0</v>
      </c>
      <c r="Z68" s="669">
        <f t="shared" si="216"/>
        <v>0</v>
      </c>
      <c r="AA68" s="669">
        <f t="shared" si="216"/>
        <v>0</v>
      </c>
      <c r="AB68" s="669">
        <f t="shared" si="216"/>
        <v>0</v>
      </c>
      <c r="AC68" s="669">
        <f t="shared" si="216"/>
        <v>0</v>
      </c>
      <c r="AD68" s="669">
        <f t="shared" si="216"/>
        <v>0</v>
      </c>
      <c r="AE68" s="669">
        <f t="shared" si="216"/>
        <v>0</v>
      </c>
      <c r="AF68" s="669">
        <f t="shared" si="216"/>
        <v>0</v>
      </c>
      <c r="AG68" s="669">
        <f t="shared" si="216"/>
        <v>0</v>
      </c>
      <c r="AH68" s="669">
        <f t="shared" si="216"/>
        <v>0</v>
      </c>
      <c r="AI68" s="669">
        <f t="shared" si="216"/>
        <v>0</v>
      </c>
      <c r="AJ68" s="669">
        <f t="shared" si="216"/>
        <v>0</v>
      </c>
      <c r="AK68" s="669">
        <f t="shared" si="216"/>
        <v>0</v>
      </c>
      <c r="AL68" s="669">
        <f t="shared" si="216"/>
        <v>0</v>
      </c>
      <c r="AM68" s="669">
        <f t="shared" si="216"/>
        <v>0</v>
      </c>
      <c r="AN68" s="669">
        <f t="shared" si="216"/>
        <v>0</v>
      </c>
      <c r="AO68" s="669">
        <f t="shared" si="216"/>
        <v>0</v>
      </c>
      <c r="AP68" s="669">
        <f t="shared" si="216"/>
        <v>0</v>
      </c>
      <c r="AQ68" s="669">
        <f t="shared" si="216"/>
        <v>0</v>
      </c>
      <c r="AR68" s="669">
        <f t="shared" si="216"/>
        <v>0</v>
      </c>
      <c r="AS68" s="669">
        <f t="shared" si="216"/>
        <v>0</v>
      </c>
      <c r="AT68" s="669">
        <f t="shared" si="216"/>
        <v>0</v>
      </c>
      <c r="AU68" s="669">
        <f t="shared" si="216"/>
        <v>0</v>
      </c>
      <c r="AV68" s="669">
        <f t="shared" si="216"/>
        <v>0</v>
      </c>
      <c r="AW68" s="669">
        <f t="shared" si="216"/>
        <v>0</v>
      </c>
      <c r="AX68" s="669">
        <f t="shared" si="216"/>
        <v>0</v>
      </c>
      <c r="AY68" s="669">
        <f t="shared" si="216"/>
        <v>0</v>
      </c>
      <c r="AZ68" s="669">
        <f t="shared" si="216"/>
        <v>0</v>
      </c>
      <c r="BA68" s="669">
        <f t="shared" si="216"/>
        <v>0</v>
      </c>
      <c r="BB68" s="669">
        <f t="shared" si="216"/>
        <v>0</v>
      </c>
      <c r="BC68" s="669">
        <f t="shared" si="216"/>
        <v>0</v>
      </c>
      <c r="BD68" s="669">
        <f t="shared" si="216"/>
        <v>0</v>
      </c>
      <c r="BE68" s="669">
        <f t="shared" si="216"/>
        <v>0</v>
      </c>
      <c r="BF68" s="669">
        <f t="shared" si="216"/>
        <v>0</v>
      </c>
      <c r="BG68" s="669">
        <f t="shared" si="216"/>
        <v>0</v>
      </c>
      <c r="BH68" s="669">
        <f t="shared" si="216"/>
        <v>0</v>
      </c>
      <c r="BI68" s="669">
        <f t="shared" si="216"/>
        <v>0</v>
      </c>
      <c r="BJ68" s="669">
        <f t="shared" si="216"/>
        <v>0</v>
      </c>
      <c r="BK68" s="669">
        <f t="shared" si="216"/>
        <v>0</v>
      </c>
      <c r="BL68" s="669">
        <f t="shared" si="216"/>
        <v>0</v>
      </c>
      <c r="BM68" s="669">
        <f t="shared" si="216"/>
        <v>0</v>
      </c>
      <c r="BN68" s="669">
        <f t="shared" si="216"/>
        <v>0</v>
      </c>
      <c r="BO68" s="669">
        <f t="shared" si="216"/>
        <v>0</v>
      </c>
      <c r="BP68" s="669">
        <f t="shared" si="216"/>
        <v>0</v>
      </c>
      <c r="BQ68" s="669">
        <f t="shared" si="216"/>
        <v>0</v>
      </c>
      <c r="BR68" s="669">
        <f t="shared" si="216"/>
        <v>0</v>
      </c>
      <c r="BS68" s="669">
        <f t="shared" si="216"/>
        <v>0</v>
      </c>
      <c r="BT68" s="669">
        <f t="shared" ref="BT68:CD68" si="217">+BT57*BT32</f>
        <v>0</v>
      </c>
      <c r="BU68" s="669">
        <f t="shared" si="217"/>
        <v>0</v>
      </c>
      <c r="BV68" s="669">
        <f t="shared" si="217"/>
        <v>0</v>
      </c>
      <c r="BW68" s="669">
        <f t="shared" si="217"/>
        <v>0</v>
      </c>
      <c r="BX68" s="669">
        <f t="shared" si="217"/>
        <v>0</v>
      </c>
      <c r="BY68" s="669">
        <f t="shared" si="217"/>
        <v>0</v>
      </c>
      <c r="BZ68" s="669">
        <f t="shared" si="217"/>
        <v>0</v>
      </c>
      <c r="CA68" s="669">
        <f t="shared" si="217"/>
        <v>0</v>
      </c>
      <c r="CB68" s="669">
        <f t="shared" si="217"/>
        <v>0</v>
      </c>
      <c r="CC68" s="669">
        <f t="shared" si="217"/>
        <v>0</v>
      </c>
      <c r="CD68" s="669">
        <f t="shared" si="217"/>
        <v>0</v>
      </c>
      <c r="CE68" s="669"/>
      <c r="CF68" s="234"/>
      <c r="CG68" s="234"/>
      <c r="CH68" s="234"/>
      <c r="CI68" s="234"/>
      <c r="CJ68" s="234"/>
    </row>
    <row r="69" spans="1:91" x14ac:dyDescent="0.2">
      <c r="B69" s="225" t="s">
        <v>455</v>
      </c>
      <c r="H69" s="669">
        <f t="shared" ref="H69:AM69" si="218">+(H56-H60)*0.9*(H36)+(H56-H60)*0.08*H38+0.02*(H56-H60)*H37</f>
        <v>208581.21044582938</v>
      </c>
      <c r="I69" s="669">
        <f t="shared" si="218"/>
        <v>234642.60163351608</v>
      </c>
      <c r="J69" s="669">
        <f t="shared" si="218"/>
        <v>62471.982654220294</v>
      </c>
      <c r="K69" s="669">
        <f t="shared" si="218"/>
        <v>49158.389973900965</v>
      </c>
      <c r="L69" s="669">
        <f t="shared" si="218"/>
        <v>44915.32244155329</v>
      </c>
      <c r="M69" s="669">
        <f t="shared" si="218"/>
        <v>20650.064980455318</v>
      </c>
      <c r="N69" s="669">
        <f t="shared" si="218"/>
        <v>30374.834773374798</v>
      </c>
      <c r="O69" s="669">
        <f t="shared" si="218"/>
        <v>233759.02960667448</v>
      </c>
      <c r="P69" s="669">
        <f t="shared" si="218"/>
        <v>203314.58037505258</v>
      </c>
      <c r="Q69" s="669">
        <f t="shared" si="218"/>
        <v>190851.19298802433</v>
      </c>
      <c r="R69" s="669">
        <f t="shared" si="218"/>
        <v>189038.98695629748</v>
      </c>
      <c r="S69" s="669">
        <f t="shared" si="218"/>
        <v>189321.22734885023</v>
      </c>
      <c r="T69" s="669">
        <f t="shared" si="218"/>
        <v>192966.06925647461</v>
      </c>
      <c r="U69" s="669">
        <f t="shared" si="218"/>
        <v>233575.99407369143</v>
      </c>
      <c r="V69" s="669">
        <f t="shared" si="218"/>
        <v>69869.702466475923</v>
      </c>
      <c r="W69" s="669">
        <f t="shared" si="218"/>
        <v>59571.38780327022</v>
      </c>
      <c r="X69" s="669">
        <f t="shared" si="218"/>
        <v>57432.530103336452</v>
      </c>
      <c r="Y69" s="669">
        <f t="shared" si="218"/>
        <v>26391.218180503238</v>
      </c>
      <c r="Z69" s="669">
        <f t="shared" si="218"/>
        <v>35935.813348004449</v>
      </c>
      <c r="AA69" s="669">
        <f t="shared" si="218"/>
        <v>233857.5054489327</v>
      </c>
      <c r="AB69" s="669">
        <f t="shared" si="218"/>
        <v>203362.85565574354</v>
      </c>
      <c r="AC69" s="669">
        <f t="shared" si="218"/>
        <v>190879.10401887735</v>
      </c>
      <c r="AD69" s="669">
        <f t="shared" si="218"/>
        <v>189066.57428090583</v>
      </c>
      <c r="AE69" s="669">
        <f t="shared" si="218"/>
        <v>189348.81555276806</v>
      </c>
      <c r="AF69" s="669">
        <f t="shared" si="218"/>
        <v>193001.24135944265</v>
      </c>
      <c r="AG69" s="669">
        <f t="shared" si="218"/>
        <v>233680.69050729283</v>
      </c>
      <c r="AH69" s="669">
        <f t="shared" si="218"/>
        <v>70072.522090929546</v>
      </c>
      <c r="AI69" s="669">
        <f t="shared" si="218"/>
        <v>59861.844025543804</v>
      </c>
      <c r="AJ69" s="669">
        <f t="shared" si="218"/>
        <v>57763.004748083258</v>
      </c>
      <c r="AK69" s="669">
        <f t="shared" si="218"/>
        <v>26681.615609582561</v>
      </c>
      <c r="AL69" s="669">
        <f t="shared" si="218"/>
        <v>36129.14779465273</v>
      </c>
      <c r="AM69" s="669">
        <f t="shared" si="218"/>
        <v>233955.97948589281</v>
      </c>
      <c r="AN69" s="669">
        <f t="shared" ref="AN69:BS69" si="219">+(AN56-AN60)*0.9*(AN36)+(AN56-AN60)*0.08*AN38+0.02*(AN56-AN60)*AN37</f>
        <v>203411.06576812692</v>
      </c>
      <c r="AO69" s="669">
        <f t="shared" si="219"/>
        <v>190907.07488112466</v>
      </c>
      <c r="AP69" s="669">
        <f t="shared" si="219"/>
        <v>189094.15882224566</v>
      </c>
      <c r="AQ69" s="669">
        <f t="shared" si="219"/>
        <v>189376.40100785822</v>
      </c>
      <c r="AR69" s="669">
        <f t="shared" si="219"/>
        <v>193036.35039461317</v>
      </c>
      <c r="AS69" s="669">
        <f t="shared" si="219"/>
        <v>233785.3851520301</v>
      </c>
      <c r="AT69" s="669">
        <f t="shared" si="219"/>
        <v>70275.338006932929</v>
      </c>
      <c r="AU69" s="669">
        <f t="shared" si="219"/>
        <v>60152.294528000493</v>
      </c>
      <c r="AV69" s="669">
        <f t="shared" si="219"/>
        <v>58093.535492004456</v>
      </c>
      <c r="AW69" s="669">
        <f t="shared" si="219"/>
        <v>26972.070859146166</v>
      </c>
      <c r="AX69" s="669">
        <f t="shared" si="219"/>
        <v>36322.54059109246</v>
      </c>
      <c r="AY69" s="669">
        <f t="shared" si="219"/>
        <v>234054.51441958651</v>
      </c>
      <c r="AZ69" s="669">
        <f t="shared" si="219"/>
        <v>203459.33782659768</v>
      </c>
      <c r="BA69" s="669">
        <f t="shared" si="219"/>
        <v>190934.98281528061</v>
      </c>
      <c r="BB69" s="669">
        <f t="shared" si="219"/>
        <v>189121.74308716255</v>
      </c>
      <c r="BC69" s="669">
        <f t="shared" si="219"/>
        <v>189403.98618619473</v>
      </c>
      <c r="BD69" s="669">
        <f t="shared" si="219"/>
        <v>193071.52140528045</v>
      </c>
      <c r="BE69" s="669">
        <f t="shared" si="219"/>
        <v>233890.07659746447</v>
      </c>
      <c r="BF69" s="669">
        <f t="shared" si="219"/>
        <v>70478.147169291085</v>
      </c>
      <c r="BG69" s="669">
        <f t="shared" si="219"/>
        <v>60442.734645660705</v>
      </c>
      <c r="BH69" s="669">
        <f t="shared" si="219"/>
        <v>58423.991690149633</v>
      </c>
      <c r="BI69" s="669">
        <f t="shared" si="219"/>
        <v>27262.454455286752</v>
      </c>
      <c r="BJ69" s="669">
        <f t="shared" si="219"/>
        <v>36515.863136765969</v>
      </c>
      <c r="BK69" s="669">
        <f t="shared" si="219"/>
        <v>234152.98360538593</v>
      </c>
      <c r="BL69" s="669">
        <f t="shared" si="219"/>
        <v>203507.60870468526</v>
      </c>
      <c r="BM69" s="669">
        <f t="shared" si="219"/>
        <v>190962.89033427677</v>
      </c>
      <c r="BN69" s="669">
        <f t="shared" si="219"/>
        <v>189149.32695054836</v>
      </c>
      <c r="BO69" s="669">
        <f t="shared" si="219"/>
        <v>189431.57096463954</v>
      </c>
      <c r="BP69" s="669">
        <f t="shared" si="219"/>
        <v>193106.61460085044</v>
      </c>
      <c r="BQ69" s="669">
        <f t="shared" si="219"/>
        <v>233994.78297791496</v>
      </c>
      <c r="BR69" s="669">
        <f t="shared" si="219"/>
        <v>70680.863011160312</v>
      </c>
      <c r="BS69" s="669">
        <f t="shared" si="219"/>
        <v>60733.035796033611</v>
      </c>
      <c r="BT69" s="669">
        <f t="shared" ref="BT69:CD69" si="220">+(BT56-BT60)*0.9*(BT36)+(BT56-BT60)*0.08*BT38+0.02*(BT56-BT60)*BT37</f>
        <v>58754.35230623871</v>
      </c>
      <c r="BU69" s="669">
        <f t="shared" si="220"/>
        <v>27552.713875748326</v>
      </c>
      <c r="BV69" s="669">
        <f t="shared" si="220"/>
        <v>36709.146004509217</v>
      </c>
      <c r="BW69" s="669">
        <f t="shared" si="220"/>
        <v>234251.4063108839</v>
      </c>
      <c r="BX69" s="669">
        <f t="shared" si="220"/>
        <v>203555.8575761214</v>
      </c>
      <c r="BY69" s="669">
        <f t="shared" si="220"/>
        <v>190990.78561399487</v>
      </c>
      <c r="BZ69" s="669">
        <f t="shared" si="220"/>
        <v>189176.89887979277</v>
      </c>
      <c r="CA69" s="669">
        <f t="shared" si="220"/>
        <v>189459.20663672872</v>
      </c>
      <c r="CB69" s="669">
        <f t="shared" si="220"/>
        <v>193106.61460085044</v>
      </c>
      <c r="CC69" s="669">
        <f t="shared" si="220"/>
        <v>233994.78297791496</v>
      </c>
      <c r="CD69" s="669">
        <f t="shared" si="220"/>
        <v>70680.863011160312</v>
      </c>
      <c r="CE69" s="669"/>
      <c r="CF69" s="234"/>
      <c r="CG69" s="234"/>
      <c r="CH69" s="234"/>
      <c r="CI69" s="234"/>
      <c r="CJ69" s="234"/>
    </row>
    <row r="70" spans="1:91" x14ac:dyDescent="0.2">
      <c r="B70" s="225" t="s">
        <v>412</v>
      </c>
      <c r="H70" s="196">
        <f>-H42-H47</f>
        <v>-3691069.089999998</v>
      </c>
      <c r="I70" s="196">
        <f t="shared" ref="I70:BT70" si="221">-I42-I47</f>
        <v>-3577568.4791792198</v>
      </c>
      <c r="J70" s="196">
        <f t="shared" si="221"/>
        <v>2405728.3251446299</v>
      </c>
      <c r="K70" s="196">
        <f t="shared" si="221"/>
        <v>5515731.2320657689</v>
      </c>
      <c r="L70" s="196">
        <f t="shared" si="221"/>
        <v>6770382.0996827669</v>
      </c>
      <c r="M70" s="196">
        <f t="shared" si="221"/>
        <v>6237872.2854415979</v>
      </c>
      <c r="N70" s="196">
        <f t="shared" si="221"/>
        <v>4826355.3971140813</v>
      </c>
      <c r="O70" s="196">
        <f t="shared" si="221"/>
        <v>-3364200.5546777649</v>
      </c>
      <c r="P70" s="196">
        <f t="shared" si="221"/>
        <v>-3409191.4943013173</v>
      </c>
      <c r="Q70" s="196">
        <f t="shared" si="221"/>
        <v>-3475996.2228332581</v>
      </c>
      <c r="R70" s="196">
        <f t="shared" si="221"/>
        <v>-3545527.674978748</v>
      </c>
      <c r="S70" s="196">
        <f t="shared" si="221"/>
        <v>-3567341.4638871364</v>
      </c>
      <c r="T70" s="196">
        <f t="shared" si="221"/>
        <v>-3570068.1875006855</v>
      </c>
      <c r="U70" s="196">
        <f t="shared" si="221"/>
        <v>-3605515.5944768172</v>
      </c>
      <c r="V70" s="196">
        <f t="shared" si="221"/>
        <v>2420884.5203744359</v>
      </c>
      <c r="W70" s="196">
        <f t="shared" si="221"/>
        <v>5504348.8143630028</v>
      </c>
      <c r="X70" s="196">
        <f t="shared" si="221"/>
        <v>6747753.7477730969</v>
      </c>
      <c r="Y70" s="196">
        <f t="shared" si="221"/>
        <v>6199495.4499759786</v>
      </c>
      <c r="Z70" s="196">
        <f t="shared" si="221"/>
        <v>4776995.09474211</v>
      </c>
      <c r="AA70" s="196">
        <f t="shared" si="221"/>
        <v>-3755485.3932219911</v>
      </c>
      <c r="AB70" s="196">
        <f t="shared" si="221"/>
        <v>-3755485.3932219911</v>
      </c>
      <c r="AC70" s="196">
        <f t="shared" si="221"/>
        <v>-3812746.5891065123</v>
      </c>
      <c r="AD70" s="196">
        <f t="shared" si="221"/>
        <v>-3875461.2322181296</v>
      </c>
      <c r="AE70" s="196">
        <f t="shared" si="221"/>
        <v>-3895911.6593197444</v>
      </c>
      <c r="AF70" s="196">
        <f t="shared" si="221"/>
        <v>-3889094.8502858733</v>
      </c>
      <c r="AG70" s="196">
        <f t="shared" si="221"/>
        <v>-3923178.895455231</v>
      </c>
      <c r="AH70" s="196">
        <f t="shared" si="221"/>
        <v>2536833.6922292765</v>
      </c>
      <c r="AI70" s="196">
        <f t="shared" si="221"/>
        <v>5779299.3003793266</v>
      </c>
      <c r="AJ70" s="196">
        <f t="shared" si="221"/>
        <v>7086955.7734484524</v>
      </c>
      <c r="AK70" s="196">
        <f t="shared" si="221"/>
        <v>6515479.0071469136</v>
      </c>
      <c r="AL70" s="196">
        <f t="shared" si="221"/>
        <v>5025360.4175441833</v>
      </c>
      <c r="AM70" s="196">
        <f t="shared" si="221"/>
        <v>-3885004.7648655502</v>
      </c>
      <c r="AN70" s="196">
        <f t="shared" si="221"/>
        <v>-3880914.6794452267</v>
      </c>
      <c r="AO70" s="196">
        <f t="shared" si="221"/>
        <v>-3924542.2572620045</v>
      </c>
      <c r="AP70" s="196">
        <f t="shared" si="221"/>
        <v>-3972259.9204991059</v>
      </c>
      <c r="AQ70" s="196">
        <f t="shared" si="221"/>
        <v>-3989983.6239871718</v>
      </c>
      <c r="AR70" s="196">
        <f t="shared" si="221"/>
        <v>-3983166.8149533002</v>
      </c>
      <c r="AS70" s="196">
        <f t="shared" si="221"/>
        <v>-4018614.2219294319</v>
      </c>
      <c r="AT70" s="196">
        <f t="shared" si="221"/>
        <v>2619658.7980396696</v>
      </c>
      <c r="AU70" s="196">
        <f t="shared" si="221"/>
        <v>5969268.9167193584</v>
      </c>
      <c r="AV70" s="196">
        <f t="shared" si="221"/>
        <v>7320150.9404575517</v>
      </c>
      <c r="AW70" s="196">
        <f t="shared" si="221"/>
        <v>6730360.2340896185</v>
      </c>
      <c r="AX70" s="196">
        <f t="shared" si="221"/>
        <v>5191648.8187003313</v>
      </c>
      <c r="AY70" s="196">
        <f t="shared" si="221"/>
        <v>-4004980.6038616886</v>
      </c>
      <c r="AZ70" s="196">
        <f t="shared" si="221"/>
        <v>-3999527.1566345925</v>
      </c>
      <c r="BA70" s="196">
        <f t="shared" si="221"/>
        <v>-4043154.7344513694</v>
      </c>
      <c r="BB70" s="196">
        <f t="shared" si="221"/>
        <v>-4090872.3976884708</v>
      </c>
      <c r="BC70" s="196">
        <f t="shared" si="221"/>
        <v>-4111322.8247900852</v>
      </c>
      <c r="BD70" s="196">
        <f t="shared" si="221"/>
        <v>-4104506.015756214</v>
      </c>
      <c r="BE70" s="196">
        <f t="shared" si="221"/>
        <v>-4142680.1463458939</v>
      </c>
      <c r="BF70" s="196">
        <f t="shared" si="221"/>
        <v>2712946.6145968698</v>
      </c>
      <c r="BG70" s="196">
        <f t="shared" si="221"/>
        <v>6178637.4190424103</v>
      </c>
      <c r="BH70" s="196">
        <f t="shared" si="221"/>
        <v>7576296.3800011026</v>
      </c>
      <c r="BI70" s="196">
        <f t="shared" si="221"/>
        <v>6964642.8050532583</v>
      </c>
      <c r="BJ70" s="196">
        <f t="shared" si="221"/>
        <v>5370991.7496753912</v>
      </c>
      <c r="BK70" s="196">
        <f t="shared" si="221"/>
        <v>-4169947.3824813804</v>
      </c>
      <c r="BL70" s="196">
        <f t="shared" si="221"/>
        <v>-4164493.9352542832</v>
      </c>
      <c r="BM70" s="196">
        <f t="shared" si="221"/>
        <v>-4205394.7894575121</v>
      </c>
      <c r="BN70" s="196">
        <f t="shared" si="221"/>
        <v>-4249022.36727429</v>
      </c>
      <c r="BO70" s="196">
        <f t="shared" si="221"/>
        <v>-4281743.0506368736</v>
      </c>
      <c r="BP70" s="196">
        <f t="shared" si="221"/>
        <v>-4276289.6034097765</v>
      </c>
      <c r="BQ70" s="196">
        <f t="shared" si="221"/>
        <v>-4319917.1812265534</v>
      </c>
      <c r="BR70" s="196">
        <f t="shared" si="221"/>
        <v>2829763.0090402309</v>
      </c>
      <c r="BS70" s="196">
        <f t="shared" si="221"/>
        <v>6441817.0956373997</v>
      </c>
      <c r="BT70" s="196">
        <f t="shared" si="221"/>
        <v>7898468.1634223778</v>
      </c>
      <c r="BU70" s="196">
        <f t="shared" ref="BU70:CD70" si="222">-BU42-BU47</f>
        <v>7259707.6645880351</v>
      </c>
      <c r="BV70" s="196">
        <f t="shared" si="222"/>
        <v>5597305.9374585981</v>
      </c>
      <c r="BW70" s="196">
        <f t="shared" si="222"/>
        <v>-4364908.1208501067</v>
      </c>
      <c r="BX70" s="196">
        <f t="shared" si="222"/>
        <v>-4358091.3118162341</v>
      </c>
      <c r="BY70" s="196">
        <f t="shared" si="222"/>
        <v>-4398992.1660194639</v>
      </c>
      <c r="BZ70" s="196">
        <f t="shared" si="222"/>
        <v>-4449436.5528701134</v>
      </c>
      <c r="CA70" s="196">
        <f t="shared" si="222"/>
        <v>-4490337.4070733432</v>
      </c>
      <c r="CB70" s="196">
        <f t="shared" si="222"/>
        <v>-4486247.3216530196</v>
      </c>
      <c r="CC70" s="196">
        <f t="shared" si="222"/>
        <v>-4535328.3466968937</v>
      </c>
      <c r="CD70" s="196">
        <f t="shared" si="222"/>
        <v>2901277.6023487663</v>
      </c>
      <c r="CE70" s="670"/>
      <c r="CF70" s="235"/>
      <c r="CG70" s="235"/>
      <c r="CH70" s="235"/>
      <c r="CI70" s="235"/>
      <c r="CJ70" s="235"/>
    </row>
    <row r="71" spans="1:91" x14ac:dyDescent="0.2"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  <c r="AK71" s="669"/>
      <c r="AL71" s="669"/>
      <c r="AM71" s="669"/>
      <c r="AN71" s="669"/>
      <c r="AO71" s="669"/>
      <c r="AP71" s="669"/>
      <c r="AQ71" s="669"/>
      <c r="AR71" s="669"/>
      <c r="AS71" s="669"/>
      <c r="AT71" s="669"/>
      <c r="AU71" s="669"/>
      <c r="AV71" s="669"/>
      <c r="AW71" s="669"/>
      <c r="AX71" s="669"/>
      <c r="AY71" s="669"/>
      <c r="AZ71" s="669"/>
      <c r="BA71" s="669"/>
      <c r="BB71" s="669"/>
      <c r="BC71" s="669"/>
      <c r="BD71" s="669"/>
      <c r="BE71" s="669"/>
      <c r="BF71" s="669"/>
      <c r="BG71" s="669"/>
      <c r="BH71" s="669"/>
      <c r="BI71" s="669"/>
      <c r="BJ71" s="669"/>
      <c r="BK71" s="669"/>
      <c r="BL71" s="669"/>
      <c r="BM71" s="669"/>
      <c r="BN71" s="669"/>
      <c r="BO71" s="669"/>
      <c r="BP71" s="669"/>
      <c r="BQ71" s="669"/>
      <c r="BR71" s="669"/>
      <c r="BS71" s="669"/>
      <c r="BT71" s="669"/>
      <c r="BU71" s="669"/>
      <c r="BV71" s="669"/>
      <c r="BW71" s="669"/>
      <c r="BX71" s="669"/>
      <c r="BY71" s="669"/>
      <c r="BZ71" s="669"/>
      <c r="CA71" s="669"/>
      <c r="CB71" s="669"/>
      <c r="CC71" s="669"/>
      <c r="CD71" s="669"/>
      <c r="CE71" s="669"/>
      <c r="CF71" s="234"/>
      <c r="CG71" s="234"/>
      <c r="CH71" s="234"/>
      <c r="CI71" s="234"/>
      <c r="CJ71" s="234"/>
    </row>
    <row r="72" spans="1:91" x14ac:dyDescent="0.2">
      <c r="B72" s="225" t="s">
        <v>456</v>
      </c>
      <c r="H72" s="669">
        <f t="shared" ref="H72:AM72" si="223">SUM(H65:H70)</f>
        <v>2340047.818165441</v>
      </c>
      <c r="I72" s="669">
        <f t="shared" si="223"/>
        <v>4717180.2114647198</v>
      </c>
      <c r="J72" s="669">
        <f t="shared" si="223"/>
        <v>8002029.6582790408</v>
      </c>
      <c r="K72" s="669">
        <f t="shared" si="223"/>
        <v>12457405.899251467</v>
      </c>
      <c r="L72" s="669">
        <f t="shared" si="223"/>
        <v>14458646.299402935</v>
      </c>
      <c r="M72" s="669">
        <f t="shared" si="223"/>
        <v>11432456.690690791</v>
      </c>
      <c r="N72" s="669">
        <f t="shared" si="223"/>
        <v>9841211.3571212366</v>
      </c>
      <c r="O72" s="669">
        <f t="shared" si="223"/>
        <v>4535600.6416645739</v>
      </c>
      <c r="P72" s="669">
        <f t="shared" si="223"/>
        <v>2558510.5504215546</v>
      </c>
      <c r="Q72" s="669">
        <f t="shared" si="223"/>
        <v>1770640.9822837282</v>
      </c>
      <c r="R72" s="669">
        <f t="shared" si="223"/>
        <v>1695846.5276243268</v>
      </c>
      <c r="S72" s="669">
        <f t="shared" si="223"/>
        <v>1718491.5551592829</v>
      </c>
      <c r="T72" s="669">
        <f t="shared" si="223"/>
        <v>1974604.9735691082</v>
      </c>
      <c r="U72" s="669">
        <f t="shared" si="223"/>
        <v>4720045.014721008</v>
      </c>
      <c r="V72" s="669">
        <f t="shared" si="223"/>
        <v>8550260.4928475805</v>
      </c>
      <c r="W72" s="669">
        <f t="shared" si="223"/>
        <v>12721609.941906188</v>
      </c>
      <c r="X72" s="669">
        <f t="shared" si="223"/>
        <v>14575955.773958806</v>
      </c>
      <c r="Y72" s="669">
        <f t="shared" si="223"/>
        <v>11462331.776236529</v>
      </c>
      <c r="Z72" s="669">
        <f t="shared" si="223"/>
        <v>9911835.3130340185</v>
      </c>
      <c r="AA72" s="669">
        <f t="shared" si="223"/>
        <v>4865426.3923597764</v>
      </c>
      <c r="AB72" s="669">
        <f t="shared" si="223"/>
        <v>2720938.9127206653</v>
      </c>
      <c r="AC72" s="669">
        <f t="shared" si="223"/>
        <v>1876887.3705963017</v>
      </c>
      <c r="AD72" s="669">
        <f t="shared" si="223"/>
        <v>1792751.5972372042</v>
      </c>
      <c r="AE72" s="669">
        <f t="shared" si="223"/>
        <v>1816124.1595219364</v>
      </c>
      <c r="AF72" s="669">
        <f t="shared" si="223"/>
        <v>2083899.4953596373</v>
      </c>
      <c r="AG72" s="669">
        <f t="shared" si="223"/>
        <v>4988590.9873784138</v>
      </c>
      <c r="AH72" s="669">
        <f t="shared" si="223"/>
        <v>8939961.8522695936</v>
      </c>
      <c r="AI72" s="669">
        <f t="shared" si="223"/>
        <v>13227651.720443357</v>
      </c>
      <c r="AJ72" s="669">
        <f t="shared" si="223"/>
        <v>15128762.532514911</v>
      </c>
      <c r="AK72" s="669">
        <f t="shared" si="223"/>
        <v>11882159.798442144</v>
      </c>
      <c r="AL72" s="669">
        <f t="shared" si="223"/>
        <v>10283428.079299044</v>
      </c>
      <c r="AM72" s="669">
        <f t="shared" si="223"/>
        <v>4977838.723296578</v>
      </c>
      <c r="AN72" s="669">
        <f t="shared" ref="AN72:BS72" si="224">SUM(AN65:AN70)</f>
        <v>2781212.8345666369</v>
      </c>
      <c r="AO72" s="669">
        <f t="shared" si="224"/>
        <v>1912962.6863987781</v>
      </c>
      <c r="AP72" s="669">
        <f t="shared" si="224"/>
        <v>1822031.926812795</v>
      </c>
      <c r="AQ72" s="669">
        <f t="shared" si="224"/>
        <v>1844933.11551164</v>
      </c>
      <c r="AR72" s="669">
        <f t="shared" si="224"/>
        <v>2117261.8508399865</v>
      </c>
      <c r="AS72" s="669">
        <f t="shared" si="224"/>
        <v>5073033.7579723513</v>
      </c>
      <c r="AT72" s="669">
        <f t="shared" si="224"/>
        <v>9109768.4044925086</v>
      </c>
      <c r="AU72" s="669">
        <f t="shared" si="224"/>
        <v>13503516.417046016</v>
      </c>
      <c r="AV72" s="669">
        <f t="shared" si="224"/>
        <v>15464383.981386591</v>
      </c>
      <c r="AW72" s="669">
        <f t="shared" si="224"/>
        <v>12152674.235680316</v>
      </c>
      <c r="AX72" s="669">
        <f t="shared" si="224"/>
        <v>10512170.615563788</v>
      </c>
      <c r="AY72" s="669">
        <f t="shared" si="224"/>
        <v>5082591.31584509</v>
      </c>
      <c r="AZ72" s="669">
        <f t="shared" si="224"/>
        <v>2838467.4312328473</v>
      </c>
      <c r="BA72" s="669">
        <f t="shared" si="224"/>
        <v>1951246.9886703175</v>
      </c>
      <c r="BB72" s="669">
        <f t="shared" si="224"/>
        <v>1857732.8967652088</v>
      </c>
      <c r="BC72" s="669">
        <f t="shared" si="224"/>
        <v>1881842.9335035416</v>
      </c>
      <c r="BD72" s="669">
        <f t="shared" si="224"/>
        <v>2159955.8818887612</v>
      </c>
      <c r="BE72" s="669">
        <f t="shared" si="224"/>
        <v>5181576.9944249941</v>
      </c>
      <c r="BF72" s="669">
        <f t="shared" si="224"/>
        <v>9319620.1832249239</v>
      </c>
      <c r="BG72" s="669">
        <f t="shared" si="224"/>
        <v>13834460.755597934</v>
      </c>
      <c r="BH72" s="669">
        <f t="shared" si="224"/>
        <v>15853879.199160226</v>
      </c>
      <c r="BI72" s="669">
        <f t="shared" si="224"/>
        <v>12456546.230120212</v>
      </c>
      <c r="BJ72" s="669">
        <f t="shared" si="224"/>
        <v>10771470.54367055</v>
      </c>
      <c r="BK72" s="669">
        <f t="shared" si="224"/>
        <v>5225262.9785435544</v>
      </c>
      <c r="BL72" s="669">
        <f t="shared" si="224"/>
        <v>2917439.5697075715</v>
      </c>
      <c r="BM72" s="669">
        <f t="shared" si="224"/>
        <v>2003295.370863894</v>
      </c>
      <c r="BN72" s="669">
        <f t="shared" si="224"/>
        <v>1905046.0729071945</v>
      </c>
      <c r="BO72" s="669">
        <f t="shared" si="224"/>
        <v>1933318.1849603029</v>
      </c>
      <c r="BP72" s="669">
        <f t="shared" si="224"/>
        <v>2219879.8933059759</v>
      </c>
      <c r="BQ72" s="669">
        <f t="shared" si="224"/>
        <v>5334811.0749992337</v>
      </c>
      <c r="BR72" s="669">
        <f t="shared" si="224"/>
        <v>9599571.9419497587</v>
      </c>
      <c r="BS72" s="669">
        <f t="shared" si="224"/>
        <v>14249918.691210177</v>
      </c>
      <c r="BT72" s="669">
        <f t="shared" ref="BT72:CD72" si="225">SUM(BT65:BT70)</f>
        <v>16329796.421155633</v>
      </c>
      <c r="BU72" s="669">
        <f t="shared" si="225"/>
        <v>12832416.258881519</v>
      </c>
      <c r="BV72" s="669">
        <f t="shared" si="225"/>
        <v>11092293.87864583</v>
      </c>
      <c r="BW72" s="669">
        <f t="shared" si="225"/>
        <v>5393657.4590085782</v>
      </c>
      <c r="BX72" s="669">
        <f t="shared" si="225"/>
        <v>3010058.260441931</v>
      </c>
      <c r="BY72" s="669">
        <f t="shared" si="225"/>
        <v>2065371.5519638686</v>
      </c>
      <c r="BZ72" s="669">
        <f t="shared" si="225"/>
        <v>1964877.0772443395</v>
      </c>
      <c r="CA72" s="669">
        <f t="shared" si="225"/>
        <v>1996259.4986910243</v>
      </c>
      <c r="CB72" s="669">
        <f t="shared" si="225"/>
        <v>2290264.2124794433</v>
      </c>
      <c r="CC72" s="669">
        <f t="shared" si="225"/>
        <v>5512345.444051669</v>
      </c>
      <c r="CD72" s="669">
        <f t="shared" si="225"/>
        <v>6904639.7251798622</v>
      </c>
      <c r="CE72" s="669"/>
      <c r="CF72" s="234"/>
      <c r="CG72" s="234"/>
      <c r="CH72" s="234"/>
      <c r="CI72" s="234"/>
      <c r="CJ72" s="234"/>
    </row>
    <row r="73" spans="1:91" x14ac:dyDescent="0.2">
      <c r="H73" s="225"/>
      <c r="I73" s="225"/>
      <c r="J73" s="225"/>
      <c r="K73" s="225"/>
      <c r="L73" s="225"/>
      <c r="M73" s="225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27"/>
      <c r="CG73" s="227"/>
      <c r="CH73" s="227"/>
    </row>
    <row r="74" spans="1:91" x14ac:dyDescent="0.2">
      <c r="A74" s="225" t="s">
        <v>457</v>
      </c>
      <c r="H74" s="225"/>
      <c r="I74" s="225"/>
      <c r="J74" s="225"/>
      <c r="K74" s="225"/>
      <c r="L74" s="225"/>
      <c r="M74" s="225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27"/>
      <c r="CG74" s="227"/>
      <c r="CH74" s="227"/>
    </row>
    <row r="75" spans="1:91" x14ac:dyDescent="0.2">
      <c r="H75" s="225"/>
      <c r="I75" s="225"/>
      <c r="J75" s="225"/>
      <c r="K75" s="225"/>
      <c r="L75" s="225"/>
      <c r="M75" s="225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27"/>
      <c r="CG75" s="227"/>
      <c r="CH75" s="227"/>
    </row>
    <row r="76" spans="1:91" x14ac:dyDescent="0.2">
      <c r="B76" s="225" t="s">
        <v>458</v>
      </c>
      <c r="H76" s="231"/>
      <c r="I76" s="671"/>
      <c r="J76" s="671">
        <f>[7]B.6!$E$13</f>
        <v>25975686</v>
      </c>
      <c r="K76" s="225"/>
      <c r="L76" s="225"/>
      <c r="M76" s="225"/>
      <c r="N76" s="231"/>
      <c r="O76" s="231"/>
      <c r="P76" s="671"/>
      <c r="Q76" s="231"/>
      <c r="R76" s="196"/>
      <c r="S76" s="231"/>
      <c r="T76" s="231"/>
      <c r="U76" s="671"/>
      <c r="V76" s="671">
        <f>[7]B.6!$E$13</f>
        <v>25975686</v>
      </c>
      <c r="W76" s="231"/>
      <c r="X76" s="231"/>
      <c r="Y76" s="231"/>
      <c r="Z76" s="231"/>
      <c r="AA76" s="231"/>
      <c r="AB76" s="196"/>
      <c r="AC76" s="231"/>
      <c r="AD76" s="196"/>
      <c r="AE76" s="231"/>
      <c r="AF76" s="231"/>
      <c r="AG76" s="671"/>
      <c r="AH76" s="671">
        <f>[7]B.6!$E$13</f>
        <v>25975686</v>
      </c>
      <c r="AI76" s="231"/>
      <c r="AJ76" s="231"/>
      <c r="AK76" s="231"/>
      <c r="AL76" s="231"/>
      <c r="AM76" s="231"/>
      <c r="AN76" s="196"/>
      <c r="AO76" s="231"/>
      <c r="AP76" s="196"/>
      <c r="AQ76" s="231"/>
      <c r="AR76" s="231"/>
      <c r="AS76" s="671"/>
      <c r="AT76" s="671">
        <f>[7]B.6!$E$13</f>
        <v>25975686</v>
      </c>
      <c r="AU76" s="231"/>
      <c r="AV76" s="231"/>
      <c r="AW76" s="231"/>
      <c r="AX76" s="231"/>
      <c r="AY76" s="231"/>
      <c r="AZ76" s="196"/>
      <c r="BA76" s="231"/>
      <c r="BB76" s="196"/>
      <c r="BC76" s="231"/>
      <c r="BD76" s="231"/>
      <c r="BE76" s="671"/>
      <c r="BF76" s="671">
        <f>[7]B.6!$E$13</f>
        <v>25975686</v>
      </c>
      <c r="BG76" s="231"/>
      <c r="BH76" s="231"/>
      <c r="BI76" s="231"/>
      <c r="BJ76" s="231"/>
      <c r="BK76" s="231"/>
      <c r="BL76" s="196"/>
      <c r="BM76" s="231"/>
      <c r="BN76" s="196"/>
      <c r="BO76" s="231"/>
      <c r="BP76" s="231"/>
      <c r="BQ76" s="671"/>
      <c r="BR76" s="671">
        <f>[7]B.6!$E$13</f>
        <v>25975686</v>
      </c>
      <c r="BS76" s="231"/>
      <c r="BT76" s="231"/>
      <c r="BU76" s="231"/>
      <c r="BV76" s="231"/>
      <c r="BW76" s="231"/>
      <c r="BX76" s="196"/>
      <c r="BY76" s="231"/>
      <c r="BZ76" s="196"/>
      <c r="CA76" s="231"/>
      <c r="CB76" s="231"/>
      <c r="CC76" s="671"/>
      <c r="CD76" s="231"/>
      <c r="CE76" s="231"/>
      <c r="CF76" s="227"/>
      <c r="CG76" s="227"/>
      <c r="CH76" s="227"/>
      <c r="CJ76" s="236"/>
    </row>
    <row r="77" spans="1:91" x14ac:dyDescent="0.2">
      <c r="B77" s="225" t="s">
        <v>459</v>
      </c>
      <c r="H77" s="225">
        <f>[7]B.6!$E$17</f>
        <v>0.155</v>
      </c>
      <c r="I77" s="672"/>
      <c r="J77" s="672">
        <f>$H$77*J76/SUM(J7:U7)</f>
        <v>0.23105175054276342</v>
      </c>
      <c r="K77" s="225"/>
      <c r="L77" s="225"/>
      <c r="M77" s="225"/>
      <c r="N77" s="231"/>
      <c r="O77" s="225"/>
      <c r="P77" s="672"/>
      <c r="Q77" s="231"/>
      <c r="R77" s="225"/>
      <c r="S77" s="225"/>
      <c r="T77" s="225"/>
      <c r="U77" s="672"/>
      <c r="V77" s="672">
        <f>$H$77*V76/SUM(V7:AG7)</f>
        <v>0.23070135282670715</v>
      </c>
      <c r="W77" s="231"/>
      <c r="X77" s="231"/>
      <c r="Y77" s="231"/>
      <c r="Z77" s="231"/>
      <c r="AA77" s="231"/>
      <c r="AB77" s="672"/>
      <c r="AC77" s="231"/>
      <c r="AD77" s="225"/>
      <c r="AE77" s="225"/>
      <c r="AF77" s="225"/>
      <c r="AG77" s="672"/>
      <c r="AH77" s="672">
        <f>$H$77*AH76/SUM(AH7:AS7)</f>
        <v>0.23035201876481448</v>
      </c>
      <c r="AI77" s="231"/>
      <c r="AJ77" s="231"/>
      <c r="AK77" s="231"/>
      <c r="AL77" s="231"/>
      <c r="AM77" s="231"/>
      <c r="AN77" s="672"/>
      <c r="AO77" s="231"/>
      <c r="AP77" s="225"/>
      <c r="AQ77" s="225"/>
      <c r="AR77" s="225"/>
      <c r="AS77" s="672"/>
      <c r="AT77" s="672">
        <f>$H$77*AT76/SUM(AT7:BE7)</f>
        <v>0.23000374780862595</v>
      </c>
      <c r="AU77" s="231"/>
      <c r="AV77" s="231"/>
      <c r="AW77" s="231"/>
      <c r="AX77" s="231"/>
      <c r="AY77" s="231"/>
      <c r="AZ77" s="672"/>
      <c r="BA77" s="231"/>
      <c r="BB77" s="225"/>
      <c r="BC77" s="225"/>
      <c r="BD77" s="225"/>
      <c r="BE77" s="672"/>
      <c r="BF77" s="672">
        <f>$H$77*BF76/SUM(BF7:BQ7)</f>
        <v>0.22965655221469922</v>
      </c>
      <c r="BG77" s="231"/>
      <c r="BH77" s="231"/>
      <c r="BI77" s="231"/>
      <c r="BJ77" s="231"/>
      <c r="BK77" s="231"/>
      <c r="BL77" s="672"/>
      <c r="BM77" s="231"/>
      <c r="BN77" s="225"/>
      <c r="BO77" s="225"/>
      <c r="BP77" s="225"/>
      <c r="BQ77" s="672"/>
      <c r="BR77" s="672">
        <f>$H$77*BR76/SUM(BR7:CC7)</f>
        <v>0.22933936289707274</v>
      </c>
      <c r="BS77" s="231"/>
      <c r="BT77" s="231"/>
      <c r="BU77" s="231"/>
      <c r="BV77" s="231"/>
      <c r="BW77" s="231"/>
      <c r="BX77" s="672"/>
      <c r="BY77" s="231"/>
      <c r="BZ77" s="225"/>
      <c r="CA77" s="225"/>
      <c r="CB77" s="225"/>
      <c r="CC77" s="672">
        <f>BQ77</f>
        <v>0</v>
      </c>
      <c r="CD77" s="231"/>
      <c r="CE77" s="231"/>
      <c r="CF77" s="227"/>
      <c r="CG77" s="227"/>
      <c r="CH77" s="227"/>
      <c r="CJ77" s="239"/>
    </row>
    <row r="78" spans="1:91" x14ac:dyDescent="0.2">
      <c r="B78" s="225" t="s">
        <v>460</v>
      </c>
      <c r="H78" s="225">
        <f>1-H77</f>
        <v>0.84499999999999997</v>
      </c>
      <c r="I78" s="672"/>
      <c r="J78" s="672">
        <f>$H$78*J76/(SUM(J5:U5))+J77</f>
        <v>1.5148790075269765</v>
      </c>
      <c r="K78" s="225"/>
      <c r="L78" s="225"/>
      <c r="M78" s="225"/>
      <c r="N78" s="231"/>
      <c r="O78" s="225"/>
      <c r="P78" s="672"/>
      <c r="Q78" s="231"/>
      <c r="R78" s="673"/>
      <c r="S78" s="673"/>
      <c r="T78" s="225"/>
      <c r="U78" s="672"/>
      <c r="V78" s="672">
        <f>$H$78*V76/(SUM(V5:AG5))+V77</f>
        <v>1.5125442599364243</v>
      </c>
      <c r="W78" s="225"/>
      <c r="X78" s="225"/>
      <c r="Y78" s="225"/>
      <c r="Z78" s="231"/>
      <c r="AA78" s="231"/>
      <c r="AB78" s="672"/>
      <c r="AC78" s="231"/>
      <c r="AD78" s="673"/>
      <c r="AE78" s="673"/>
      <c r="AF78" s="225"/>
      <c r="AG78" s="672"/>
      <c r="AH78" s="672">
        <f>$H$78*AH76/(SUM(AH5:AS5))+AH77</f>
        <v>1.5102167148255385</v>
      </c>
      <c r="AI78" s="225"/>
      <c r="AJ78" s="225"/>
      <c r="AK78" s="225"/>
      <c r="AL78" s="231"/>
      <c r="AM78" s="231"/>
      <c r="AN78" s="672"/>
      <c r="AO78" s="231"/>
      <c r="AP78" s="673"/>
      <c r="AQ78" s="673"/>
      <c r="AR78" s="225"/>
      <c r="AS78" s="672"/>
      <c r="AT78" s="672">
        <f>$H$78*AT76/(SUM(AT5:BE5))+AT77</f>
        <v>1.5078963674795705</v>
      </c>
      <c r="AU78" s="225"/>
      <c r="AV78" s="225"/>
      <c r="AW78" s="225"/>
      <c r="AX78" s="231"/>
      <c r="AY78" s="231"/>
      <c r="AZ78" s="672"/>
      <c r="BA78" s="231"/>
      <c r="BB78" s="673"/>
      <c r="BC78" s="673"/>
      <c r="BD78" s="225"/>
      <c r="BE78" s="672"/>
      <c r="BF78" s="672">
        <f>$H$78*BF76/(SUM(BF5:BQ5))+BF77</f>
        <v>1.5055832984947171</v>
      </c>
      <c r="BG78" s="225"/>
      <c r="BH78" s="225"/>
      <c r="BI78" s="225"/>
      <c r="BJ78" s="231"/>
      <c r="BK78" s="231"/>
      <c r="BL78" s="672"/>
      <c r="BM78" s="231"/>
      <c r="BN78" s="673"/>
      <c r="BO78" s="673"/>
      <c r="BP78" s="225"/>
      <c r="BQ78" s="672"/>
      <c r="BR78" s="672">
        <f>$H$78*BR76/(SUM(BR5:CC5))+BR77</f>
        <v>1.5034702351078555</v>
      </c>
      <c r="BS78" s="225"/>
      <c r="BT78" s="225"/>
      <c r="BU78" s="225"/>
      <c r="BV78" s="231"/>
      <c r="BW78" s="231"/>
      <c r="BX78" s="672"/>
      <c r="BY78" s="231"/>
      <c r="BZ78" s="673"/>
      <c r="CA78" s="673"/>
      <c r="CB78" s="225"/>
      <c r="CC78" s="672">
        <f>BQ78</f>
        <v>0</v>
      </c>
      <c r="CD78" s="225"/>
      <c r="CE78" s="225"/>
      <c r="CH78" s="227"/>
      <c r="CI78" s="227"/>
      <c r="CJ78" s="239"/>
      <c r="CK78" s="227"/>
      <c r="CL78" s="240"/>
      <c r="CM78" s="240"/>
    </row>
    <row r="79" spans="1:91" x14ac:dyDescent="0.2">
      <c r="H79" s="225"/>
      <c r="I79" s="225"/>
      <c r="J79" s="225"/>
      <c r="K79" s="225"/>
      <c r="L79" s="225"/>
      <c r="M79" s="225"/>
      <c r="N79" s="231"/>
      <c r="O79" s="231"/>
      <c r="P79" s="231"/>
      <c r="Q79" s="231"/>
      <c r="R79" s="231"/>
      <c r="S79" s="231"/>
      <c r="T79" s="225"/>
      <c r="U79" s="225"/>
      <c r="V79" s="225"/>
      <c r="W79" s="225"/>
      <c r="X79" s="225"/>
      <c r="Y79" s="225"/>
      <c r="Z79" s="231"/>
      <c r="AA79" s="231"/>
      <c r="AB79" s="231"/>
      <c r="AC79" s="231"/>
      <c r="AD79" s="231"/>
      <c r="AE79" s="231"/>
      <c r="AF79" s="225"/>
      <c r="AG79" s="225"/>
      <c r="AH79" s="225"/>
      <c r="AI79" s="225"/>
      <c r="AJ79" s="225"/>
      <c r="AK79" s="225"/>
      <c r="AL79" s="231"/>
      <c r="AM79" s="231"/>
      <c r="AN79" s="231"/>
      <c r="AO79" s="231"/>
      <c r="AP79" s="231"/>
      <c r="AQ79" s="231"/>
      <c r="AR79" s="225"/>
      <c r="AS79" s="225"/>
      <c r="AT79" s="225"/>
      <c r="AU79" s="225"/>
      <c r="AV79" s="225"/>
      <c r="AW79" s="225"/>
      <c r="AX79" s="231"/>
      <c r="AY79" s="231"/>
      <c r="AZ79" s="231"/>
      <c r="BA79" s="231"/>
      <c r="BB79" s="231"/>
      <c r="BC79" s="231"/>
      <c r="BD79" s="225"/>
      <c r="BE79" s="225"/>
      <c r="BF79" s="225"/>
      <c r="BG79" s="225"/>
      <c r="BH79" s="225"/>
      <c r="BI79" s="225"/>
      <c r="BJ79" s="231"/>
      <c r="BK79" s="231"/>
      <c r="BL79" s="231"/>
      <c r="BM79" s="231"/>
      <c r="BN79" s="231"/>
      <c r="BO79" s="231"/>
      <c r="BP79" s="225"/>
      <c r="BQ79" s="225"/>
      <c r="BR79" s="225"/>
      <c r="BS79" s="225"/>
      <c r="BT79" s="225"/>
      <c r="BU79" s="225"/>
      <c r="BV79" s="231"/>
      <c r="BW79" s="231"/>
      <c r="BX79" s="231"/>
      <c r="BY79" s="231"/>
      <c r="BZ79" s="231"/>
      <c r="CA79" s="231"/>
      <c r="CB79" s="225"/>
      <c r="CC79" s="225"/>
      <c r="CD79" s="225"/>
      <c r="CE79" s="225"/>
      <c r="CH79" s="227"/>
      <c r="CI79" s="227"/>
      <c r="CJ79" s="227"/>
      <c r="CK79" s="227"/>
      <c r="CL79" s="227"/>
      <c r="CM79" s="227"/>
    </row>
    <row r="80" spans="1:91" x14ac:dyDescent="0.2">
      <c r="B80" s="225" t="s">
        <v>461</v>
      </c>
      <c r="H80" s="196">
        <f>+(H5)*H93+(H6)*H99</f>
        <v>671451.08318006061</v>
      </c>
      <c r="I80" s="196">
        <f>+(I5)*I93+(I6)*I99</f>
        <v>1646724.0602259352</v>
      </c>
      <c r="J80" s="196">
        <f>+(J5)*J78+(J6)*J77</f>
        <v>2949305.3786734929</v>
      </c>
      <c r="K80" s="196">
        <f>+(K5)*J78+(K6)*J77</f>
        <v>4348246.8919584639</v>
      </c>
      <c r="L80" s="196">
        <f>+(L5)*J78+(L6)*J77</f>
        <v>4959288.462071429</v>
      </c>
      <c r="M80" s="196">
        <f>+(M5)*J78+(M6)*J77</f>
        <v>3942955.2224594513</v>
      </c>
      <c r="N80" s="196">
        <f>+(N5)*J78+(N6)*J77</f>
        <v>3371732.4805090134</v>
      </c>
      <c r="O80" s="196">
        <f>+(O5)*J78+(O6)*J77</f>
        <v>1609895.1609287171</v>
      </c>
      <c r="P80" s="196">
        <f>+(P5)*J78+(P6)*J77</f>
        <v>860972.41088929749</v>
      </c>
      <c r="Q80" s="196">
        <f>+(Q5)*J78+(Q6)*J77</f>
        <v>570348.88984803238</v>
      </c>
      <c r="R80" s="196">
        <f>+(R5)*J78+(R6)*J77</f>
        <v>552166.06158208789</v>
      </c>
      <c r="S80" s="196">
        <f>+(S5)*J78+(S6)*J77</f>
        <v>556204.30390401126</v>
      </c>
      <c r="T80" s="196">
        <f>+(T5)*J78+(T6)*J77</f>
        <v>652900.26498445636</v>
      </c>
      <c r="U80" s="196">
        <f>+(U5)*J78+(U6)*J77</f>
        <v>1601670.4721915431</v>
      </c>
      <c r="V80" s="196">
        <f>+(V5)*V78+(V6)*V77</f>
        <v>2949600.992026554</v>
      </c>
      <c r="W80" s="196">
        <f>+(W5)*V78+(W6)*V77</f>
        <v>4348478.2427271158</v>
      </c>
      <c r="X80" s="196">
        <f>+(X5)*V78+(X6)*V77</f>
        <v>4959533.7339440724</v>
      </c>
      <c r="Y80" s="196">
        <f>+(Y5)*V78+(Y6)*V77</f>
        <v>3943809.7600471252</v>
      </c>
      <c r="Z80" s="196">
        <f>+(Z5)*V78+(Z6)*V77</f>
        <v>3371151.2939974624</v>
      </c>
      <c r="AA80" s="196">
        <f>+(AA5)*V78+(AA6)*V77</f>
        <v>1609764.551412541</v>
      </c>
      <c r="AB80" s="196">
        <f>+(AB5)*V78+(AB6)*V77</f>
        <v>860797.68364712864</v>
      </c>
      <c r="AC80" s="196">
        <f>+(AC5)*V78+(AC6)*V77</f>
        <v>570136.40579404903</v>
      </c>
      <c r="AD80" s="196">
        <f>+(AD5)*V78+(AD6)*V77</f>
        <v>551973.67369603727</v>
      </c>
      <c r="AE80" s="196">
        <f>+(AE5)*V78+(AE6)*V77</f>
        <v>556005.72550042439</v>
      </c>
      <c r="AF80" s="196">
        <f>+(AF5)*V78+(AF6)*V77</f>
        <v>652732.70034128497</v>
      </c>
      <c r="AG80" s="196">
        <f>+(AG5)*V78+(AG6)*V77</f>
        <v>1601701.2368662057</v>
      </c>
      <c r="AH80" s="196">
        <f>+(AH5)*AH78+(AH6)*AH77</f>
        <v>2949895.7237882642</v>
      </c>
      <c r="AI80" s="196">
        <f>+(AI5)*AH78+(AI6)*AH77</f>
        <v>4348708.9546261411</v>
      </c>
      <c r="AJ80" s="196">
        <f>+(AJ5)*AH78+(AJ6)*AH77</f>
        <v>4959778.3450404592</v>
      </c>
      <c r="AK80" s="196">
        <f>+(AK5)*AH78+(AK6)*AH77</f>
        <v>3944661.7409703941</v>
      </c>
      <c r="AL80" s="196">
        <f>+(AL5)*AH78+(AL6)*AH77</f>
        <v>3370571.9177949959</v>
      </c>
      <c r="AM80" s="196">
        <f>+(AM5)*AH78+(AM6)*AH77</f>
        <v>1609634.317900348</v>
      </c>
      <c r="AN80" s="196">
        <f>+(AN5)*AH78+(AN6)*AH77</f>
        <v>860623.44222888316</v>
      </c>
      <c r="AO80" s="196">
        <f>+(AO5)*AH78+(AO6)*AH77</f>
        <v>569924.5136065915</v>
      </c>
      <c r="AP80" s="196">
        <f>+(AP5)*AH78+(AP6)*AH77</f>
        <v>551781.81670095841</v>
      </c>
      <c r="AQ80" s="196">
        <f>+(AQ5)*AH78+(AQ6)*AH77</f>
        <v>555807.69787892199</v>
      </c>
      <c r="AR80" s="196">
        <f>+(AR5)*AH78+(AR6)*AH77</f>
        <v>652565.64832105883</v>
      </c>
      <c r="AS80" s="196">
        <f>+(AS5)*AH78+(AS6)*AH77</f>
        <v>1601731.881142983</v>
      </c>
      <c r="AT80" s="196">
        <f>+(AT5)*AT78+(AT6)*AT77</f>
        <v>2950189.5491705793</v>
      </c>
      <c r="AU80" s="196">
        <f>+(AU5)*AT78+(AU6)*AT77</f>
        <v>4348938.9503178</v>
      </c>
      <c r="AV80" s="196">
        <f>+(AV5)*AT78+(AV6)*AT77</f>
        <v>4960022.1956079984</v>
      </c>
      <c r="AW80" s="196">
        <f>+(AW5)*AT78+(AW6)*AT77</f>
        <v>3945511.1060602493</v>
      </c>
      <c r="AX80" s="196">
        <f>+(AX5)*AT78+(AX6)*AT77</f>
        <v>3369994.3190942737</v>
      </c>
      <c r="AY80" s="196">
        <f>+(AY5)*AT78+(AY6)*AT77</f>
        <v>1609504.4905084723</v>
      </c>
      <c r="AZ80" s="196">
        <f>+(AZ5)*AT78+(AZ6)*AT77</f>
        <v>860449.74459008547</v>
      </c>
      <c r="BA80" s="196">
        <f>+(BA5)*AT78+(BA6)*AT77</f>
        <v>569713.28226466873</v>
      </c>
      <c r="BB80" s="196">
        <f>+(BB5)*AT78+(BB6)*AT77</f>
        <v>551590.55893237772</v>
      </c>
      <c r="BC80" s="196">
        <f>+(BC5)*AT78+(BC6)*AT77</f>
        <v>555610.28852233512</v>
      </c>
      <c r="BD80" s="196">
        <f>+(BD5)*AT78+(BD6)*AT77</f>
        <v>652399.11296265654</v>
      </c>
      <c r="BE80" s="196">
        <f>+(BE5)*AT78+(BE6)*AT77</f>
        <v>1601762.4019684987</v>
      </c>
      <c r="BF80" s="196">
        <f>+(BF5)*BF78+(BF6)*BF77</f>
        <v>2950482.6224523443</v>
      </c>
      <c r="BG80" s="196">
        <f>+(BG5)*BF78+(BG6)*BF77</f>
        <v>4349168.450110076</v>
      </c>
      <c r="BH80" s="196">
        <f>+(BH5)*BF78+(BH6)*BF77</f>
        <v>4960265.5358314058</v>
      </c>
      <c r="BI80" s="196">
        <f>+(BI5)*BF78+(BI6)*BF77</f>
        <v>3946358.0655162488</v>
      </c>
      <c r="BJ80" s="196">
        <f>+(BJ5)*BF78+(BJ6)*BF77</f>
        <v>3369418.6650721123</v>
      </c>
      <c r="BK80" s="196">
        <f>+(BK5)*BF78+(BK6)*BF77</f>
        <v>1609375.1565920911</v>
      </c>
      <c r="BL80" s="196">
        <f>+(BL5)*BF78+(BL6)*BF77</f>
        <v>860276.64173803094</v>
      </c>
      <c r="BM80" s="196">
        <f>+(BM5)*BF78+(BM6)*BF77</f>
        <v>569502.74861631286</v>
      </c>
      <c r="BN80" s="196">
        <f>+(BN5)*BF78+(BN6)*BF77</f>
        <v>551399.93633099622</v>
      </c>
      <c r="BO80" s="196">
        <f>+(BO5)*BF78+(BO6)*BF77</f>
        <v>555413.53363384085</v>
      </c>
      <c r="BP80" s="196">
        <f>+(BP5)*BF78+(BP6)*BF77</f>
        <v>652232.79273942369</v>
      </c>
      <c r="BQ80" s="196">
        <f>+(BQ5)*BF78+(BQ6)*BF77</f>
        <v>1601791.8513671134</v>
      </c>
      <c r="BR80" s="196">
        <f>+(BR5)*BR78+(BR6)*BR77</f>
        <v>2951151.2336806958</v>
      </c>
      <c r="BS80" s="196">
        <f>+(BS5)*BR78+(BS6)*BR77</f>
        <v>4349952.0696186647</v>
      </c>
      <c r="BT80" s="196">
        <f>+(BT5)*BR78+(BT6)*BR77</f>
        <v>4961140.9135826267</v>
      </c>
      <c r="BU80" s="196">
        <f>+(BU5)*BR78+(BU6)*BR77</f>
        <v>3947705.995838447</v>
      </c>
      <c r="BV80" s="196">
        <f>+(BV5)*BR78+(BV6)*BR77</f>
        <v>3369274.6267137588</v>
      </c>
      <c r="BW80" s="196">
        <f>+(BW5)*BR78+(BW6)*BR77</f>
        <v>1609451.6104696221</v>
      </c>
      <c r="BX80" s="196">
        <f>+(BX5)*BR78+(BX6)*BR77</f>
        <v>860213.90044756222</v>
      </c>
      <c r="BY80" s="196">
        <f>+(BY5)*BR78+(BY6)*BR77</f>
        <v>569365.6076877903</v>
      </c>
      <c r="BZ80" s="196">
        <f>+(BZ5)*BR78+(BZ6)*BR77</f>
        <v>551280.34164306521</v>
      </c>
      <c r="CA80" s="196">
        <f>+(CA5)*BR78+(CA6)*BR77</f>
        <v>555288.34309236717</v>
      </c>
      <c r="CB80" s="196">
        <f>+(CB5)*BR78+(CB6)*BR77</f>
        <v>651317.45124709874</v>
      </c>
      <c r="CC80" s="196">
        <f>+(CC5)*BR78+(CC6)*BR77</f>
        <v>1599543.9059783004</v>
      </c>
      <c r="CD80" s="196">
        <f t="shared" ref="CD80" si="226">+(CD5)*CC78+(CD6)*CC77</f>
        <v>0</v>
      </c>
      <c r="CE80" s="45"/>
      <c r="CF80" s="34"/>
      <c r="CG80" s="34"/>
      <c r="CH80" s="34"/>
      <c r="CI80" s="34"/>
      <c r="CJ80" s="34"/>
      <c r="CK80" s="34">
        <f>+(CK5)*CJ78+(CK6)*CJ77</f>
        <v>0</v>
      </c>
      <c r="CL80" s="34">
        <f>+(CL5)*CJ78+(CL6)*CJ77</f>
        <v>0</v>
      </c>
      <c r="CM80" s="34">
        <f>+(CM5)*CJ78+(CM6)*CJ77</f>
        <v>0</v>
      </c>
    </row>
    <row r="81" spans="1:89" x14ac:dyDescent="0.2">
      <c r="H81" s="225"/>
      <c r="I81" s="225"/>
      <c r="J81" s="225"/>
      <c r="K81" s="225"/>
      <c r="L81" s="225"/>
      <c r="M81" s="225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5"/>
      <c r="BN81" s="225"/>
      <c r="BO81" s="225"/>
      <c r="BP81" s="225"/>
      <c r="BQ81" s="225"/>
      <c r="BR81" s="225"/>
      <c r="BS81" s="225"/>
      <c r="BT81" s="225"/>
      <c r="BU81" s="225"/>
      <c r="BV81" s="225"/>
      <c r="BW81" s="225"/>
      <c r="BX81" s="225"/>
      <c r="BY81" s="225"/>
      <c r="BZ81" s="225"/>
      <c r="CA81" s="225"/>
      <c r="CB81" s="225"/>
      <c r="CC81" s="225"/>
      <c r="CD81" s="225"/>
      <c r="CE81" s="225"/>
    </row>
    <row r="82" spans="1:89" x14ac:dyDescent="0.2">
      <c r="H82" s="225"/>
      <c r="I82" s="225"/>
      <c r="J82" s="225"/>
      <c r="K82" s="225"/>
      <c r="L82" s="225"/>
      <c r="M82" s="225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25"/>
      <c r="AA82" s="231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25"/>
      <c r="BU82" s="225"/>
      <c r="BV82" s="225"/>
      <c r="BW82" s="225"/>
      <c r="BX82" s="225"/>
      <c r="BY82" s="225"/>
      <c r="BZ82" s="225"/>
      <c r="CA82" s="225"/>
      <c r="CB82" s="225"/>
      <c r="CC82" s="225"/>
      <c r="CD82" s="225"/>
      <c r="CE82" s="225"/>
    </row>
    <row r="83" spans="1:89" x14ac:dyDescent="0.2">
      <c r="A83" s="225" t="s">
        <v>462</v>
      </c>
      <c r="H83" s="225"/>
      <c r="I83" s="225"/>
      <c r="J83" s="225"/>
      <c r="K83" s="225"/>
      <c r="L83" s="225"/>
      <c r="M83" s="225"/>
      <c r="N83" s="231"/>
      <c r="O83" s="225"/>
      <c r="P83" s="225"/>
      <c r="Q83" s="247"/>
      <c r="R83" s="247"/>
      <c r="S83" s="247"/>
      <c r="T83" s="247"/>
      <c r="U83" s="225"/>
      <c r="V83" s="225"/>
      <c r="W83" s="225"/>
      <c r="X83" s="225"/>
      <c r="Y83" s="231"/>
      <c r="Z83" s="231"/>
      <c r="AA83" s="231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5"/>
      <c r="BN83" s="225"/>
      <c r="BO83" s="225"/>
      <c r="BP83" s="225"/>
      <c r="BQ83" s="225"/>
      <c r="BR83" s="225"/>
      <c r="BS83" s="225"/>
      <c r="BT83" s="225"/>
      <c r="BU83" s="225"/>
      <c r="BV83" s="225"/>
      <c r="BW83" s="225"/>
      <c r="BX83" s="225"/>
      <c r="BY83" s="225"/>
      <c r="BZ83" s="225"/>
      <c r="CA83" s="225"/>
      <c r="CB83" s="225"/>
      <c r="CC83" s="225"/>
      <c r="CD83" s="225"/>
      <c r="CE83" s="608"/>
      <c r="CF83"/>
    </row>
    <row r="84" spans="1:89" x14ac:dyDescent="0.2">
      <c r="H84" s="225"/>
      <c r="I84" s="608"/>
      <c r="J84" s="608"/>
      <c r="K84" s="608"/>
      <c r="L84" s="608"/>
      <c r="M84" s="674">
        <f>+(M85*(M5+M6)+N85*(N5+N6)+O85*(O5+O6))/SUM(M5:O6)</f>
        <v>2.8248994456350438</v>
      </c>
      <c r="N84" s="231"/>
      <c r="O84" s="674"/>
      <c r="P84" s="674">
        <f>+(P85*(P5+P6)+Q85*(Q5+Q6)+R85*(R5+R6))/SUM(P5:R6)</f>
        <v>2.9089003422584669</v>
      </c>
      <c r="Q84" s="231"/>
      <c r="R84" s="674"/>
      <c r="S84" s="674">
        <f>+(S85*(S5+S6)+T85*(T5+T6)+U85*(U5+U6))/SUM(S5:U6)</f>
        <v>2.9413252789727031</v>
      </c>
      <c r="T84" s="231"/>
      <c r="U84" s="674"/>
      <c r="V84" s="674">
        <f>+(V85*(V5+V6)+W85*(W5+W6)+X85*(X5+X6))/SUM(V5:X6)</f>
        <v>2.8883002775329101</v>
      </c>
      <c r="W84" s="231"/>
      <c r="X84" s="674"/>
      <c r="Y84" s="674">
        <f>+(Y85*(Y5+Y6)+Z85*(Z5+Z6)+AA85*(AA5+AA6))/SUM(Y5:AA6)</f>
        <v>2.8924251296086045</v>
      </c>
      <c r="Z84" s="231"/>
      <c r="AA84" s="674"/>
      <c r="AB84" s="674">
        <f>+(AB85*(AB5+AB6)+AC85*(AC5+AC6)+AD85*(AD5+AD6))/SUM(AB5:AD6)</f>
        <v>3.1687109623702625</v>
      </c>
      <c r="AC84" s="231"/>
      <c r="AD84" s="674"/>
      <c r="AE84" s="674">
        <f>+(AE85*(AE5+AE6)+AF85*(AF5+AF6)+AG85*(AG5+AG6))/SUM(AE5:AG6)</f>
        <v>3.1867113548130601</v>
      </c>
      <c r="AF84" s="231"/>
      <c r="AG84" s="674"/>
      <c r="AH84" s="674">
        <f>+(AH85*(AH5+AH6)+AI85*(AI5+AI6)+AJ85*(AJ5+AJ6))/SUM(AH5:AJ6)</f>
        <v>3.0606897878446246</v>
      </c>
      <c r="AI84" s="231"/>
      <c r="AJ84" s="674"/>
      <c r="AK84" s="674">
        <f>+(AK85*(AK5+AK6)+AL85*(AL5+AL6)+AM85*(AM5+AM6))/SUM(AK5:AM6)</f>
        <v>3.0387216339805381</v>
      </c>
      <c r="AL84" s="231"/>
      <c r="AM84" s="674"/>
      <c r="AN84" s="674">
        <f>+(AN85*(AN5+AN6)+AO85*(AO5+AO6)+AP85*(AP5+AP6))/SUM(AN5:AP6)</f>
        <v>3.2556103245392696</v>
      </c>
      <c r="AO84" s="231"/>
      <c r="AP84" s="674"/>
      <c r="AQ84" s="674">
        <f>+(AQ85*(AQ5+AQ6)+AR85*(AR5+AR6)+AS85*(AS5+AS6))/SUM(AQ5:AS6)</f>
        <v>3.2592400083817203</v>
      </c>
      <c r="AR84" s="231"/>
      <c r="AS84" s="674"/>
      <c r="AT84" s="674">
        <f>+(AT85*(AT5+AT6)+AU85*(AU5+AU6)+AV85*(AV5+AV6))/SUM(AT5:AV6)</f>
        <v>3.1510953533811725</v>
      </c>
      <c r="AU84" s="231"/>
      <c r="AV84" s="674"/>
      <c r="AW84" s="674">
        <f>+(AW85*(AW5+AW6)+AX85*(AX5+AX6)+AY85*(AY5+AY6))/SUM(AW5:AY6)</f>
        <v>3.1346387588924349</v>
      </c>
      <c r="AX84" s="231"/>
      <c r="AY84" s="674"/>
      <c r="AZ84" s="674">
        <f>+(AZ85*(AZ5+AZ6)+BA85*(BA5+BA6)+BB85*(BB5+BB6))/SUM(AZ5:BB6)</f>
        <v>3.3463281559637159</v>
      </c>
      <c r="BA84" s="231"/>
      <c r="BB84" s="674"/>
      <c r="BC84" s="674">
        <f>+(BC85*(BC5+BC6)+BD85*(BD5+BD6)+BE85*(BE5+BE6))/SUM(BC5:BE6)</f>
        <v>3.3532829517264764</v>
      </c>
      <c r="BD84" s="231"/>
      <c r="BE84" s="674"/>
      <c r="BF84" s="674">
        <f>+(BF85*(BF5+BF6)+BG85*(BG5+BG6)+BH85*(BH5+BH6))/SUM(BF5:BH6)</f>
        <v>3.259371072837931</v>
      </c>
      <c r="BG84" s="231"/>
      <c r="BH84" s="674"/>
      <c r="BI84" s="674">
        <f>+(BI85*(BI5+BI6)+BJ85*(BJ5+BJ6)+BK85*(BK5+BK6))/SUM(BI5:BK6)</f>
        <v>3.2471962458381167</v>
      </c>
      <c r="BJ84" s="231"/>
      <c r="BK84" s="674"/>
      <c r="BL84" s="674">
        <f>+(BL85*(BL5+BL6)+BM85*(BM5+BM6)+BN85*(BN5+BN6))/SUM(BL5:BN6)</f>
        <v>3.4705688735418638</v>
      </c>
      <c r="BM84" s="231"/>
      <c r="BN84" s="674"/>
      <c r="BO84" s="674">
        <f>+(BO85*(BO5+BO6)+BP85*(BP5+BP6)+BQ85*(BQ5+BQ6))/SUM(BO5:BQ6)</f>
        <v>3.487003235806827</v>
      </c>
      <c r="BP84" s="231"/>
      <c r="BQ84" s="674"/>
      <c r="BR84" s="674">
        <f>+(BR85*(BR5+BR6)+BS85*(BS5+BS6)+BT85*(BT5+BT6))/SUM(BR5:BT6)</f>
        <v>3.3964417397512703</v>
      </c>
      <c r="BS84" s="231"/>
      <c r="BT84" s="674"/>
      <c r="BU84" s="674">
        <f>+(BU85*(BU5+BU6)+BV85*(BV5+BV6)+BW85*(BW5+BW6))/SUM(BU5:BW6)</f>
        <v>3.3856630273958581</v>
      </c>
      <c r="BV84" s="231"/>
      <c r="BW84" s="674"/>
      <c r="BX84" s="674">
        <f>+(BX85*(BX5+BX6)+BY85*(BY5+BY6)+BZ85*(BZ5+BZ6))/SUM(BX5:BZ6)</f>
        <v>3.6202350026335508</v>
      </c>
      <c r="BY84" s="231"/>
      <c r="BZ84" s="674"/>
      <c r="CA84" s="674">
        <f>+(CA85*(CA5+CA6)+CB85*(CB5+CB6)+CC85*(CC5+CC6))/SUM(CA5:CC6)</f>
        <v>3.6501965489023878</v>
      </c>
      <c r="CB84" s="231"/>
      <c r="CC84" s="674"/>
      <c r="CD84" s="674"/>
      <c r="CE84" s="608"/>
      <c r="CF84"/>
      <c r="CG84" s="223"/>
      <c r="CH84" s="227"/>
      <c r="CI84" s="241"/>
      <c r="CJ84" s="223"/>
      <c r="CK84" s="227"/>
    </row>
    <row r="85" spans="1:89" x14ac:dyDescent="0.2">
      <c r="B85" s="225" t="s">
        <v>463</v>
      </c>
      <c r="H85" s="225"/>
      <c r="I85" s="608"/>
      <c r="J85" s="608"/>
      <c r="K85" s="608"/>
      <c r="L85" s="608"/>
      <c r="M85" s="232">
        <f t="shared" ref="M85:N85" si="227">+(M72-M65)/(M5+M6)</f>
        <v>2.8565988449021829</v>
      </c>
      <c r="N85" s="232">
        <f t="shared" si="227"/>
        <v>2.8486196938412802</v>
      </c>
      <c r="O85" s="232">
        <f t="shared" ref="O85:Q85" si="228">+(O72-O65)/(O5+O6)</f>
        <v>2.6985535235968743</v>
      </c>
      <c r="P85" s="232">
        <f t="shared" si="228"/>
        <v>2.8115843361229409</v>
      </c>
      <c r="Q85" s="232">
        <f t="shared" si="228"/>
        <v>2.9484262566755239</v>
      </c>
      <c r="R85" s="232">
        <f t="shared" ref="R85:T85" si="229">+(R72-R65)/(R5+R6)</f>
        <v>3.0216225788946982</v>
      </c>
      <c r="S85" s="232">
        <f t="shared" si="229"/>
        <v>3.0350637600228341</v>
      </c>
      <c r="T85" s="232">
        <f t="shared" si="229"/>
        <v>3.0006798900080383</v>
      </c>
      <c r="U85" s="232">
        <f t="shared" ref="U85:W85" si="230">+(U72-U65)/(U5+U6)</f>
        <v>2.8839480077311106</v>
      </c>
      <c r="V85" s="232">
        <f t="shared" si="230"/>
        <v>2.8555073385437346</v>
      </c>
      <c r="W85" s="232">
        <f t="shared" si="230"/>
        <v>2.8890426456249108</v>
      </c>
      <c r="X85" s="232">
        <f t="shared" ref="X85:AI85" si="231">+(X72-X65)/(X5+X6)</f>
        <v>2.9070936769142981</v>
      </c>
      <c r="Y85" s="232">
        <f t="shared" si="231"/>
        <v>2.8626641626776079</v>
      </c>
      <c r="Z85" s="232">
        <f t="shared" si="231"/>
        <v>2.8761084868486209</v>
      </c>
      <c r="AA85" s="232">
        <f t="shared" si="231"/>
        <v>2.9985941343261513</v>
      </c>
      <c r="AB85" s="232">
        <f t="shared" si="231"/>
        <v>3.0770177572169497</v>
      </c>
      <c r="AC85" s="232">
        <f t="shared" si="231"/>
        <v>3.2064644881494568</v>
      </c>
      <c r="AD85" s="232">
        <f t="shared" si="231"/>
        <v>3.2743892424970173</v>
      </c>
      <c r="AE85" s="232">
        <f t="shared" si="231"/>
        <v>3.2867920761572074</v>
      </c>
      <c r="AF85" s="232">
        <f t="shared" si="231"/>
        <v>3.2451079510347425</v>
      </c>
      <c r="AG85" s="232">
        <f t="shared" si="231"/>
        <v>3.127498379480139</v>
      </c>
      <c r="AH85" s="232">
        <f t="shared" si="231"/>
        <v>3.0490715214409838</v>
      </c>
      <c r="AI85" s="232">
        <f t="shared" si="231"/>
        <v>3.0587289843649739</v>
      </c>
      <c r="AJ85" s="232">
        <f t="shared" ref="AJ85:CC85" si="232">+(AJ72-AJ65)/(AJ5+AJ6)</f>
        <v>3.0692969244666863</v>
      </c>
      <c r="AK85" s="232">
        <f t="shared" si="232"/>
        <v>3.0169245957919526</v>
      </c>
      <c r="AL85" s="232">
        <f t="shared" si="232"/>
        <v>3.0356893040733288</v>
      </c>
      <c r="AM85" s="232">
        <f t="shared" si="232"/>
        <v>3.097816619089659</v>
      </c>
      <c r="AN85" s="232">
        <f t="shared" si="232"/>
        <v>3.1730128951924437</v>
      </c>
      <c r="AO85" s="232">
        <f t="shared" si="232"/>
        <v>3.2919467149074451</v>
      </c>
      <c r="AP85" s="232">
        <f t="shared" si="232"/>
        <v>3.3483191445336105</v>
      </c>
      <c r="AQ85" s="232">
        <f t="shared" si="232"/>
        <v>3.3586377830156406</v>
      </c>
      <c r="AR85" s="232">
        <f t="shared" si="232"/>
        <v>3.316964413714365</v>
      </c>
      <c r="AS85" s="232">
        <f t="shared" si="232"/>
        <v>3.2005625730159353</v>
      </c>
      <c r="AT85" s="232">
        <f t="shared" si="232"/>
        <v>3.1302574950471245</v>
      </c>
      <c r="AU85" s="232">
        <f t="shared" si="232"/>
        <v>3.1487113815830745</v>
      </c>
      <c r="AV85" s="232">
        <f t="shared" si="232"/>
        <v>3.1655407890552785</v>
      </c>
      <c r="AW85" s="232">
        <f t="shared" si="232"/>
        <v>3.1139964844736436</v>
      </c>
      <c r="AX85" s="232">
        <f t="shared" si="232"/>
        <v>3.1321955197776274</v>
      </c>
      <c r="AY85" s="232">
        <f t="shared" si="232"/>
        <v>3.1897208152989438</v>
      </c>
      <c r="AZ85" s="232">
        <f t="shared" si="232"/>
        <v>3.2637839676896792</v>
      </c>
      <c r="BA85" s="232">
        <f t="shared" si="232"/>
        <v>3.3826516177871699</v>
      </c>
      <c r="BB85" s="232">
        <f t="shared" si="232"/>
        <v>3.4389831383233034</v>
      </c>
      <c r="BC85" s="232">
        <f t="shared" si="232"/>
        <v>3.4514008891192529</v>
      </c>
      <c r="BD85" s="232">
        <f t="shared" si="232"/>
        <v>3.4097456684992595</v>
      </c>
      <c r="BE85" s="232">
        <f t="shared" si="232"/>
        <v>3.2955917516061208</v>
      </c>
      <c r="BF85" s="232">
        <f t="shared" si="232"/>
        <v>3.2314980342055453</v>
      </c>
      <c r="BG85" s="232">
        <f t="shared" si="232"/>
        <v>3.2573256631092793</v>
      </c>
      <c r="BH85" s="232">
        <f t="shared" si="232"/>
        <v>3.2776925968302018</v>
      </c>
      <c r="BI85" s="232">
        <f t="shared" si="232"/>
        <v>3.223367182179981</v>
      </c>
      <c r="BJ85" s="232">
        <f t="shared" si="232"/>
        <v>3.2418261503577193</v>
      </c>
      <c r="BK85" s="232">
        <f t="shared" si="232"/>
        <v>3.3161384248399921</v>
      </c>
      <c r="BL85" s="232">
        <f t="shared" si="232"/>
        <v>3.3901158983242254</v>
      </c>
      <c r="BM85" s="232">
        <f t="shared" si="232"/>
        <v>3.506824131212781</v>
      </c>
      <c r="BN85" s="232">
        <f t="shared" si="232"/>
        <v>3.5599770636100234</v>
      </c>
      <c r="BO85" s="232">
        <f t="shared" si="232"/>
        <v>3.581814734676172</v>
      </c>
      <c r="BP85" s="232">
        <f t="shared" si="232"/>
        <v>3.5412174050888443</v>
      </c>
      <c r="BQ85" s="232">
        <f t="shared" si="232"/>
        <v>3.431415765371034</v>
      </c>
      <c r="BR85" s="232">
        <f t="shared" si="232"/>
        <v>3.3677314767374815</v>
      </c>
      <c r="BS85" s="232">
        <f t="shared" si="232"/>
        <v>3.3943882118736672</v>
      </c>
      <c r="BT85" s="232">
        <f t="shared" si="232"/>
        <v>3.4152678098078999</v>
      </c>
      <c r="BU85" s="232">
        <f t="shared" si="232"/>
        <v>3.3593951114361436</v>
      </c>
      <c r="BV85" s="232">
        <f t="shared" si="232"/>
        <v>3.3778868543775249</v>
      </c>
      <c r="BW85" s="232">
        <f t="shared" si="232"/>
        <v>3.4655670224369812</v>
      </c>
      <c r="BX85" s="232">
        <f t="shared" si="232"/>
        <v>3.5384122806754532</v>
      </c>
      <c r="BY85" s="232">
        <f t="shared" si="232"/>
        <v>3.6550517820850019</v>
      </c>
      <c r="BZ85" s="232">
        <f t="shared" si="232"/>
        <v>3.7133927434315646</v>
      </c>
      <c r="CA85" s="232">
        <f t="shared" si="232"/>
        <v>3.7415216914704339</v>
      </c>
      <c r="CB85" s="232">
        <f t="shared" si="232"/>
        <v>3.7022789088133639</v>
      </c>
      <c r="CC85" s="232">
        <f t="shared" si="232"/>
        <v>3.596672848485746</v>
      </c>
      <c r="CD85" s="232"/>
      <c r="CE85" s="608"/>
      <c r="CF85"/>
      <c r="CG85" s="223"/>
      <c r="CH85" s="223"/>
      <c r="CI85" s="223"/>
      <c r="CJ85" s="223"/>
      <c r="CK85" s="223"/>
    </row>
    <row r="86" spans="1:89" x14ac:dyDescent="0.2">
      <c r="B86" s="225" t="s">
        <v>464</v>
      </c>
      <c r="H86" s="225"/>
      <c r="I86" s="608"/>
      <c r="J86" s="608"/>
      <c r="K86" s="608"/>
      <c r="L86" s="608"/>
      <c r="M86" s="672">
        <f>J78</f>
        <v>1.5148790075269765</v>
      </c>
      <c r="N86" s="672">
        <f t="shared" ref="N86:O86" si="233">M86</f>
        <v>1.5148790075269765</v>
      </c>
      <c r="O86" s="672">
        <f t="shared" si="233"/>
        <v>1.5148790075269765</v>
      </c>
      <c r="P86" s="672">
        <f>O86</f>
        <v>1.5148790075269765</v>
      </c>
      <c r="Q86" s="672">
        <f t="shared" ref="Q86" si="234">P86</f>
        <v>1.5148790075269765</v>
      </c>
      <c r="R86" s="672">
        <f t="shared" ref="R86" si="235">Q86</f>
        <v>1.5148790075269765</v>
      </c>
      <c r="S86" s="672">
        <f>R86</f>
        <v>1.5148790075269765</v>
      </c>
      <c r="T86" s="672">
        <f t="shared" ref="T86" si="236">S86</f>
        <v>1.5148790075269765</v>
      </c>
      <c r="U86" s="672">
        <f t="shared" ref="U86" si="237">T86</f>
        <v>1.5148790075269765</v>
      </c>
      <c r="V86" s="672">
        <f>V78</f>
        <v>1.5125442599364243</v>
      </c>
      <c r="W86" s="672">
        <f t="shared" ref="W86" si="238">V86</f>
        <v>1.5125442599364243</v>
      </c>
      <c r="X86" s="672">
        <f t="shared" ref="X86" si="239">W86</f>
        <v>1.5125442599364243</v>
      </c>
      <c r="Y86" s="672">
        <f>V78</f>
        <v>1.5125442599364243</v>
      </c>
      <c r="Z86" s="672">
        <f t="shared" ref="Z86" si="240">Y86</f>
        <v>1.5125442599364243</v>
      </c>
      <c r="AA86" s="672">
        <f t="shared" ref="AA86" si="241">Z86</f>
        <v>1.5125442599364243</v>
      </c>
      <c r="AB86" s="672">
        <f>AA86</f>
        <v>1.5125442599364243</v>
      </c>
      <c r="AC86" s="672">
        <f t="shared" ref="AC86" si="242">AB86</f>
        <v>1.5125442599364243</v>
      </c>
      <c r="AD86" s="672">
        <f t="shared" ref="AD86" si="243">AC86</f>
        <v>1.5125442599364243</v>
      </c>
      <c r="AE86" s="672">
        <f>AD86</f>
        <v>1.5125442599364243</v>
      </c>
      <c r="AF86" s="672">
        <f t="shared" ref="AF86" si="244">AE86</f>
        <v>1.5125442599364243</v>
      </c>
      <c r="AG86" s="672">
        <f t="shared" ref="AG86" si="245">AF86</f>
        <v>1.5125442599364243</v>
      </c>
      <c r="AH86" s="672">
        <f>AH78</f>
        <v>1.5102167148255385</v>
      </c>
      <c r="AI86" s="672">
        <f t="shared" ref="AI86" si="246">AH86</f>
        <v>1.5102167148255385</v>
      </c>
      <c r="AJ86" s="672">
        <f t="shared" ref="AJ86" si="247">AI86</f>
        <v>1.5102167148255385</v>
      </c>
      <c r="AK86" s="672">
        <f>AH78</f>
        <v>1.5102167148255385</v>
      </c>
      <c r="AL86" s="672">
        <f t="shared" ref="AL86" si="248">AK86</f>
        <v>1.5102167148255385</v>
      </c>
      <c r="AM86" s="672">
        <f t="shared" ref="AM86" si="249">AL86</f>
        <v>1.5102167148255385</v>
      </c>
      <c r="AN86" s="672">
        <f>AM86</f>
        <v>1.5102167148255385</v>
      </c>
      <c r="AO86" s="672">
        <f t="shared" ref="AO86" si="250">AN86</f>
        <v>1.5102167148255385</v>
      </c>
      <c r="AP86" s="672">
        <f t="shared" ref="AP86" si="251">AO86</f>
        <v>1.5102167148255385</v>
      </c>
      <c r="AQ86" s="672">
        <f>AP86</f>
        <v>1.5102167148255385</v>
      </c>
      <c r="AR86" s="672">
        <f t="shared" ref="AR86" si="252">AQ86</f>
        <v>1.5102167148255385</v>
      </c>
      <c r="AS86" s="672">
        <f t="shared" ref="AS86" si="253">AR86</f>
        <v>1.5102167148255385</v>
      </c>
      <c r="AT86" s="672">
        <f>AT78</f>
        <v>1.5078963674795705</v>
      </c>
      <c r="AU86" s="672">
        <f t="shared" ref="AU86" si="254">AT86</f>
        <v>1.5078963674795705</v>
      </c>
      <c r="AV86" s="672">
        <f t="shared" ref="AV86" si="255">AU86</f>
        <v>1.5078963674795705</v>
      </c>
      <c r="AW86" s="672">
        <f>AT78</f>
        <v>1.5078963674795705</v>
      </c>
      <c r="AX86" s="672">
        <f t="shared" ref="AX86" si="256">AW86</f>
        <v>1.5078963674795705</v>
      </c>
      <c r="AY86" s="672">
        <f t="shared" ref="AY86" si="257">AX86</f>
        <v>1.5078963674795705</v>
      </c>
      <c r="AZ86" s="672">
        <f>AY86</f>
        <v>1.5078963674795705</v>
      </c>
      <c r="BA86" s="672">
        <f t="shared" ref="BA86" si="258">AZ86</f>
        <v>1.5078963674795705</v>
      </c>
      <c r="BB86" s="672">
        <f t="shared" ref="BB86" si="259">BA86</f>
        <v>1.5078963674795705</v>
      </c>
      <c r="BC86" s="672">
        <f>BB86</f>
        <v>1.5078963674795705</v>
      </c>
      <c r="BD86" s="672">
        <f t="shared" ref="BD86" si="260">BC86</f>
        <v>1.5078963674795705</v>
      </c>
      <c r="BE86" s="672">
        <f t="shared" ref="BE86" si="261">BD86</f>
        <v>1.5078963674795705</v>
      </c>
      <c r="BF86" s="672">
        <f>BF78</f>
        <v>1.5055832984947171</v>
      </c>
      <c r="BG86" s="672">
        <f t="shared" ref="BG86" si="262">BF86</f>
        <v>1.5055832984947171</v>
      </c>
      <c r="BH86" s="672">
        <f t="shared" ref="BH86" si="263">BG86</f>
        <v>1.5055832984947171</v>
      </c>
      <c r="BI86" s="672">
        <f>BF78</f>
        <v>1.5055832984947171</v>
      </c>
      <c r="BJ86" s="672">
        <f t="shared" ref="BJ86" si="264">BI86</f>
        <v>1.5055832984947171</v>
      </c>
      <c r="BK86" s="672">
        <f t="shared" ref="BK86" si="265">BJ86</f>
        <v>1.5055832984947171</v>
      </c>
      <c r="BL86" s="672">
        <f>BK86</f>
        <v>1.5055832984947171</v>
      </c>
      <c r="BM86" s="672">
        <f t="shared" ref="BM86" si="266">BL86</f>
        <v>1.5055832984947171</v>
      </c>
      <c r="BN86" s="672">
        <f t="shared" ref="BN86" si="267">BM86</f>
        <v>1.5055832984947171</v>
      </c>
      <c r="BO86" s="672">
        <f>BN86</f>
        <v>1.5055832984947171</v>
      </c>
      <c r="BP86" s="672">
        <f t="shared" ref="BP86" si="268">BO86</f>
        <v>1.5055832984947171</v>
      </c>
      <c r="BQ86" s="672">
        <f t="shared" ref="BQ86" si="269">BP86</f>
        <v>1.5055832984947171</v>
      </c>
      <c r="BR86" s="672">
        <f>BR78</f>
        <v>1.5034702351078555</v>
      </c>
      <c r="BS86" s="672">
        <f t="shared" ref="BS86" si="270">BR86</f>
        <v>1.5034702351078555</v>
      </c>
      <c r="BT86" s="672">
        <f t="shared" ref="BT86" si="271">BS86</f>
        <v>1.5034702351078555</v>
      </c>
      <c r="BU86" s="672">
        <f>BR78</f>
        <v>1.5034702351078555</v>
      </c>
      <c r="BV86" s="672">
        <f t="shared" ref="BV86" si="272">BU86</f>
        <v>1.5034702351078555</v>
      </c>
      <c r="BW86" s="672">
        <f t="shared" ref="BW86" si="273">BV86</f>
        <v>1.5034702351078555</v>
      </c>
      <c r="BX86" s="672">
        <f>BW86</f>
        <v>1.5034702351078555</v>
      </c>
      <c r="BY86" s="672">
        <f t="shared" ref="BY86" si="274">BX86</f>
        <v>1.5034702351078555</v>
      </c>
      <c r="BZ86" s="672">
        <f t="shared" ref="BZ86" si="275">BY86</f>
        <v>1.5034702351078555</v>
      </c>
      <c r="CA86" s="672">
        <f>BZ86</f>
        <v>1.5034702351078555</v>
      </c>
      <c r="CB86" s="672">
        <f t="shared" ref="CB86" si="276">CA86</f>
        <v>1.5034702351078555</v>
      </c>
      <c r="CC86" s="672">
        <f t="shared" ref="CC86" si="277">CB86</f>
        <v>1.5034702351078555</v>
      </c>
      <c r="CD86" s="672"/>
      <c r="CE86" s="608"/>
      <c r="CF86"/>
      <c r="CG86" s="238"/>
      <c r="CH86" s="238"/>
      <c r="CI86" s="238"/>
      <c r="CJ86" s="238"/>
      <c r="CK86" s="238"/>
    </row>
    <row r="87" spans="1:89" x14ac:dyDescent="0.2">
      <c r="B87" s="225" t="s">
        <v>465</v>
      </c>
      <c r="H87" s="225"/>
      <c r="I87" s="608"/>
      <c r="J87" s="608"/>
      <c r="K87" s="608"/>
      <c r="L87" s="608"/>
      <c r="M87" s="232">
        <f t="shared" ref="M87:N87" si="278">+M85+M86</f>
        <v>4.3714778524291589</v>
      </c>
      <c r="N87" s="232">
        <f t="shared" si="278"/>
        <v>4.3634987013682567</v>
      </c>
      <c r="O87" s="232">
        <f t="shared" ref="O87:Q87" si="279">+O85+O86</f>
        <v>4.2134325311238507</v>
      </c>
      <c r="P87" s="232">
        <f t="shared" si="279"/>
        <v>4.3264633436499178</v>
      </c>
      <c r="Q87" s="232">
        <f t="shared" si="279"/>
        <v>4.4633052642025</v>
      </c>
      <c r="R87" s="232">
        <f t="shared" ref="R87:T87" si="280">+R85+R86</f>
        <v>4.5365015864216751</v>
      </c>
      <c r="S87" s="232">
        <f t="shared" si="280"/>
        <v>4.5499427675498101</v>
      </c>
      <c r="T87" s="232">
        <f t="shared" si="280"/>
        <v>4.5155588975350147</v>
      </c>
      <c r="U87" s="232">
        <f t="shared" ref="U87:W87" si="281">+U85+U86</f>
        <v>4.3988270152580871</v>
      </c>
      <c r="V87" s="232">
        <f t="shared" si="281"/>
        <v>4.3680515984801591</v>
      </c>
      <c r="W87" s="232">
        <f t="shared" si="281"/>
        <v>4.4015869055613353</v>
      </c>
      <c r="X87" s="232">
        <f t="shared" ref="X87:AI87" si="282">+X85+X86</f>
        <v>4.4196379368507221</v>
      </c>
      <c r="Y87" s="232">
        <f t="shared" si="282"/>
        <v>4.3752084226140324</v>
      </c>
      <c r="Z87" s="232">
        <f t="shared" si="282"/>
        <v>4.3886527467850449</v>
      </c>
      <c r="AA87" s="232">
        <f t="shared" si="282"/>
        <v>4.5111383942625753</v>
      </c>
      <c r="AB87" s="232">
        <f t="shared" si="282"/>
        <v>4.5895620171533738</v>
      </c>
      <c r="AC87" s="232">
        <f t="shared" si="282"/>
        <v>4.7190087480858809</v>
      </c>
      <c r="AD87" s="232">
        <f t="shared" si="282"/>
        <v>4.7869335024334418</v>
      </c>
      <c r="AE87" s="232">
        <f t="shared" si="282"/>
        <v>4.7993363360936314</v>
      </c>
      <c r="AF87" s="232">
        <f t="shared" si="282"/>
        <v>4.757652210971167</v>
      </c>
      <c r="AG87" s="232">
        <f t="shared" si="282"/>
        <v>4.6400426394165635</v>
      </c>
      <c r="AH87" s="232">
        <f t="shared" si="282"/>
        <v>4.5592882362665224</v>
      </c>
      <c r="AI87" s="232">
        <f t="shared" si="282"/>
        <v>4.5689456991905129</v>
      </c>
      <c r="AJ87" s="232">
        <f t="shared" ref="AJ87:CC87" si="283">+AJ85+AJ86</f>
        <v>4.5795136392922249</v>
      </c>
      <c r="AK87" s="232">
        <f t="shared" si="283"/>
        <v>4.5271413106174911</v>
      </c>
      <c r="AL87" s="232">
        <f t="shared" si="283"/>
        <v>4.5459060188988669</v>
      </c>
      <c r="AM87" s="232">
        <f t="shared" si="283"/>
        <v>4.6080333339151975</v>
      </c>
      <c r="AN87" s="232">
        <f t="shared" si="283"/>
        <v>4.6832296100179818</v>
      </c>
      <c r="AO87" s="232">
        <f t="shared" si="283"/>
        <v>4.8021634297329836</v>
      </c>
      <c r="AP87" s="232">
        <f t="shared" si="283"/>
        <v>4.858535859359149</v>
      </c>
      <c r="AQ87" s="232">
        <f t="shared" si="283"/>
        <v>4.8688544978411787</v>
      </c>
      <c r="AR87" s="232">
        <f t="shared" si="283"/>
        <v>4.8271811285399036</v>
      </c>
      <c r="AS87" s="232">
        <f t="shared" si="283"/>
        <v>4.7107792878414738</v>
      </c>
      <c r="AT87" s="232">
        <f t="shared" si="283"/>
        <v>4.6381538625266945</v>
      </c>
      <c r="AU87" s="232">
        <f t="shared" si="283"/>
        <v>4.656607749062645</v>
      </c>
      <c r="AV87" s="232">
        <f t="shared" si="283"/>
        <v>4.6734371565348489</v>
      </c>
      <c r="AW87" s="232">
        <f t="shared" si="283"/>
        <v>4.6218928519532145</v>
      </c>
      <c r="AX87" s="232">
        <f t="shared" si="283"/>
        <v>4.6400918872571975</v>
      </c>
      <c r="AY87" s="232">
        <f t="shared" si="283"/>
        <v>4.6976171827785143</v>
      </c>
      <c r="AZ87" s="232">
        <f t="shared" si="283"/>
        <v>4.7716803351692496</v>
      </c>
      <c r="BA87" s="232">
        <f t="shared" si="283"/>
        <v>4.8905479852667408</v>
      </c>
      <c r="BB87" s="232">
        <f t="shared" si="283"/>
        <v>4.9468795058028743</v>
      </c>
      <c r="BC87" s="232">
        <f t="shared" si="283"/>
        <v>4.9592972565988234</v>
      </c>
      <c r="BD87" s="232">
        <f t="shared" si="283"/>
        <v>4.9176420359788295</v>
      </c>
      <c r="BE87" s="232">
        <f t="shared" si="283"/>
        <v>4.8034881190856913</v>
      </c>
      <c r="BF87" s="232">
        <f t="shared" si="283"/>
        <v>4.7370813327002619</v>
      </c>
      <c r="BG87" s="232">
        <f t="shared" si="283"/>
        <v>4.7629089616039959</v>
      </c>
      <c r="BH87" s="232">
        <f t="shared" si="283"/>
        <v>4.7832758953249188</v>
      </c>
      <c r="BI87" s="232">
        <f t="shared" si="283"/>
        <v>4.7289504806746976</v>
      </c>
      <c r="BJ87" s="232">
        <f t="shared" si="283"/>
        <v>4.7474094488524363</v>
      </c>
      <c r="BK87" s="232">
        <f t="shared" si="283"/>
        <v>4.8217217233347096</v>
      </c>
      <c r="BL87" s="232">
        <f t="shared" si="283"/>
        <v>4.8956991968189421</v>
      </c>
      <c r="BM87" s="232">
        <f t="shared" si="283"/>
        <v>5.0124074297074976</v>
      </c>
      <c r="BN87" s="232">
        <f t="shared" si="283"/>
        <v>5.0655603621047405</v>
      </c>
      <c r="BO87" s="232">
        <f t="shared" si="283"/>
        <v>5.0873980331708886</v>
      </c>
      <c r="BP87" s="232">
        <f t="shared" si="283"/>
        <v>5.0468007035835614</v>
      </c>
      <c r="BQ87" s="232">
        <f t="shared" si="283"/>
        <v>4.936999063865751</v>
      </c>
      <c r="BR87" s="232">
        <f t="shared" si="283"/>
        <v>4.8712017118453375</v>
      </c>
      <c r="BS87" s="232">
        <f t="shared" si="283"/>
        <v>4.8978584469815232</v>
      </c>
      <c r="BT87" s="232">
        <f t="shared" si="283"/>
        <v>4.9187380449157558</v>
      </c>
      <c r="BU87" s="232">
        <f t="shared" si="283"/>
        <v>4.862865346543999</v>
      </c>
      <c r="BV87" s="232">
        <f t="shared" si="283"/>
        <v>4.8813570894853804</v>
      </c>
      <c r="BW87" s="232">
        <f t="shared" si="283"/>
        <v>4.9690372575448372</v>
      </c>
      <c r="BX87" s="232">
        <f t="shared" si="283"/>
        <v>5.0418825157833087</v>
      </c>
      <c r="BY87" s="232">
        <f t="shared" si="283"/>
        <v>5.1585220171928574</v>
      </c>
      <c r="BZ87" s="232">
        <f t="shared" si="283"/>
        <v>5.21686297853942</v>
      </c>
      <c r="CA87" s="232">
        <f t="shared" si="283"/>
        <v>5.2449919265782894</v>
      </c>
      <c r="CB87" s="232">
        <f t="shared" si="283"/>
        <v>5.2057491439212189</v>
      </c>
      <c r="CC87" s="232">
        <f t="shared" si="283"/>
        <v>5.1001430835936015</v>
      </c>
      <c r="CD87" s="232"/>
      <c r="CE87" s="608"/>
      <c r="CF87"/>
      <c r="CG87" s="223"/>
      <c r="CH87" s="223"/>
      <c r="CI87" s="223"/>
      <c r="CJ87" s="223"/>
      <c r="CK87" s="223"/>
    </row>
    <row r="88" spans="1:89" x14ac:dyDescent="0.2">
      <c r="B88" s="225" t="s">
        <v>466</v>
      </c>
      <c r="H88" s="225"/>
      <c r="I88" s="608"/>
      <c r="J88" s="608"/>
      <c r="K88" s="608"/>
      <c r="L88" s="608"/>
      <c r="M88" s="225">
        <f t="shared" ref="M88:AR88" si="284">+L88</f>
        <v>0</v>
      </c>
      <c r="N88" s="225">
        <f t="shared" si="284"/>
        <v>0</v>
      </c>
      <c r="O88" s="225">
        <f t="shared" si="284"/>
        <v>0</v>
      </c>
      <c r="P88" s="225">
        <f t="shared" si="284"/>
        <v>0</v>
      </c>
      <c r="Q88" s="225">
        <f t="shared" si="284"/>
        <v>0</v>
      </c>
      <c r="R88" s="225">
        <f t="shared" si="284"/>
        <v>0</v>
      </c>
      <c r="S88" s="225">
        <f t="shared" si="284"/>
        <v>0</v>
      </c>
      <c r="T88" s="225">
        <f t="shared" si="284"/>
        <v>0</v>
      </c>
      <c r="U88" s="225">
        <f t="shared" si="284"/>
        <v>0</v>
      </c>
      <c r="V88" s="225">
        <f t="shared" si="284"/>
        <v>0</v>
      </c>
      <c r="W88" s="225">
        <f t="shared" si="284"/>
        <v>0</v>
      </c>
      <c r="X88" s="225">
        <f t="shared" si="284"/>
        <v>0</v>
      </c>
      <c r="Y88" s="225">
        <f t="shared" si="284"/>
        <v>0</v>
      </c>
      <c r="Z88" s="225">
        <f t="shared" si="284"/>
        <v>0</v>
      </c>
      <c r="AA88" s="225">
        <f t="shared" si="284"/>
        <v>0</v>
      </c>
      <c r="AB88" s="225">
        <f t="shared" si="284"/>
        <v>0</v>
      </c>
      <c r="AC88" s="225">
        <f t="shared" si="284"/>
        <v>0</v>
      </c>
      <c r="AD88" s="225">
        <f t="shared" si="284"/>
        <v>0</v>
      </c>
      <c r="AE88" s="225">
        <f t="shared" si="284"/>
        <v>0</v>
      </c>
      <c r="AF88" s="225">
        <f t="shared" si="284"/>
        <v>0</v>
      </c>
      <c r="AG88" s="225">
        <f t="shared" si="284"/>
        <v>0</v>
      </c>
      <c r="AH88" s="225">
        <f t="shared" si="284"/>
        <v>0</v>
      </c>
      <c r="AI88" s="225">
        <f t="shared" si="284"/>
        <v>0</v>
      </c>
      <c r="AJ88" s="225">
        <f t="shared" si="284"/>
        <v>0</v>
      </c>
      <c r="AK88" s="225">
        <f t="shared" si="284"/>
        <v>0</v>
      </c>
      <c r="AL88" s="225">
        <f t="shared" si="284"/>
        <v>0</v>
      </c>
      <c r="AM88" s="225">
        <f t="shared" si="284"/>
        <v>0</v>
      </c>
      <c r="AN88" s="225">
        <f t="shared" si="284"/>
        <v>0</v>
      </c>
      <c r="AO88" s="225">
        <f t="shared" si="284"/>
        <v>0</v>
      </c>
      <c r="AP88" s="225">
        <f t="shared" si="284"/>
        <v>0</v>
      </c>
      <c r="AQ88" s="225">
        <f t="shared" si="284"/>
        <v>0</v>
      </c>
      <c r="AR88" s="225">
        <f t="shared" si="284"/>
        <v>0</v>
      </c>
      <c r="AS88" s="225">
        <f t="shared" ref="AS88:CC88" si="285">+AR88</f>
        <v>0</v>
      </c>
      <c r="AT88" s="225">
        <f t="shared" si="285"/>
        <v>0</v>
      </c>
      <c r="AU88" s="225">
        <f t="shared" si="285"/>
        <v>0</v>
      </c>
      <c r="AV88" s="225">
        <f t="shared" si="285"/>
        <v>0</v>
      </c>
      <c r="AW88" s="225">
        <f t="shared" si="285"/>
        <v>0</v>
      </c>
      <c r="AX88" s="225">
        <f t="shared" si="285"/>
        <v>0</v>
      </c>
      <c r="AY88" s="225">
        <f t="shared" si="285"/>
        <v>0</v>
      </c>
      <c r="AZ88" s="225">
        <f t="shared" si="285"/>
        <v>0</v>
      </c>
      <c r="BA88" s="225">
        <f t="shared" si="285"/>
        <v>0</v>
      </c>
      <c r="BB88" s="225">
        <f t="shared" si="285"/>
        <v>0</v>
      </c>
      <c r="BC88" s="225">
        <f t="shared" si="285"/>
        <v>0</v>
      </c>
      <c r="BD88" s="225">
        <f t="shared" si="285"/>
        <v>0</v>
      </c>
      <c r="BE88" s="225">
        <f t="shared" si="285"/>
        <v>0</v>
      </c>
      <c r="BF88" s="225">
        <f t="shared" si="285"/>
        <v>0</v>
      </c>
      <c r="BG88" s="225">
        <f t="shared" si="285"/>
        <v>0</v>
      </c>
      <c r="BH88" s="225">
        <f t="shared" si="285"/>
        <v>0</v>
      </c>
      <c r="BI88" s="225">
        <f t="shared" si="285"/>
        <v>0</v>
      </c>
      <c r="BJ88" s="225">
        <f t="shared" si="285"/>
        <v>0</v>
      </c>
      <c r="BK88" s="225">
        <f t="shared" si="285"/>
        <v>0</v>
      </c>
      <c r="BL88" s="225">
        <f t="shared" si="285"/>
        <v>0</v>
      </c>
      <c r="BM88" s="225">
        <f t="shared" si="285"/>
        <v>0</v>
      </c>
      <c r="BN88" s="225">
        <f t="shared" si="285"/>
        <v>0</v>
      </c>
      <c r="BO88" s="225">
        <f t="shared" si="285"/>
        <v>0</v>
      </c>
      <c r="BP88" s="225">
        <f t="shared" si="285"/>
        <v>0</v>
      </c>
      <c r="BQ88" s="225">
        <f t="shared" si="285"/>
        <v>0</v>
      </c>
      <c r="BR88" s="225">
        <f t="shared" si="285"/>
        <v>0</v>
      </c>
      <c r="BS88" s="225">
        <f t="shared" si="285"/>
        <v>0</v>
      </c>
      <c r="BT88" s="225">
        <f t="shared" si="285"/>
        <v>0</v>
      </c>
      <c r="BU88" s="225">
        <f t="shared" si="285"/>
        <v>0</v>
      </c>
      <c r="BV88" s="225">
        <f t="shared" si="285"/>
        <v>0</v>
      </c>
      <c r="BW88" s="225">
        <f t="shared" si="285"/>
        <v>0</v>
      </c>
      <c r="BX88" s="225">
        <f t="shared" si="285"/>
        <v>0</v>
      </c>
      <c r="BY88" s="225">
        <f t="shared" si="285"/>
        <v>0</v>
      </c>
      <c r="BZ88" s="225">
        <f t="shared" si="285"/>
        <v>0</v>
      </c>
      <c r="CA88" s="225">
        <f t="shared" si="285"/>
        <v>0</v>
      </c>
      <c r="CB88" s="225">
        <f t="shared" si="285"/>
        <v>0</v>
      </c>
      <c r="CC88" s="225">
        <f t="shared" si="285"/>
        <v>0</v>
      </c>
      <c r="CD88" s="225"/>
      <c r="CE88" s="608"/>
      <c r="CF88"/>
    </row>
    <row r="89" spans="1:89" x14ac:dyDescent="0.2">
      <c r="B89" s="225" t="s">
        <v>467</v>
      </c>
      <c r="H89" s="225"/>
      <c r="I89" s="608"/>
      <c r="J89" s="608"/>
      <c r="K89" s="608"/>
      <c r="L89" s="608"/>
      <c r="M89" s="232">
        <f t="shared" ref="M89:N89" si="286">+M87+M88</f>
        <v>4.3714778524291589</v>
      </c>
      <c r="N89" s="232">
        <f t="shared" si="286"/>
        <v>4.3634987013682567</v>
      </c>
      <c r="O89" s="232">
        <f t="shared" ref="O89:Q89" si="287">+O87+O88</f>
        <v>4.2134325311238507</v>
      </c>
      <c r="P89" s="232">
        <f t="shared" si="287"/>
        <v>4.3264633436499178</v>
      </c>
      <c r="Q89" s="232">
        <f t="shared" si="287"/>
        <v>4.4633052642025</v>
      </c>
      <c r="R89" s="232">
        <f t="shared" ref="R89:T89" si="288">+R87+R88</f>
        <v>4.5365015864216751</v>
      </c>
      <c r="S89" s="232">
        <f t="shared" si="288"/>
        <v>4.5499427675498101</v>
      </c>
      <c r="T89" s="232">
        <f t="shared" si="288"/>
        <v>4.5155588975350147</v>
      </c>
      <c r="U89" s="232">
        <f t="shared" ref="U89:W89" si="289">+U87+U88</f>
        <v>4.3988270152580871</v>
      </c>
      <c r="V89" s="232">
        <f t="shared" si="289"/>
        <v>4.3680515984801591</v>
      </c>
      <c r="W89" s="232">
        <f t="shared" si="289"/>
        <v>4.4015869055613353</v>
      </c>
      <c r="X89" s="232">
        <f t="shared" ref="X89:AI89" si="290">+X87+X88</f>
        <v>4.4196379368507221</v>
      </c>
      <c r="Y89" s="232">
        <f t="shared" si="290"/>
        <v>4.3752084226140324</v>
      </c>
      <c r="Z89" s="232">
        <f t="shared" si="290"/>
        <v>4.3886527467850449</v>
      </c>
      <c r="AA89" s="232">
        <f t="shared" si="290"/>
        <v>4.5111383942625753</v>
      </c>
      <c r="AB89" s="232">
        <f t="shared" si="290"/>
        <v>4.5895620171533738</v>
      </c>
      <c r="AC89" s="232">
        <f t="shared" si="290"/>
        <v>4.7190087480858809</v>
      </c>
      <c r="AD89" s="232">
        <f t="shared" si="290"/>
        <v>4.7869335024334418</v>
      </c>
      <c r="AE89" s="232">
        <f t="shared" si="290"/>
        <v>4.7993363360936314</v>
      </c>
      <c r="AF89" s="232">
        <f t="shared" si="290"/>
        <v>4.757652210971167</v>
      </c>
      <c r="AG89" s="232">
        <f t="shared" si="290"/>
        <v>4.6400426394165635</v>
      </c>
      <c r="AH89" s="232">
        <f t="shared" si="290"/>
        <v>4.5592882362665224</v>
      </c>
      <c r="AI89" s="232">
        <f t="shared" si="290"/>
        <v>4.5689456991905129</v>
      </c>
      <c r="AJ89" s="232">
        <f t="shared" ref="AJ89:CC89" si="291">+AJ87+AJ88</f>
        <v>4.5795136392922249</v>
      </c>
      <c r="AK89" s="232">
        <f t="shared" si="291"/>
        <v>4.5271413106174911</v>
      </c>
      <c r="AL89" s="232">
        <f t="shared" si="291"/>
        <v>4.5459060188988669</v>
      </c>
      <c r="AM89" s="232">
        <f t="shared" si="291"/>
        <v>4.6080333339151975</v>
      </c>
      <c r="AN89" s="232">
        <f t="shared" si="291"/>
        <v>4.6832296100179818</v>
      </c>
      <c r="AO89" s="232">
        <f t="shared" si="291"/>
        <v>4.8021634297329836</v>
      </c>
      <c r="AP89" s="232">
        <f t="shared" si="291"/>
        <v>4.858535859359149</v>
      </c>
      <c r="AQ89" s="232">
        <f t="shared" si="291"/>
        <v>4.8688544978411787</v>
      </c>
      <c r="AR89" s="232">
        <f t="shared" si="291"/>
        <v>4.8271811285399036</v>
      </c>
      <c r="AS89" s="232">
        <f t="shared" si="291"/>
        <v>4.7107792878414738</v>
      </c>
      <c r="AT89" s="232">
        <f t="shared" si="291"/>
        <v>4.6381538625266945</v>
      </c>
      <c r="AU89" s="232">
        <f t="shared" si="291"/>
        <v>4.656607749062645</v>
      </c>
      <c r="AV89" s="232">
        <f t="shared" si="291"/>
        <v>4.6734371565348489</v>
      </c>
      <c r="AW89" s="232">
        <f t="shared" si="291"/>
        <v>4.6218928519532145</v>
      </c>
      <c r="AX89" s="232">
        <f t="shared" si="291"/>
        <v>4.6400918872571975</v>
      </c>
      <c r="AY89" s="232">
        <f t="shared" si="291"/>
        <v>4.6976171827785143</v>
      </c>
      <c r="AZ89" s="232">
        <f t="shared" si="291"/>
        <v>4.7716803351692496</v>
      </c>
      <c r="BA89" s="232">
        <f t="shared" si="291"/>
        <v>4.8905479852667408</v>
      </c>
      <c r="BB89" s="232">
        <f t="shared" si="291"/>
        <v>4.9468795058028743</v>
      </c>
      <c r="BC89" s="232">
        <f t="shared" si="291"/>
        <v>4.9592972565988234</v>
      </c>
      <c r="BD89" s="232">
        <f t="shared" si="291"/>
        <v>4.9176420359788295</v>
      </c>
      <c r="BE89" s="232">
        <f t="shared" si="291"/>
        <v>4.8034881190856913</v>
      </c>
      <c r="BF89" s="232">
        <f t="shared" si="291"/>
        <v>4.7370813327002619</v>
      </c>
      <c r="BG89" s="232">
        <f t="shared" si="291"/>
        <v>4.7629089616039959</v>
      </c>
      <c r="BH89" s="232">
        <f t="shared" si="291"/>
        <v>4.7832758953249188</v>
      </c>
      <c r="BI89" s="232">
        <f t="shared" si="291"/>
        <v>4.7289504806746976</v>
      </c>
      <c r="BJ89" s="232">
        <f t="shared" si="291"/>
        <v>4.7474094488524363</v>
      </c>
      <c r="BK89" s="232">
        <f t="shared" si="291"/>
        <v>4.8217217233347096</v>
      </c>
      <c r="BL89" s="232">
        <f t="shared" si="291"/>
        <v>4.8956991968189421</v>
      </c>
      <c r="BM89" s="232">
        <f t="shared" si="291"/>
        <v>5.0124074297074976</v>
      </c>
      <c r="BN89" s="232">
        <f t="shared" si="291"/>
        <v>5.0655603621047405</v>
      </c>
      <c r="BO89" s="232">
        <f t="shared" si="291"/>
        <v>5.0873980331708886</v>
      </c>
      <c r="BP89" s="232">
        <f t="shared" si="291"/>
        <v>5.0468007035835614</v>
      </c>
      <c r="BQ89" s="232">
        <f t="shared" si="291"/>
        <v>4.936999063865751</v>
      </c>
      <c r="BR89" s="232">
        <f t="shared" si="291"/>
        <v>4.8712017118453375</v>
      </c>
      <c r="BS89" s="232">
        <f t="shared" si="291"/>
        <v>4.8978584469815232</v>
      </c>
      <c r="BT89" s="232">
        <f t="shared" si="291"/>
        <v>4.9187380449157558</v>
      </c>
      <c r="BU89" s="232">
        <f t="shared" si="291"/>
        <v>4.862865346543999</v>
      </c>
      <c r="BV89" s="232">
        <f t="shared" si="291"/>
        <v>4.8813570894853804</v>
      </c>
      <c r="BW89" s="232">
        <f t="shared" si="291"/>
        <v>4.9690372575448372</v>
      </c>
      <c r="BX89" s="232">
        <f t="shared" si="291"/>
        <v>5.0418825157833087</v>
      </c>
      <c r="BY89" s="232">
        <f t="shared" si="291"/>
        <v>5.1585220171928574</v>
      </c>
      <c r="BZ89" s="232">
        <f t="shared" si="291"/>
        <v>5.21686297853942</v>
      </c>
      <c r="CA89" s="232">
        <f t="shared" si="291"/>
        <v>5.2449919265782894</v>
      </c>
      <c r="CB89" s="232">
        <f t="shared" si="291"/>
        <v>5.2057491439212189</v>
      </c>
      <c r="CC89" s="232">
        <f t="shared" si="291"/>
        <v>5.1001430835936015</v>
      </c>
      <c r="CD89" s="232"/>
      <c r="CE89" s="608"/>
      <c r="CF89"/>
      <c r="CG89" s="223"/>
      <c r="CH89" s="223"/>
      <c r="CI89" s="223"/>
      <c r="CJ89" s="223"/>
      <c r="CK89" s="223"/>
    </row>
    <row r="90" spans="1:89" x14ac:dyDescent="0.2">
      <c r="F90" s="608"/>
      <c r="H90" s="225"/>
      <c r="I90" s="225"/>
      <c r="J90" s="225"/>
      <c r="K90" s="675"/>
      <c r="L90" s="225"/>
      <c r="M90" s="225"/>
      <c r="N90" s="675"/>
      <c r="O90" s="225"/>
      <c r="P90" s="225"/>
      <c r="Q90" s="675"/>
      <c r="R90" s="675"/>
      <c r="S90" s="676"/>
      <c r="T90" s="675"/>
      <c r="U90" s="225"/>
      <c r="V90" s="225"/>
      <c r="W90" s="225"/>
      <c r="X90" s="225"/>
      <c r="Y90" s="225"/>
      <c r="Z90" s="225"/>
      <c r="AA90" s="225"/>
      <c r="AB90" s="225"/>
      <c r="AC90" s="675"/>
      <c r="AD90" s="675"/>
      <c r="AE90" s="676"/>
      <c r="AF90" s="675"/>
      <c r="AG90" s="225"/>
      <c r="AH90" s="225"/>
      <c r="AI90" s="225"/>
      <c r="AJ90" s="225"/>
      <c r="AK90" s="225"/>
      <c r="AL90" s="225"/>
      <c r="AM90" s="225"/>
      <c r="AN90" s="225"/>
      <c r="AO90" s="675"/>
      <c r="AP90" s="675"/>
      <c r="AQ90" s="676"/>
      <c r="AR90" s="675"/>
      <c r="AS90" s="225"/>
      <c r="AT90" s="225"/>
      <c r="AU90" s="225"/>
      <c r="AV90" s="225"/>
      <c r="AW90" s="225"/>
      <c r="AX90" s="225"/>
      <c r="AY90" s="225"/>
      <c r="AZ90" s="225"/>
      <c r="BA90" s="675"/>
      <c r="BB90" s="675"/>
      <c r="BC90" s="676"/>
      <c r="BD90" s="675"/>
      <c r="BE90" s="225"/>
      <c r="BF90" s="225"/>
      <c r="BG90" s="225"/>
      <c r="BH90" s="225"/>
      <c r="BI90" s="225"/>
      <c r="BJ90" s="225"/>
      <c r="BK90" s="225"/>
      <c r="BL90" s="225"/>
      <c r="BM90" s="675"/>
      <c r="BN90" s="675"/>
      <c r="BO90" s="676"/>
      <c r="BP90" s="675"/>
      <c r="BQ90" s="225"/>
      <c r="BR90" s="225"/>
      <c r="BS90" s="225"/>
      <c r="BT90" s="225"/>
      <c r="BU90" s="225"/>
      <c r="BV90" s="225"/>
      <c r="BW90" s="225"/>
      <c r="BX90" s="225"/>
      <c r="BY90" s="675"/>
      <c r="BZ90" s="675"/>
      <c r="CA90" s="676"/>
      <c r="CB90" s="675"/>
      <c r="CC90" s="225"/>
      <c r="CD90" s="225"/>
      <c r="CE90" s="608"/>
      <c r="CF90"/>
    </row>
    <row r="91" spans="1:89" ht="13.5" thickBot="1" x14ac:dyDescent="0.25">
      <c r="A91" s="225" t="s">
        <v>545</v>
      </c>
      <c r="F91" s="608"/>
      <c r="H91" s="225"/>
      <c r="I91" s="676"/>
      <c r="J91" s="676"/>
      <c r="K91" s="676"/>
      <c r="L91" s="676"/>
      <c r="M91" s="676"/>
      <c r="N91" s="676"/>
      <c r="O91" s="676"/>
      <c r="P91" s="676"/>
      <c r="Q91" s="676"/>
      <c r="R91" s="676"/>
      <c r="S91" s="676"/>
      <c r="T91" s="676"/>
      <c r="U91" s="676"/>
      <c r="V91" s="676"/>
      <c r="W91" s="676"/>
      <c r="X91" s="676"/>
      <c r="Y91" s="676"/>
      <c r="Z91" s="676"/>
      <c r="AA91" s="676"/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V91" s="676"/>
      <c r="AW91" s="676"/>
      <c r="AX91" s="676"/>
      <c r="AY91" s="676"/>
      <c r="AZ91" s="676"/>
      <c r="BA91" s="676"/>
      <c r="BB91" s="676"/>
      <c r="BC91" s="676"/>
      <c r="BD91" s="676"/>
      <c r="BE91" s="676"/>
      <c r="BF91" s="676"/>
      <c r="BG91" s="676"/>
      <c r="BH91" s="676"/>
      <c r="BI91" s="676"/>
      <c r="BJ91" s="676"/>
      <c r="BK91" s="676"/>
      <c r="BL91" s="676"/>
      <c r="BM91" s="676"/>
      <c r="BN91" s="676"/>
      <c r="BO91" s="676"/>
      <c r="BP91" s="676"/>
      <c r="BQ91" s="676"/>
      <c r="BR91" s="676"/>
      <c r="BS91" s="676"/>
      <c r="BT91" s="676"/>
      <c r="BU91" s="676"/>
      <c r="BV91" s="676"/>
      <c r="BW91" s="676"/>
      <c r="BX91" s="676"/>
      <c r="BY91" s="676"/>
      <c r="BZ91" s="676"/>
      <c r="CA91" s="676"/>
      <c r="CB91" s="676"/>
      <c r="CC91" s="676"/>
      <c r="CD91" s="676"/>
      <c r="CE91" s="676"/>
      <c r="CF91" s="242"/>
      <c r="CG91" s="242"/>
      <c r="CH91" s="242"/>
      <c r="CI91" s="242"/>
      <c r="CJ91" s="242"/>
      <c r="CK91" s="242"/>
    </row>
    <row r="92" spans="1:89" x14ac:dyDescent="0.2">
      <c r="B92" s="225" t="s">
        <v>468</v>
      </c>
      <c r="F92" s="608"/>
      <c r="G92" s="518">
        <f>[7]A.1!$G$18</f>
        <v>3.2381000000000002</v>
      </c>
      <c r="H92" s="677">
        <f>G92</f>
        <v>3.2381000000000002</v>
      </c>
      <c r="I92" s="677">
        <f>H92</f>
        <v>3.2381000000000002</v>
      </c>
      <c r="J92" s="518">
        <f>[7]A.1!$I$18</f>
        <v>3.2747999999999999</v>
      </c>
      <c r="K92" s="677">
        <f>J92</f>
        <v>3.2747999999999999</v>
      </c>
      <c r="L92" s="677">
        <f>K92</f>
        <v>3.2747999999999999</v>
      </c>
      <c r="M92" s="518">
        <f>+M84</f>
        <v>2.8248994456350438</v>
      </c>
      <c r="N92" s="677">
        <f>M92</f>
        <v>2.8248994456350438</v>
      </c>
      <c r="O92" s="677">
        <f>N92</f>
        <v>2.8248994456350438</v>
      </c>
      <c r="P92" s="518">
        <f t="shared" ref="P92" si="292">+P84</f>
        <v>2.9089003422584669</v>
      </c>
      <c r="Q92" s="677">
        <f t="shared" ref="Q92:R103" si="293">P92</f>
        <v>2.9089003422584669</v>
      </c>
      <c r="R92" s="677">
        <f t="shared" si="293"/>
        <v>2.9089003422584669</v>
      </c>
      <c r="S92" s="518">
        <f t="shared" ref="S92" si="294">+S84</f>
        <v>2.9413252789727031</v>
      </c>
      <c r="T92" s="677">
        <f t="shared" ref="T92:U103" si="295">S92</f>
        <v>2.9413252789727031</v>
      </c>
      <c r="U92" s="677">
        <f t="shared" si="295"/>
        <v>2.9413252789727031</v>
      </c>
      <c r="V92" s="518">
        <f t="shared" ref="V92" si="296">+V84</f>
        <v>2.8883002775329101</v>
      </c>
      <c r="W92" s="677">
        <f t="shared" ref="W92:X103" si="297">V92</f>
        <v>2.8883002775329101</v>
      </c>
      <c r="X92" s="677">
        <f t="shared" si="297"/>
        <v>2.8883002775329101</v>
      </c>
      <c r="Y92" s="518">
        <f t="shared" ref="Y92" si="298">+Y84</f>
        <v>2.8924251296086045</v>
      </c>
      <c r="Z92" s="677">
        <f t="shared" ref="Z92:AA103" si="299">Y92</f>
        <v>2.8924251296086045</v>
      </c>
      <c r="AA92" s="677">
        <f t="shared" si="299"/>
        <v>2.8924251296086045</v>
      </c>
      <c r="AB92" s="518">
        <f t="shared" ref="AB92" si="300">+AB84</f>
        <v>3.1687109623702625</v>
      </c>
      <c r="AC92" s="677">
        <f t="shared" ref="AC92:AD103" si="301">AB92</f>
        <v>3.1687109623702625</v>
      </c>
      <c r="AD92" s="677">
        <f t="shared" si="301"/>
        <v>3.1687109623702625</v>
      </c>
      <c r="AE92" s="518">
        <f t="shared" ref="AE92" si="302">+AE84</f>
        <v>3.1867113548130601</v>
      </c>
      <c r="AF92" s="677">
        <f t="shared" ref="AF92:AG103" si="303">AE92</f>
        <v>3.1867113548130601</v>
      </c>
      <c r="AG92" s="677">
        <f t="shared" si="303"/>
        <v>3.1867113548130601</v>
      </c>
      <c r="AH92" s="518">
        <f t="shared" ref="AH92" si="304">+AH84</f>
        <v>3.0606897878446246</v>
      </c>
      <c r="AI92" s="677">
        <f t="shared" ref="AI92:AJ103" si="305">AH92</f>
        <v>3.0606897878446246</v>
      </c>
      <c r="AJ92" s="677">
        <f t="shared" si="305"/>
        <v>3.0606897878446246</v>
      </c>
      <c r="AK92" s="518">
        <f t="shared" ref="AK92" si="306">+AK84</f>
        <v>3.0387216339805381</v>
      </c>
      <c r="AL92" s="677">
        <f t="shared" ref="AL92:AM103" si="307">AK92</f>
        <v>3.0387216339805381</v>
      </c>
      <c r="AM92" s="677">
        <f t="shared" si="307"/>
        <v>3.0387216339805381</v>
      </c>
      <c r="AN92" s="518">
        <f t="shared" ref="AN92" si="308">+AN84</f>
        <v>3.2556103245392696</v>
      </c>
      <c r="AO92" s="677">
        <f t="shared" ref="AO92:AP103" si="309">AN92</f>
        <v>3.2556103245392696</v>
      </c>
      <c r="AP92" s="677">
        <f t="shared" si="309"/>
        <v>3.2556103245392696</v>
      </c>
      <c r="AQ92" s="518">
        <f t="shared" ref="AQ92" si="310">+AQ84</f>
        <v>3.2592400083817203</v>
      </c>
      <c r="AR92" s="677">
        <f t="shared" ref="AR92:AS103" si="311">AQ92</f>
        <v>3.2592400083817203</v>
      </c>
      <c r="AS92" s="677">
        <f t="shared" si="311"/>
        <v>3.2592400083817203</v>
      </c>
      <c r="AT92" s="518">
        <f t="shared" ref="AT92" si="312">+AT84</f>
        <v>3.1510953533811725</v>
      </c>
      <c r="AU92" s="677">
        <f t="shared" ref="AU92:AV103" si="313">AT92</f>
        <v>3.1510953533811725</v>
      </c>
      <c r="AV92" s="677">
        <f t="shared" si="313"/>
        <v>3.1510953533811725</v>
      </c>
      <c r="AW92" s="518">
        <f t="shared" ref="AW92" si="314">+AW84</f>
        <v>3.1346387588924349</v>
      </c>
      <c r="AX92" s="677">
        <f t="shared" ref="AX92:AY103" si="315">AW92</f>
        <v>3.1346387588924349</v>
      </c>
      <c r="AY92" s="677">
        <f t="shared" si="315"/>
        <v>3.1346387588924349</v>
      </c>
      <c r="AZ92" s="518">
        <f t="shared" ref="AZ92" si="316">+AZ84</f>
        <v>3.3463281559637159</v>
      </c>
      <c r="BA92" s="677">
        <f t="shared" ref="BA92:BB103" si="317">AZ92</f>
        <v>3.3463281559637159</v>
      </c>
      <c r="BB92" s="677">
        <f t="shared" si="317"/>
        <v>3.3463281559637159</v>
      </c>
      <c r="BC92" s="518">
        <f t="shared" ref="BC92" si="318">+BC84</f>
        <v>3.3532829517264764</v>
      </c>
      <c r="BD92" s="677">
        <f t="shared" ref="BD92:BE103" si="319">BC92</f>
        <v>3.3532829517264764</v>
      </c>
      <c r="BE92" s="677">
        <f t="shared" si="319"/>
        <v>3.3532829517264764</v>
      </c>
      <c r="BF92" s="518">
        <f t="shared" ref="BF92" si="320">+BF84</f>
        <v>3.259371072837931</v>
      </c>
      <c r="BG92" s="677">
        <f t="shared" ref="BG92:BH103" si="321">BF92</f>
        <v>3.259371072837931</v>
      </c>
      <c r="BH92" s="677">
        <f t="shared" si="321"/>
        <v>3.259371072837931</v>
      </c>
      <c r="BI92" s="518">
        <f t="shared" ref="BI92" si="322">+BI84</f>
        <v>3.2471962458381167</v>
      </c>
      <c r="BJ92" s="677">
        <f t="shared" ref="BJ92:BK103" si="323">BI92</f>
        <v>3.2471962458381167</v>
      </c>
      <c r="BK92" s="677">
        <f t="shared" si="323"/>
        <v>3.2471962458381167</v>
      </c>
      <c r="BL92" s="518">
        <f t="shared" ref="BL92" si="324">+BL84</f>
        <v>3.4705688735418638</v>
      </c>
      <c r="BM92" s="677">
        <f t="shared" ref="BM92:BN103" si="325">BL92</f>
        <v>3.4705688735418638</v>
      </c>
      <c r="BN92" s="677">
        <f t="shared" si="325"/>
        <v>3.4705688735418638</v>
      </c>
      <c r="BO92" s="518">
        <f t="shared" ref="BO92" si="326">+BO84</f>
        <v>3.487003235806827</v>
      </c>
      <c r="BP92" s="677">
        <f t="shared" ref="BP92:BQ103" si="327">BO92</f>
        <v>3.487003235806827</v>
      </c>
      <c r="BQ92" s="677">
        <f t="shared" si="327"/>
        <v>3.487003235806827</v>
      </c>
      <c r="BR92" s="518">
        <f t="shared" ref="BR92" si="328">+BR84</f>
        <v>3.3964417397512703</v>
      </c>
      <c r="BS92" s="677">
        <f t="shared" ref="BS92:BT103" si="329">BR92</f>
        <v>3.3964417397512703</v>
      </c>
      <c r="BT92" s="677">
        <f t="shared" si="329"/>
        <v>3.3964417397512703</v>
      </c>
      <c r="BU92" s="518">
        <f t="shared" ref="BU92" si="330">+BU84</f>
        <v>3.3856630273958581</v>
      </c>
      <c r="BV92" s="677">
        <f t="shared" ref="BV92:BW103" si="331">BU92</f>
        <v>3.3856630273958581</v>
      </c>
      <c r="BW92" s="677">
        <f t="shared" si="331"/>
        <v>3.3856630273958581</v>
      </c>
      <c r="BX92" s="518">
        <f t="shared" ref="BX92" si="332">+BX84</f>
        <v>3.6202350026335508</v>
      </c>
      <c r="BY92" s="677">
        <f t="shared" ref="BY92:BZ103" si="333">BX92</f>
        <v>3.6202350026335508</v>
      </c>
      <c r="BZ92" s="677">
        <f t="shared" si="333"/>
        <v>3.6202350026335508</v>
      </c>
      <c r="CA92" s="518">
        <f t="shared" ref="CA92" si="334">+CA84</f>
        <v>3.6501965489023878</v>
      </c>
      <c r="CB92" s="677">
        <f t="shared" ref="CB92:CC103" si="335">CA92</f>
        <v>3.6501965489023878</v>
      </c>
      <c r="CC92" s="677">
        <f t="shared" si="335"/>
        <v>3.6501965489023878</v>
      </c>
      <c r="CD92" s="608"/>
      <c r="CE92" s="676"/>
      <c r="CF92" s="242"/>
      <c r="CG92" s="242"/>
      <c r="CH92" s="242"/>
      <c r="CI92" s="242"/>
      <c r="CJ92" s="242"/>
      <c r="CK92" s="242"/>
    </row>
    <row r="93" spans="1:89" x14ac:dyDescent="0.2">
      <c r="B93" s="225" t="s">
        <v>469</v>
      </c>
      <c r="F93" s="608"/>
      <c r="G93" s="519">
        <f>[7]A.1!$G$19</f>
        <v>1.5599000000000001</v>
      </c>
      <c r="H93" s="677">
        <f t="shared" ref="H93:I93" si="336">G93</f>
        <v>1.5599000000000001</v>
      </c>
      <c r="I93" s="677">
        <f t="shared" si="336"/>
        <v>1.5599000000000001</v>
      </c>
      <c r="J93" s="519">
        <f>[7]A.1!$I$19</f>
        <v>1.5599000000000001</v>
      </c>
      <c r="K93" s="677">
        <f t="shared" ref="K93:K103" si="337">J93</f>
        <v>1.5599000000000001</v>
      </c>
      <c r="L93" s="677">
        <f t="shared" ref="L93:L103" si="338">K93</f>
        <v>1.5599000000000001</v>
      </c>
      <c r="M93" s="519">
        <f t="shared" ref="M93" si="339">M86</f>
        <v>1.5148790075269765</v>
      </c>
      <c r="N93" s="677">
        <f t="shared" ref="N93:N103" si="340">M93</f>
        <v>1.5148790075269765</v>
      </c>
      <c r="O93" s="677">
        <f t="shared" ref="O93:O103" si="341">N93</f>
        <v>1.5148790075269765</v>
      </c>
      <c r="P93" s="519">
        <f t="shared" ref="P93:CA93" si="342">P86</f>
        <v>1.5148790075269765</v>
      </c>
      <c r="Q93" s="677">
        <f t="shared" si="293"/>
        <v>1.5148790075269765</v>
      </c>
      <c r="R93" s="677">
        <f t="shared" si="293"/>
        <v>1.5148790075269765</v>
      </c>
      <c r="S93" s="519">
        <f t="shared" si="342"/>
        <v>1.5148790075269765</v>
      </c>
      <c r="T93" s="677">
        <f t="shared" si="295"/>
        <v>1.5148790075269765</v>
      </c>
      <c r="U93" s="677">
        <f t="shared" si="295"/>
        <v>1.5148790075269765</v>
      </c>
      <c r="V93" s="519">
        <f t="shared" si="342"/>
        <v>1.5125442599364243</v>
      </c>
      <c r="W93" s="677">
        <f t="shared" si="297"/>
        <v>1.5125442599364243</v>
      </c>
      <c r="X93" s="677">
        <f t="shared" si="297"/>
        <v>1.5125442599364243</v>
      </c>
      <c r="Y93" s="519">
        <f t="shared" si="342"/>
        <v>1.5125442599364243</v>
      </c>
      <c r="Z93" s="677">
        <f t="shared" si="299"/>
        <v>1.5125442599364243</v>
      </c>
      <c r="AA93" s="677">
        <f t="shared" si="299"/>
        <v>1.5125442599364243</v>
      </c>
      <c r="AB93" s="519">
        <f t="shared" si="342"/>
        <v>1.5125442599364243</v>
      </c>
      <c r="AC93" s="677">
        <f t="shared" si="301"/>
        <v>1.5125442599364243</v>
      </c>
      <c r="AD93" s="677">
        <f t="shared" si="301"/>
        <v>1.5125442599364243</v>
      </c>
      <c r="AE93" s="519">
        <f t="shared" si="342"/>
        <v>1.5125442599364243</v>
      </c>
      <c r="AF93" s="677">
        <f t="shared" si="303"/>
        <v>1.5125442599364243</v>
      </c>
      <c r="AG93" s="677">
        <f t="shared" si="303"/>
        <v>1.5125442599364243</v>
      </c>
      <c r="AH93" s="519">
        <f t="shared" si="342"/>
        <v>1.5102167148255385</v>
      </c>
      <c r="AI93" s="677">
        <f t="shared" si="305"/>
        <v>1.5102167148255385</v>
      </c>
      <c r="AJ93" s="677">
        <f t="shared" si="305"/>
        <v>1.5102167148255385</v>
      </c>
      <c r="AK93" s="519">
        <f t="shared" si="342"/>
        <v>1.5102167148255385</v>
      </c>
      <c r="AL93" s="677">
        <f t="shared" si="307"/>
        <v>1.5102167148255385</v>
      </c>
      <c r="AM93" s="677">
        <f t="shared" si="307"/>
        <v>1.5102167148255385</v>
      </c>
      <c r="AN93" s="519">
        <f t="shared" si="342"/>
        <v>1.5102167148255385</v>
      </c>
      <c r="AO93" s="677">
        <f t="shared" si="309"/>
        <v>1.5102167148255385</v>
      </c>
      <c r="AP93" s="677">
        <f t="shared" si="309"/>
        <v>1.5102167148255385</v>
      </c>
      <c r="AQ93" s="519">
        <f t="shared" si="342"/>
        <v>1.5102167148255385</v>
      </c>
      <c r="AR93" s="677">
        <f t="shared" si="311"/>
        <v>1.5102167148255385</v>
      </c>
      <c r="AS93" s="677">
        <f t="shared" si="311"/>
        <v>1.5102167148255385</v>
      </c>
      <c r="AT93" s="519">
        <f t="shared" si="342"/>
        <v>1.5078963674795705</v>
      </c>
      <c r="AU93" s="677">
        <f t="shared" si="313"/>
        <v>1.5078963674795705</v>
      </c>
      <c r="AV93" s="677">
        <f t="shared" si="313"/>
        <v>1.5078963674795705</v>
      </c>
      <c r="AW93" s="519">
        <f t="shared" si="342"/>
        <v>1.5078963674795705</v>
      </c>
      <c r="AX93" s="677">
        <f t="shared" si="315"/>
        <v>1.5078963674795705</v>
      </c>
      <c r="AY93" s="677">
        <f t="shared" si="315"/>
        <v>1.5078963674795705</v>
      </c>
      <c r="AZ93" s="519">
        <f t="shared" si="342"/>
        <v>1.5078963674795705</v>
      </c>
      <c r="BA93" s="677">
        <f t="shared" si="317"/>
        <v>1.5078963674795705</v>
      </c>
      <c r="BB93" s="677">
        <f t="shared" si="317"/>
        <v>1.5078963674795705</v>
      </c>
      <c r="BC93" s="519">
        <f t="shared" si="342"/>
        <v>1.5078963674795705</v>
      </c>
      <c r="BD93" s="677">
        <f t="shared" si="319"/>
        <v>1.5078963674795705</v>
      </c>
      <c r="BE93" s="677">
        <f t="shared" si="319"/>
        <v>1.5078963674795705</v>
      </c>
      <c r="BF93" s="519">
        <f t="shared" si="342"/>
        <v>1.5055832984947171</v>
      </c>
      <c r="BG93" s="677">
        <f t="shared" si="321"/>
        <v>1.5055832984947171</v>
      </c>
      <c r="BH93" s="677">
        <f t="shared" si="321"/>
        <v>1.5055832984947171</v>
      </c>
      <c r="BI93" s="519">
        <f t="shared" si="342"/>
        <v>1.5055832984947171</v>
      </c>
      <c r="BJ93" s="677">
        <f t="shared" si="323"/>
        <v>1.5055832984947171</v>
      </c>
      <c r="BK93" s="677">
        <f t="shared" si="323"/>
        <v>1.5055832984947171</v>
      </c>
      <c r="BL93" s="519">
        <f t="shared" si="342"/>
        <v>1.5055832984947171</v>
      </c>
      <c r="BM93" s="677">
        <f t="shared" si="325"/>
        <v>1.5055832984947171</v>
      </c>
      <c r="BN93" s="677">
        <f t="shared" si="325"/>
        <v>1.5055832984947171</v>
      </c>
      <c r="BO93" s="519">
        <f t="shared" si="342"/>
        <v>1.5055832984947171</v>
      </c>
      <c r="BP93" s="677">
        <f t="shared" si="327"/>
        <v>1.5055832984947171</v>
      </c>
      <c r="BQ93" s="677">
        <f t="shared" si="327"/>
        <v>1.5055832984947171</v>
      </c>
      <c r="BR93" s="519">
        <f t="shared" si="342"/>
        <v>1.5034702351078555</v>
      </c>
      <c r="BS93" s="677">
        <f t="shared" si="329"/>
        <v>1.5034702351078555</v>
      </c>
      <c r="BT93" s="677">
        <f t="shared" si="329"/>
        <v>1.5034702351078555</v>
      </c>
      <c r="BU93" s="519">
        <f t="shared" si="342"/>
        <v>1.5034702351078555</v>
      </c>
      <c r="BV93" s="677">
        <f t="shared" si="331"/>
        <v>1.5034702351078555</v>
      </c>
      <c r="BW93" s="677">
        <f t="shared" si="331"/>
        <v>1.5034702351078555</v>
      </c>
      <c r="BX93" s="519">
        <f t="shared" si="342"/>
        <v>1.5034702351078555</v>
      </c>
      <c r="BY93" s="677">
        <f t="shared" si="333"/>
        <v>1.5034702351078555</v>
      </c>
      <c r="BZ93" s="677">
        <f t="shared" si="333"/>
        <v>1.5034702351078555</v>
      </c>
      <c r="CA93" s="519">
        <f t="shared" si="342"/>
        <v>1.5034702351078555</v>
      </c>
      <c r="CB93" s="677">
        <f t="shared" si="335"/>
        <v>1.5034702351078555</v>
      </c>
      <c r="CC93" s="677">
        <f t="shared" si="335"/>
        <v>1.5034702351078555</v>
      </c>
      <c r="CD93" s="608"/>
      <c r="CE93" s="676"/>
      <c r="CF93" s="242"/>
      <c r="CG93" s="242"/>
      <c r="CH93" s="242"/>
      <c r="CI93" s="242"/>
      <c r="CJ93" s="242"/>
      <c r="CK93" s="242"/>
    </row>
    <row r="94" spans="1:89" x14ac:dyDescent="0.2">
      <c r="B94" s="225" t="s">
        <v>470</v>
      </c>
      <c r="F94" s="608"/>
      <c r="G94" s="519">
        <f>[7]A.1!$G$21</f>
        <v>-0.72740000000000005</v>
      </c>
      <c r="H94" s="677">
        <f t="shared" ref="H94:I94" si="343">G94</f>
        <v>-0.72740000000000005</v>
      </c>
      <c r="I94" s="677">
        <f t="shared" si="343"/>
        <v>-0.72740000000000005</v>
      </c>
      <c r="J94" s="519">
        <f>[7]A.1!$I$21</f>
        <v>-0.6492</v>
      </c>
      <c r="K94" s="677">
        <f t="shared" si="337"/>
        <v>-0.6492</v>
      </c>
      <c r="L94" s="677">
        <f t="shared" si="338"/>
        <v>-0.6492</v>
      </c>
      <c r="M94" s="519">
        <v>0</v>
      </c>
      <c r="N94" s="677">
        <v>0</v>
      </c>
      <c r="O94" s="677">
        <v>0</v>
      </c>
      <c r="P94" s="519">
        <v>0</v>
      </c>
      <c r="Q94" s="677">
        <v>0</v>
      </c>
      <c r="R94" s="677">
        <v>0</v>
      </c>
      <c r="S94" s="519">
        <v>0</v>
      </c>
      <c r="T94" s="677">
        <v>0</v>
      </c>
      <c r="U94" s="677">
        <v>0</v>
      </c>
      <c r="V94" s="519">
        <v>0</v>
      </c>
      <c r="W94" s="677">
        <v>0</v>
      </c>
      <c r="X94" s="677">
        <v>0</v>
      </c>
      <c r="Y94" s="519">
        <v>0</v>
      </c>
      <c r="Z94" s="677">
        <v>0</v>
      </c>
      <c r="AA94" s="677">
        <v>0</v>
      </c>
      <c r="AB94" s="519">
        <v>0</v>
      </c>
      <c r="AC94" s="677">
        <v>0</v>
      </c>
      <c r="AD94" s="677">
        <v>0</v>
      </c>
      <c r="AE94" s="519">
        <v>0</v>
      </c>
      <c r="AF94" s="677">
        <v>0</v>
      </c>
      <c r="AG94" s="677">
        <v>0</v>
      </c>
      <c r="AH94" s="519">
        <v>0</v>
      </c>
      <c r="AI94" s="677">
        <v>0</v>
      </c>
      <c r="AJ94" s="677">
        <v>0</v>
      </c>
      <c r="AK94" s="519">
        <v>0</v>
      </c>
      <c r="AL94" s="677">
        <v>0</v>
      </c>
      <c r="AM94" s="677">
        <v>0</v>
      </c>
      <c r="AN94" s="519">
        <v>0</v>
      </c>
      <c r="AO94" s="677">
        <v>0</v>
      </c>
      <c r="AP94" s="677">
        <v>0</v>
      </c>
      <c r="AQ94" s="519">
        <v>0</v>
      </c>
      <c r="AR94" s="677">
        <v>0</v>
      </c>
      <c r="AS94" s="677">
        <v>0</v>
      </c>
      <c r="AT94" s="519">
        <v>0</v>
      </c>
      <c r="AU94" s="677">
        <v>0</v>
      </c>
      <c r="AV94" s="677">
        <v>0</v>
      </c>
      <c r="AW94" s="519">
        <v>0</v>
      </c>
      <c r="AX94" s="677">
        <v>0</v>
      </c>
      <c r="AY94" s="677">
        <v>0</v>
      </c>
      <c r="AZ94" s="519">
        <v>0</v>
      </c>
      <c r="BA94" s="677">
        <v>0</v>
      </c>
      <c r="BB94" s="677">
        <v>0</v>
      </c>
      <c r="BC94" s="519">
        <v>0</v>
      </c>
      <c r="BD94" s="677">
        <v>0</v>
      </c>
      <c r="BE94" s="677">
        <v>0</v>
      </c>
      <c r="BF94" s="519">
        <v>0</v>
      </c>
      <c r="BG94" s="677">
        <v>0</v>
      </c>
      <c r="BH94" s="677">
        <v>0</v>
      </c>
      <c r="BI94" s="519">
        <v>0</v>
      </c>
      <c r="BJ94" s="677">
        <v>0</v>
      </c>
      <c r="BK94" s="677">
        <v>0</v>
      </c>
      <c r="BL94" s="519">
        <v>0</v>
      </c>
      <c r="BM94" s="677">
        <v>0</v>
      </c>
      <c r="BN94" s="677">
        <v>0</v>
      </c>
      <c r="BO94" s="519">
        <v>0</v>
      </c>
      <c r="BP94" s="677">
        <v>0</v>
      </c>
      <c r="BQ94" s="677">
        <v>0</v>
      </c>
      <c r="BR94" s="519">
        <v>0</v>
      </c>
      <c r="BS94" s="677">
        <v>0</v>
      </c>
      <c r="BT94" s="677">
        <v>0</v>
      </c>
      <c r="BU94" s="519">
        <v>0</v>
      </c>
      <c r="BV94" s="677">
        <v>0</v>
      </c>
      <c r="BW94" s="677">
        <v>0</v>
      </c>
      <c r="BX94" s="519">
        <v>0</v>
      </c>
      <c r="BY94" s="677">
        <v>0</v>
      </c>
      <c r="BZ94" s="677">
        <v>0</v>
      </c>
      <c r="CA94" s="519">
        <v>0</v>
      </c>
      <c r="CB94" s="677">
        <v>0</v>
      </c>
      <c r="CC94" s="677">
        <v>0</v>
      </c>
      <c r="CD94" s="608"/>
      <c r="CE94" s="676"/>
      <c r="CF94" s="242"/>
      <c r="CG94" s="242"/>
      <c r="CH94" s="242"/>
      <c r="CI94" s="242"/>
      <c r="CJ94" s="242"/>
      <c r="CK94" s="242"/>
    </row>
    <row r="95" spans="1:89" x14ac:dyDescent="0.2">
      <c r="B95" s="225" t="s">
        <v>471</v>
      </c>
      <c r="F95" s="608"/>
      <c r="G95" s="519"/>
      <c r="H95" s="677">
        <f t="shared" ref="H95:I95" si="344">G95</f>
        <v>0</v>
      </c>
      <c r="I95" s="677">
        <f t="shared" si="344"/>
        <v>0</v>
      </c>
      <c r="J95" s="519"/>
      <c r="K95" s="677">
        <f t="shared" si="337"/>
        <v>0</v>
      </c>
      <c r="L95" s="677">
        <f t="shared" si="338"/>
        <v>0</v>
      </c>
      <c r="M95" s="519">
        <f>+L95</f>
        <v>0</v>
      </c>
      <c r="N95" s="677">
        <f t="shared" si="340"/>
        <v>0</v>
      </c>
      <c r="O95" s="677">
        <f t="shared" si="341"/>
        <v>0</v>
      </c>
      <c r="P95" s="519">
        <f t="shared" ref="P95" si="345">+O95</f>
        <v>0</v>
      </c>
      <c r="Q95" s="677">
        <f t="shared" si="293"/>
        <v>0</v>
      </c>
      <c r="R95" s="677">
        <f t="shared" si="293"/>
        <v>0</v>
      </c>
      <c r="S95" s="519">
        <f t="shared" ref="S95" si="346">+R95</f>
        <v>0</v>
      </c>
      <c r="T95" s="677">
        <f t="shared" si="295"/>
        <v>0</v>
      </c>
      <c r="U95" s="677">
        <f t="shared" si="295"/>
        <v>0</v>
      </c>
      <c r="V95" s="519">
        <f t="shared" ref="V95" si="347">+U95</f>
        <v>0</v>
      </c>
      <c r="W95" s="677">
        <f t="shared" si="297"/>
        <v>0</v>
      </c>
      <c r="X95" s="677">
        <f t="shared" si="297"/>
        <v>0</v>
      </c>
      <c r="Y95" s="519">
        <f t="shared" ref="Y95" si="348">+X95</f>
        <v>0</v>
      </c>
      <c r="Z95" s="677">
        <f t="shared" si="299"/>
        <v>0</v>
      </c>
      <c r="AA95" s="677">
        <f t="shared" si="299"/>
        <v>0</v>
      </c>
      <c r="AB95" s="519">
        <f t="shared" ref="AB95" si="349">+AA95</f>
        <v>0</v>
      </c>
      <c r="AC95" s="677">
        <f t="shared" si="301"/>
        <v>0</v>
      </c>
      <c r="AD95" s="677">
        <f t="shared" si="301"/>
        <v>0</v>
      </c>
      <c r="AE95" s="519">
        <f t="shared" ref="AE95" si="350">+AD95</f>
        <v>0</v>
      </c>
      <c r="AF95" s="677">
        <f t="shared" si="303"/>
        <v>0</v>
      </c>
      <c r="AG95" s="677">
        <f t="shared" si="303"/>
        <v>0</v>
      </c>
      <c r="AH95" s="519">
        <f t="shared" ref="AH95" si="351">+AG95</f>
        <v>0</v>
      </c>
      <c r="AI95" s="677">
        <f t="shared" si="305"/>
        <v>0</v>
      </c>
      <c r="AJ95" s="677">
        <f t="shared" si="305"/>
        <v>0</v>
      </c>
      <c r="AK95" s="519">
        <f t="shared" ref="AK95" si="352">+AJ95</f>
        <v>0</v>
      </c>
      <c r="AL95" s="677">
        <f t="shared" si="307"/>
        <v>0</v>
      </c>
      <c r="AM95" s="677">
        <f t="shared" si="307"/>
        <v>0</v>
      </c>
      <c r="AN95" s="519">
        <f t="shared" ref="AN95" si="353">+AM95</f>
        <v>0</v>
      </c>
      <c r="AO95" s="677">
        <f t="shared" si="309"/>
        <v>0</v>
      </c>
      <c r="AP95" s="677">
        <f t="shared" si="309"/>
        <v>0</v>
      </c>
      <c r="AQ95" s="519">
        <f t="shared" ref="AQ95" si="354">+AP95</f>
        <v>0</v>
      </c>
      <c r="AR95" s="677">
        <f t="shared" si="311"/>
        <v>0</v>
      </c>
      <c r="AS95" s="677">
        <f t="shared" si="311"/>
        <v>0</v>
      </c>
      <c r="AT95" s="519">
        <f t="shared" ref="AT95" si="355">+AS95</f>
        <v>0</v>
      </c>
      <c r="AU95" s="677">
        <f t="shared" si="313"/>
        <v>0</v>
      </c>
      <c r="AV95" s="677">
        <f t="shared" si="313"/>
        <v>0</v>
      </c>
      <c r="AW95" s="519">
        <f t="shared" ref="AW95" si="356">+AV95</f>
        <v>0</v>
      </c>
      <c r="AX95" s="677">
        <f t="shared" si="315"/>
        <v>0</v>
      </c>
      <c r="AY95" s="677">
        <f t="shared" si="315"/>
        <v>0</v>
      </c>
      <c r="AZ95" s="519">
        <f t="shared" ref="AZ95" si="357">+AY95</f>
        <v>0</v>
      </c>
      <c r="BA95" s="677">
        <f t="shared" si="317"/>
        <v>0</v>
      </c>
      <c r="BB95" s="677">
        <f t="shared" si="317"/>
        <v>0</v>
      </c>
      <c r="BC95" s="519">
        <f t="shared" ref="BC95" si="358">+BB95</f>
        <v>0</v>
      </c>
      <c r="BD95" s="677">
        <f t="shared" si="319"/>
        <v>0</v>
      </c>
      <c r="BE95" s="677">
        <f t="shared" si="319"/>
        <v>0</v>
      </c>
      <c r="BF95" s="519">
        <f t="shared" ref="BF95" si="359">+BE95</f>
        <v>0</v>
      </c>
      <c r="BG95" s="677">
        <f t="shared" si="321"/>
        <v>0</v>
      </c>
      <c r="BH95" s="677">
        <f t="shared" si="321"/>
        <v>0</v>
      </c>
      <c r="BI95" s="519">
        <f t="shared" ref="BI95" si="360">+BH95</f>
        <v>0</v>
      </c>
      <c r="BJ95" s="677">
        <f t="shared" si="323"/>
        <v>0</v>
      </c>
      <c r="BK95" s="677">
        <f t="shared" si="323"/>
        <v>0</v>
      </c>
      <c r="BL95" s="519">
        <f t="shared" ref="BL95" si="361">+BK95</f>
        <v>0</v>
      </c>
      <c r="BM95" s="677">
        <f t="shared" si="325"/>
        <v>0</v>
      </c>
      <c r="BN95" s="677">
        <f t="shared" si="325"/>
        <v>0</v>
      </c>
      <c r="BO95" s="519">
        <f t="shared" ref="BO95" si="362">+BN95</f>
        <v>0</v>
      </c>
      <c r="BP95" s="677">
        <f t="shared" si="327"/>
        <v>0</v>
      </c>
      <c r="BQ95" s="677">
        <f t="shared" si="327"/>
        <v>0</v>
      </c>
      <c r="BR95" s="519">
        <f t="shared" ref="BR95" si="363">+BQ95</f>
        <v>0</v>
      </c>
      <c r="BS95" s="677">
        <f t="shared" si="329"/>
        <v>0</v>
      </c>
      <c r="BT95" s="677">
        <f t="shared" si="329"/>
        <v>0</v>
      </c>
      <c r="BU95" s="519">
        <f t="shared" ref="BU95" si="364">+BT95</f>
        <v>0</v>
      </c>
      <c r="BV95" s="677">
        <f t="shared" si="331"/>
        <v>0</v>
      </c>
      <c r="BW95" s="677">
        <f t="shared" si="331"/>
        <v>0</v>
      </c>
      <c r="BX95" s="519">
        <f t="shared" ref="BX95" si="365">+BW95</f>
        <v>0</v>
      </c>
      <c r="BY95" s="677">
        <f t="shared" si="333"/>
        <v>0</v>
      </c>
      <c r="BZ95" s="677">
        <f t="shared" si="333"/>
        <v>0</v>
      </c>
      <c r="CA95" s="519">
        <f t="shared" ref="CA95" si="366">+BZ95</f>
        <v>0</v>
      </c>
      <c r="CB95" s="677">
        <f t="shared" si="335"/>
        <v>0</v>
      </c>
      <c r="CC95" s="677">
        <f t="shared" si="335"/>
        <v>0</v>
      </c>
      <c r="CD95" s="608"/>
      <c r="CE95" s="676"/>
      <c r="CF95" s="242"/>
      <c r="CG95" s="242"/>
      <c r="CH95" s="242"/>
      <c r="CI95" s="242"/>
      <c r="CJ95" s="242"/>
      <c r="CK95" s="242"/>
    </row>
    <row r="96" spans="1:89" x14ac:dyDescent="0.2">
      <c r="B96" s="225" t="s">
        <v>472</v>
      </c>
      <c r="F96" s="608"/>
      <c r="G96" s="519">
        <f>[7]A.1!$G$23</f>
        <v>0.1527</v>
      </c>
      <c r="H96" s="677">
        <f t="shared" ref="H96:I96" si="367">G96</f>
        <v>0.1527</v>
      </c>
      <c r="I96" s="677">
        <f t="shared" si="367"/>
        <v>0.1527</v>
      </c>
      <c r="J96" s="519">
        <f>[7]A.1!$I$23</f>
        <v>0.15266676071712265</v>
      </c>
      <c r="K96" s="677">
        <f t="shared" si="337"/>
        <v>0.15266676071712265</v>
      </c>
      <c r="L96" s="677">
        <f t="shared" si="338"/>
        <v>0.15266676071712265</v>
      </c>
      <c r="M96" s="519">
        <f>+L96</f>
        <v>0.15266676071712265</v>
      </c>
      <c r="N96" s="677">
        <f t="shared" si="340"/>
        <v>0.15266676071712265</v>
      </c>
      <c r="O96" s="677">
        <f t="shared" si="341"/>
        <v>0.15266676071712265</v>
      </c>
      <c r="P96" s="519">
        <f t="shared" ref="P96" si="368">+O96</f>
        <v>0.15266676071712265</v>
      </c>
      <c r="Q96" s="677">
        <f t="shared" si="293"/>
        <v>0.15266676071712265</v>
      </c>
      <c r="R96" s="677">
        <f t="shared" si="293"/>
        <v>0.15266676071712265</v>
      </c>
      <c r="S96" s="519">
        <f t="shared" ref="S96" si="369">+R96</f>
        <v>0.15266676071712265</v>
      </c>
      <c r="T96" s="677">
        <f t="shared" si="295"/>
        <v>0.15266676071712265</v>
      </c>
      <c r="U96" s="677">
        <f t="shared" si="295"/>
        <v>0.15266676071712265</v>
      </c>
      <c r="V96" s="519">
        <f t="shared" ref="V96" si="370">+U96</f>
        <v>0.15266676071712265</v>
      </c>
      <c r="W96" s="677">
        <f t="shared" si="297"/>
        <v>0.15266676071712265</v>
      </c>
      <c r="X96" s="677">
        <f t="shared" si="297"/>
        <v>0.15266676071712265</v>
      </c>
      <c r="Y96" s="519">
        <f t="shared" ref="Y96" si="371">+X96</f>
        <v>0.15266676071712265</v>
      </c>
      <c r="Z96" s="677">
        <f t="shared" si="299"/>
        <v>0.15266676071712265</v>
      </c>
      <c r="AA96" s="677">
        <f t="shared" si="299"/>
        <v>0.15266676071712265</v>
      </c>
      <c r="AB96" s="519">
        <f t="shared" ref="AB96" si="372">+AA96</f>
        <v>0.15266676071712265</v>
      </c>
      <c r="AC96" s="677">
        <f t="shared" si="301"/>
        <v>0.15266676071712265</v>
      </c>
      <c r="AD96" s="677">
        <f t="shared" si="301"/>
        <v>0.15266676071712265</v>
      </c>
      <c r="AE96" s="519">
        <f t="shared" ref="AE96" si="373">+AD96</f>
        <v>0.15266676071712265</v>
      </c>
      <c r="AF96" s="677">
        <f t="shared" si="303"/>
        <v>0.15266676071712265</v>
      </c>
      <c r="AG96" s="677">
        <f t="shared" si="303"/>
        <v>0.15266676071712265</v>
      </c>
      <c r="AH96" s="519">
        <f t="shared" ref="AH96" si="374">+AG96</f>
        <v>0.15266676071712265</v>
      </c>
      <c r="AI96" s="677">
        <f t="shared" si="305"/>
        <v>0.15266676071712265</v>
      </c>
      <c r="AJ96" s="677">
        <f t="shared" si="305"/>
        <v>0.15266676071712265</v>
      </c>
      <c r="AK96" s="519">
        <f t="shared" ref="AK96" si="375">+AJ96</f>
        <v>0.15266676071712265</v>
      </c>
      <c r="AL96" s="677">
        <f t="shared" si="307"/>
        <v>0.15266676071712265</v>
      </c>
      <c r="AM96" s="677">
        <f t="shared" si="307"/>
        <v>0.15266676071712265</v>
      </c>
      <c r="AN96" s="519">
        <f t="shared" ref="AN96" si="376">+AM96</f>
        <v>0.15266676071712265</v>
      </c>
      <c r="AO96" s="677">
        <f t="shared" si="309"/>
        <v>0.15266676071712265</v>
      </c>
      <c r="AP96" s="677">
        <f t="shared" si="309"/>
        <v>0.15266676071712265</v>
      </c>
      <c r="AQ96" s="519">
        <f t="shared" ref="AQ96" si="377">+AP96</f>
        <v>0.15266676071712265</v>
      </c>
      <c r="AR96" s="677">
        <f t="shared" si="311"/>
        <v>0.15266676071712265</v>
      </c>
      <c r="AS96" s="677">
        <f t="shared" si="311"/>
        <v>0.15266676071712265</v>
      </c>
      <c r="AT96" s="519">
        <f t="shared" ref="AT96" si="378">+AS96</f>
        <v>0.15266676071712265</v>
      </c>
      <c r="AU96" s="677">
        <f t="shared" si="313"/>
        <v>0.15266676071712265</v>
      </c>
      <c r="AV96" s="677">
        <f t="shared" si="313"/>
        <v>0.15266676071712265</v>
      </c>
      <c r="AW96" s="519">
        <f t="shared" ref="AW96" si="379">+AV96</f>
        <v>0.15266676071712265</v>
      </c>
      <c r="AX96" s="677">
        <f t="shared" si="315"/>
        <v>0.15266676071712265</v>
      </c>
      <c r="AY96" s="677">
        <f t="shared" si="315"/>
        <v>0.15266676071712265</v>
      </c>
      <c r="AZ96" s="519">
        <f t="shared" ref="AZ96" si="380">+AY96</f>
        <v>0.15266676071712265</v>
      </c>
      <c r="BA96" s="677">
        <f t="shared" si="317"/>
        <v>0.15266676071712265</v>
      </c>
      <c r="BB96" s="677">
        <f t="shared" si="317"/>
        <v>0.15266676071712265</v>
      </c>
      <c r="BC96" s="519">
        <f t="shared" ref="BC96" si="381">+BB96</f>
        <v>0.15266676071712265</v>
      </c>
      <c r="BD96" s="677">
        <f t="shared" si="319"/>
        <v>0.15266676071712265</v>
      </c>
      <c r="BE96" s="677">
        <f t="shared" si="319"/>
        <v>0.15266676071712265</v>
      </c>
      <c r="BF96" s="519">
        <f t="shared" ref="BF96" si="382">+BE96</f>
        <v>0.15266676071712265</v>
      </c>
      <c r="BG96" s="677">
        <f t="shared" si="321"/>
        <v>0.15266676071712265</v>
      </c>
      <c r="BH96" s="677">
        <f t="shared" si="321"/>
        <v>0.15266676071712265</v>
      </c>
      <c r="BI96" s="519">
        <f t="shared" ref="BI96" si="383">+BH96</f>
        <v>0.15266676071712265</v>
      </c>
      <c r="BJ96" s="677">
        <f t="shared" si="323"/>
        <v>0.15266676071712265</v>
      </c>
      <c r="BK96" s="677">
        <f t="shared" si="323"/>
        <v>0.15266676071712265</v>
      </c>
      <c r="BL96" s="519">
        <f t="shared" ref="BL96" si="384">+BK96</f>
        <v>0.15266676071712265</v>
      </c>
      <c r="BM96" s="677">
        <f t="shared" si="325"/>
        <v>0.15266676071712265</v>
      </c>
      <c r="BN96" s="677">
        <f t="shared" si="325"/>
        <v>0.15266676071712265</v>
      </c>
      <c r="BO96" s="519">
        <f t="shared" ref="BO96" si="385">+BN96</f>
        <v>0.15266676071712265</v>
      </c>
      <c r="BP96" s="677">
        <f t="shared" si="327"/>
        <v>0.15266676071712265</v>
      </c>
      <c r="BQ96" s="677">
        <f t="shared" si="327"/>
        <v>0.15266676071712265</v>
      </c>
      <c r="BR96" s="519">
        <f t="shared" ref="BR96" si="386">+BQ96</f>
        <v>0.15266676071712265</v>
      </c>
      <c r="BS96" s="677">
        <f t="shared" si="329"/>
        <v>0.15266676071712265</v>
      </c>
      <c r="BT96" s="677">
        <f t="shared" si="329"/>
        <v>0.15266676071712265</v>
      </c>
      <c r="BU96" s="519">
        <f t="shared" ref="BU96" si="387">+BT96</f>
        <v>0.15266676071712265</v>
      </c>
      <c r="BV96" s="677">
        <f t="shared" si="331"/>
        <v>0.15266676071712265</v>
      </c>
      <c r="BW96" s="677">
        <f t="shared" si="331"/>
        <v>0.15266676071712265</v>
      </c>
      <c r="BX96" s="519">
        <f t="shared" ref="BX96" si="388">+BW96</f>
        <v>0.15266676071712265</v>
      </c>
      <c r="BY96" s="677">
        <f t="shared" si="333"/>
        <v>0.15266676071712265</v>
      </c>
      <c r="BZ96" s="677">
        <f t="shared" si="333"/>
        <v>0.15266676071712265</v>
      </c>
      <c r="CA96" s="519">
        <f t="shared" ref="CA96" si="389">+BZ96</f>
        <v>0.15266676071712265</v>
      </c>
      <c r="CB96" s="677">
        <f t="shared" si="335"/>
        <v>0.15266676071712265</v>
      </c>
      <c r="CC96" s="677">
        <f t="shared" si="335"/>
        <v>0.15266676071712265</v>
      </c>
      <c r="CD96" s="608"/>
      <c r="CE96" s="676"/>
      <c r="CF96" s="242"/>
      <c r="CG96" s="242"/>
      <c r="CH96" s="242"/>
      <c r="CI96" s="242"/>
      <c r="CJ96" s="242"/>
      <c r="CK96" s="242"/>
    </row>
    <row r="97" spans="1:92" x14ac:dyDescent="0.2">
      <c r="B97" s="225" t="s">
        <v>473</v>
      </c>
      <c r="F97" s="608"/>
      <c r="G97" s="520">
        <f>SUM(G92:G96)</f>
        <v>4.2233000000000001</v>
      </c>
      <c r="H97" s="678">
        <f t="shared" ref="H97:I97" si="390">G97</f>
        <v>4.2233000000000001</v>
      </c>
      <c r="I97" s="678">
        <f t="shared" si="390"/>
        <v>4.2233000000000001</v>
      </c>
      <c r="J97" s="520">
        <f>SUM(J92:J96)</f>
        <v>4.3381667607171224</v>
      </c>
      <c r="K97" s="678">
        <f t="shared" si="337"/>
        <v>4.3381667607171224</v>
      </c>
      <c r="L97" s="678">
        <f t="shared" si="338"/>
        <v>4.3381667607171224</v>
      </c>
      <c r="M97" s="520">
        <f t="shared" ref="M97" si="391">+M92+M93+M94+M95+M96</f>
        <v>4.4924452138791438</v>
      </c>
      <c r="N97" s="678">
        <f t="shared" si="340"/>
        <v>4.4924452138791438</v>
      </c>
      <c r="O97" s="678">
        <f t="shared" si="341"/>
        <v>4.4924452138791438</v>
      </c>
      <c r="P97" s="520">
        <f t="shared" ref="P97:CA97" si="392">+P92+P93+P94+P95+P96</f>
        <v>4.576446110502566</v>
      </c>
      <c r="Q97" s="678">
        <f t="shared" si="293"/>
        <v>4.576446110502566</v>
      </c>
      <c r="R97" s="678">
        <f t="shared" si="293"/>
        <v>4.576446110502566</v>
      </c>
      <c r="S97" s="520">
        <f t="shared" si="392"/>
        <v>4.6088710472168026</v>
      </c>
      <c r="T97" s="678">
        <f t="shared" si="295"/>
        <v>4.6088710472168026</v>
      </c>
      <c r="U97" s="678">
        <f t="shared" si="295"/>
        <v>4.6088710472168026</v>
      </c>
      <c r="V97" s="520">
        <f t="shared" si="392"/>
        <v>4.5535112981864572</v>
      </c>
      <c r="W97" s="678">
        <f t="shared" si="297"/>
        <v>4.5535112981864572</v>
      </c>
      <c r="X97" s="678">
        <f t="shared" si="297"/>
        <v>4.5535112981864572</v>
      </c>
      <c r="Y97" s="520">
        <f t="shared" si="392"/>
        <v>4.5576361502621516</v>
      </c>
      <c r="Z97" s="678">
        <f t="shared" si="299"/>
        <v>4.5576361502621516</v>
      </c>
      <c r="AA97" s="678">
        <f t="shared" si="299"/>
        <v>4.5576361502621516</v>
      </c>
      <c r="AB97" s="520">
        <f t="shared" si="392"/>
        <v>4.83392198302381</v>
      </c>
      <c r="AC97" s="678">
        <f t="shared" si="301"/>
        <v>4.83392198302381</v>
      </c>
      <c r="AD97" s="678">
        <f t="shared" si="301"/>
        <v>4.83392198302381</v>
      </c>
      <c r="AE97" s="520">
        <f t="shared" si="392"/>
        <v>4.8519223754666072</v>
      </c>
      <c r="AF97" s="678">
        <f t="shared" si="303"/>
        <v>4.8519223754666072</v>
      </c>
      <c r="AG97" s="678">
        <f t="shared" si="303"/>
        <v>4.8519223754666072</v>
      </c>
      <c r="AH97" s="520">
        <f t="shared" si="392"/>
        <v>4.7235732633872862</v>
      </c>
      <c r="AI97" s="678">
        <f t="shared" si="305"/>
        <v>4.7235732633872862</v>
      </c>
      <c r="AJ97" s="678">
        <f t="shared" si="305"/>
        <v>4.7235732633872862</v>
      </c>
      <c r="AK97" s="520">
        <f t="shared" si="392"/>
        <v>4.7016051095232001</v>
      </c>
      <c r="AL97" s="678">
        <f t="shared" si="307"/>
        <v>4.7016051095232001</v>
      </c>
      <c r="AM97" s="678">
        <f t="shared" si="307"/>
        <v>4.7016051095232001</v>
      </c>
      <c r="AN97" s="520">
        <f t="shared" si="392"/>
        <v>4.9184938000819312</v>
      </c>
      <c r="AO97" s="678">
        <f t="shared" si="309"/>
        <v>4.9184938000819312</v>
      </c>
      <c r="AP97" s="678">
        <f t="shared" si="309"/>
        <v>4.9184938000819312</v>
      </c>
      <c r="AQ97" s="520">
        <f t="shared" si="392"/>
        <v>4.9221234839243824</v>
      </c>
      <c r="AR97" s="678">
        <f t="shared" si="311"/>
        <v>4.9221234839243824</v>
      </c>
      <c r="AS97" s="678">
        <f t="shared" si="311"/>
        <v>4.9221234839243824</v>
      </c>
      <c r="AT97" s="520">
        <f t="shared" si="392"/>
        <v>4.811658481577866</v>
      </c>
      <c r="AU97" s="678">
        <f t="shared" si="313"/>
        <v>4.811658481577866</v>
      </c>
      <c r="AV97" s="678">
        <f t="shared" si="313"/>
        <v>4.811658481577866</v>
      </c>
      <c r="AW97" s="520">
        <f t="shared" si="392"/>
        <v>4.795201887089128</v>
      </c>
      <c r="AX97" s="678">
        <f t="shared" si="315"/>
        <v>4.795201887089128</v>
      </c>
      <c r="AY97" s="678">
        <f t="shared" si="315"/>
        <v>4.795201887089128</v>
      </c>
      <c r="AZ97" s="520">
        <f t="shared" si="392"/>
        <v>5.0068912841604094</v>
      </c>
      <c r="BA97" s="678">
        <f t="shared" si="317"/>
        <v>5.0068912841604094</v>
      </c>
      <c r="BB97" s="678">
        <f t="shared" si="317"/>
        <v>5.0068912841604094</v>
      </c>
      <c r="BC97" s="520">
        <f t="shared" si="392"/>
        <v>5.0138460799231694</v>
      </c>
      <c r="BD97" s="678">
        <f t="shared" si="319"/>
        <v>5.0138460799231694</v>
      </c>
      <c r="BE97" s="678">
        <f t="shared" si="319"/>
        <v>5.0138460799231694</v>
      </c>
      <c r="BF97" s="520">
        <f t="shared" si="392"/>
        <v>4.9176211320497707</v>
      </c>
      <c r="BG97" s="678">
        <f t="shared" si="321"/>
        <v>4.9176211320497707</v>
      </c>
      <c r="BH97" s="678">
        <f t="shared" si="321"/>
        <v>4.9176211320497707</v>
      </c>
      <c r="BI97" s="520">
        <f t="shared" si="392"/>
        <v>4.9054463050499564</v>
      </c>
      <c r="BJ97" s="678">
        <f t="shared" si="323"/>
        <v>4.9054463050499564</v>
      </c>
      <c r="BK97" s="678">
        <f t="shared" si="323"/>
        <v>4.9054463050499564</v>
      </c>
      <c r="BL97" s="520">
        <f t="shared" si="392"/>
        <v>5.1288189327537044</v>
      </c>
      <c r="BM97" s="678">
        <f t="shared" si="325"/>
        <v>5.1288189327537044</v>
      </c>
      <c r="BN97" s="678">
        <f t="shared" si="325"/>
        <v>5.1288189327537044</v>
      </c>
      <c r="BO97" s="520">
        <f t="shared" si="392"/>
        <v>5.1452532950186676</v>
      </c>
      <c r="BP97" s="678">
        <f t="shared" si="327"/>
        <v>5.1452532950186676</v>
      </c>
      <c r="BQ97" s="678">
        <f t="shared" si="327"/>
        <v>5.1452532950186676</v>
      </c>
      <c r="BR97" s="520">
        <f t="shared" si="392"/>
        <v>5.0525787355762493</v>
      </c>
      <c r="BS97" s="678">
        <f t="shared" si="329"/>
        <v>5.0525787355762493</v>
      </c>
      <c r="BT97" s="678">
        <f t="shared" si="329"/>
        <v>5.0525787355762493</v>
      </c>
      <c r="BU97" s="520">
        <f t="shared" si="392"/>
        <v>5.0418000232208371</v>
      </c>
      <c r="BV97" s="678">
        <f t="shared" si="331"/>
        <v>5.0418000232208371</v>
      </c>
      <c r="BW97" s="678">
        <f t="shared" si="331"/>
        <v>5.0418000232208371</v>
      </c>
      <c r="BX97" s="520">
        <f t="shared" si="392"/>
        <v>5.2763719984585293</v>
      </c>
      <c r="BY97" s="678">
        <f t="shared" si="333"/>
        <v>5.2763719984585293</v>
      </c>
      <c r="BZ97" s="678">
        <f t="shared" si="333"/>
        <v>5.2763719984585293</v>
      </c>
      <c r="CA97" s="520">
        <f t="shared" si="392"/>
        <v>5.3063335447273658</v>
      </c>
      <c r="CB97" s="678">
        <f t="shared" si="335"/>
        <v>5.3063335447273658</v>
      </c>
      <c r="CC97" s="678">
        <f t="shared" si="335"/>
        <v>5.3063335447273658</v>
      </c>
      <c r="CD97" s="608"/>
      <c r="CE97" s="679"/>
      <c r="CF97" s="243"/>
      <c r="CG97" s="243"/>
      <c r="CH97" s="243"/>
      <c r="CI97" s="243"/>
      <c r="CJ97" s="243"/>
      <c r="CK97" s="243"/>
    </row>
    <row r="98" spans="1:92" x14ac:dyDescent="0.2">
      <c r="B98" s="225" t="s">
        <v>474</v>
      </c>
      <c r="F98" s="608"/>
      <c r="G98" s="519">
        <f>G92</f>
        <v>3.2381000000000002</v>
      </c>
      <c r="H98" s="677">
        <f t="shared" ref="H98:I98" si="393">G98</f>
        <v>3.2381000000000002</v>
      </c>
      <c r="I98" s="677">
        <f t="shared" si="393"/>
        <v>3.2381000000000002</v>
      </c>
      <c r="J98" s="519">
        <f>J92</f>
        <v>3.2747999999999999</v>
      </c>
      <c r="K98" s="677">
        <f t="shared" si="337"/>
        <v>3.2747999999999999</v>
      </c>
      <c r="L98" s="677">
        <f t="shared" si="338"/>
        <v>3.2747999999999999</v>
      </c>
      <c r="M98" s="519">
        <f t="shared" ref="M98" si="394">+M92</f>
        <v>2.8248994456350438</v>
      </c>
      <c r="N98" s="677">
        <f t="shared" si="340"/>
        <v>2.8248994456350438</v>
      </c>
      <c r="O98" s="677">
        <f t="shared" si="341"/>
        <v>2.8248994456350438</v>
      </c>
      <c r="P98" s="519">
        <f t="shared" ref="P98:CA98" si="395">+P92</f>
        <v>2.9089003422584669</v>
      </c>
      <c r="Q98" s="677">
        <f t="shared" si="293"/>
        <v>2.9089003422584669</v>
      </c>
      <c r="R98" s="677">
        <f t="shared" si="293"/>
        <v>2.9089003422584669</v>
      </c>
      <c r="S98" s="519">
        <f t="shared" si="395"/>
        <v>2.9413252789727031</v>
      </c>
      <c r="T98" s="677">
        <f t="shared" si="295"/>
        <v>2.9413252789727031</v>
      </c>
      <c r="U98" s="677">
        <f t="shared" si="295"/>
        <v>2.9413252789727031</v>
      </c>
      <c r="V98" s="519">
        <f t="shared" si="395"/>
        <v>2.8883002775329101</v>
      </c>
      <c r="W98" s="677">
        <f t="shared" si="297"/>
        <v>2.8883002775329101</v>
      </c>
      <c r="X98" s="677">
        <f t="shared" si="297"/>
        <v>2.8883002775329101</v>
      </c>
      <c r="Y98" s="519">
        <f t="shared" si="395"/>
        <v>2.8924251296086045</v>
      </c>
      <c r="Z98" s="677">
        <f t="shared" si="299"/>
        <v>2.8924251296086045</v>
      </c>
      <c r="AA98" s="677">
        <f t="shared" si="299"/>
        <v>2.8924251296086045</v>
      </c>
      <c r="AB98" s="519">
        <f t="shared" si="395"/>
        <v>3.1687109623702625</v>
      </c>
      <c r="AC98" s="677">
        <f t="shared" si="301"/>
        <v>3.1687109623702625</v>
      </c>
      <c r="AD98" s="677">
        <f t="shared" si="301"/>
        <v>3.1687109623702625</v>
      </c>
      <c r="AE98" s="519">
        <f t="shared" si="395"/>
        <v>3.1867113548130601</v>
      </c>
      <c r="AF98" s="677">
        <f t="shared" si="303"/>
        <v>3.1867113548130601</v>
      </c>
      <c r="AG98" s="677">
        <f t="shared" si="303"/>
        <v>3.1867113548130601</v>
      </c>
      <c r="AH98" s="519">
        <f t="shared" si="395"/>
        <v>3.0606897878446246</v>
      </c>
      <c r="AI98" s="677">
        <f t="shared" si="305"/>
        <v>3.0606897878446246</v>
      </c>
      <c r="AJ98" s="677">
        <f t="shared" si="305"/>
        <v>3.0606897878446246</v>
      </c>
      <c r="AK98" s="519">
        <f t="shared" si="395"/>
        <v>3.0387216339805381</v>
      </c>
      <c r="AL98" s="677">
        <f t="shared" si="307"/>
        <v>3.0387216339805381</v>
      </c>
      <c r="AM98" s="677">
        <f t="shared" si="307"/>
        <v>3.0387216339805381</v>
      </c>
      <c r="AN98" s="519">
        <f t="shared" si="395"/>
        <v>3.2556103245392696</v>
      </c>
      <c r="AO98" s="677">
        <f t="shared" si="309"/>
        <v>3.2556103245392696</v>
      </c>
      <c r="AP98" s="677">
        <f t="shared" si="309"/>
        <v>3.2556103245392696</v>
      </c>
      <c r="AQ98" s="519">
        <f t="shared" si="395"/>
        <v>3.2592400083817203</v>
      </c>
      <c r="AR98" s="677">
        <f t="shared" si="311"/>
        <v>3.2592400083817203</v>
      </c>
      <c r="AS98" s="677">
        <f t="shared" si="311"/>
        <v>3.2592400083817203</v>
      </c>
      <c r="AT98" s="519">
        <f t="shared" si="395"/>
        <v>3.1510953533811725</v>
      </c>
      <c r="AU98" s="677">
        <f t="shared" si="313"/>
        <v>3.1510953533811725</v>
      </c>
      <c r="AV98" s="677">
        <f t="shared" si="313"/>
        <v>3.1510953533811725</v>
      </c>
      <c r="AW98" s="519">
        <f t="shared" si="395"/>
        <v>3.1346387588924349</v>
      </c>
      <c r="AX98" s="677">
        <f t="shared" si="315"/>
        <v>3.1346387588924349</v>
      </c>
      <c r="AY98" s="677">
        <f t="shared" si="315"/>
        <v>3.1346387588924349</v>
      </c>
      <c r="AZ98" s="519">
        <f t="shared" si="395"/>
        <v>3.3463281559637159</v>
      </c>
      <c r="BA98" s="677">
        <f t="shared" si="317"/>
        <v>3.3463281559637159</v>
      </c>
      <c r="BB98" s="677">
        <f t="shared" si="317"/>
        <v>3.3463281559637159</v>
      </c>
      <c r="BC98" s="519">
        <f t="shared" si="395"/>
        <v>3.3532829517264764</v>
      </c>
      <c r="BD98" s="677">
        <f t="shared" si="319"/>
        <v>3.3532829517264764</v>
      </c>
      <c r="BE98" s="677">
        <f t="shared" si="319"/>
        <v>3.3532829517264764</v>
      </c>
      <c r="BF98" s="519">
        <f t="shared" si="395"/>
        <v>3.259371072837931</v>
      </c>
      <c r="BG98" s="677">
        <f t="shared" si="321"/>
        <v>3.259371072837931</v>
      </c>
      <c r="BH98" s="677">
        <f t="shared" si="321"/>
        <v>3.259371072837931</v>
      </c>
      <c r="BI98" s="519">
        <f t="shared" si="395"/>
        <v>3.2471962458381167</v>
      </c>
      <c r="BJ98" s="677">
        <f t="shared" si="323"/>
        <v>3.2471962458381167</v>
      </c>
      <c r="BK98" s="677">
        <f t="shared" si="323"/>
        <v>3.2471962458381167</v>
      </c>
      <c r="BL98" s="519">
        <f t="shared" si="395"/>
        <v>3.4705688735418638</v>
      </c>
      <c r="BM98" s="677">
        <f t="shared" si="325"/>
        <v>3.4705688735418638</v>
      </c>
      <c r="BN98" s="677">
        <f t="shared" si="325"/>
        <v>3.4705688735418638</v>
      </c>
      <c r="BO98" s="519">
        <f t="shared" si="395"/>
        <v>3.487003235806827</v>
      </c>
      <c r="BP98" s="677">
        <f t="shared" si="327"/>
        <v>3.487003235806827</v>
      </c>
      <c r="BQ98" s="677">
        <f t="shared" si="327"/>
        <v>3.487003235806827</v>
      </c>
      <c r="BR98" s="519">
        <f t="shared" si="395"/>
        <v>3.3964417397512703</v>
      </c>
      <c r="BS98" s="677">
        <f t="shared" si="329"/>
        <v>3.3964417397512703</v>
      </c>
      <c r="BT98" s="677">
        <f t="shared" si="329"/>
        <v>3.3964417397512703</v>
      </c>
      <c r="BU98" s="519">
        <f t="shared" si="395"/>
        <v>3.3856630273958581</v>
      </c>
      <c r="BV98" s="677">
        <f t="shared" si="331"/>
        <v>3.3856630273958581</v>
      </c>
      <c r="BW98" s="677">
        <f t="shared" si="331"/>
        <v>3.3856630273958581</v>
      </c>
      <c r="BX98" s="519">
        <f t="shared" si="395"/>
        <v>3.6202350026335508</v>
      </c>
      <c r="BY98" s="677">
        <f t="shared" si="333"/>
        <v>3.6202350026335508</v>
      </c>
      <c r="BZ98" s="677">
        <f t="shared" si="333"/>
        <v>3.6202350026335508</v>
      </c>
      <c r="CA98" s="519">
        <f t="shared" si="395"/>
        <v>3.6501965489023878</v>
      </c>
      <c r="CB98" s="677">
        <f t="shared" si="335"/>
        <v>3.6501965489023878</v>
      </c>
      <c r="CC98" s="677">
        <f t="shared" si="335"/>
        <v>3.6501965489023878</v>
      </c>
      <c r="CD98" s="608"/>
      <c r="CE98" s="676"/>
      <c r="CF98" s="242"/>
      <c r="CG98" s="242"/>
      <c r="CH98" s="242"/>
      <c r="CI98" s="242"/>
      <c r="CJ98" s="242"/>
      <c r="CK98" s="242"/>
    </row>
    <row r="99" spans="1:92" x14ac:dyDescent="0.2">
      <c r="B99" s="225" t="s">
        <v>475</v>
      </c>
      <c r="F99" s="608"/>
      <c r="G99" s="519">
        <f>[7]A.1!$G$41</f>
        <v>0.23899999999999999</v>
      </c>
      <c r="H99" s="677">
        <f t="shared" ref="H99:I99" si="396">G99</f>
        <v>0.23899999999999999</v>
      </c>
      <c r="I99" s="677">
        <f t="shared" si="396"/>
        <v>0.23899999999999999</v>
      </c>
      <c r="J99" s="519">
        <f>[7]A.1!$I$41</f>
        <v>0.23899999999999999</v>
      </c>
      <c r="K99" s="677">
        <f t="shared" si="337"/>
        <v>0.23899999999999999</v>
      </c>
      <c r="L99" s="677">
        <f t="shared" si="338"/>
        <v>0.23899999999999999</v>
      </c>
      <c r="M99" s="519">
        <f t="shared" ref="M99" si="397">L99</f>
        <v>0.23899999999999999</v>
      </c>
      <c r="N99" s="677">
        <f t="shared" si="340"/>
        <v>0.23899999999999999</v>
      </c>
      <c r="O99" s="677">
        <f t="shared" si="341"/>
        <v>0.23899999999999999</v>
      </c>
      <c r="P99" s="519">
        <f t="shared" ref="P99" si="398">O99</f>
        <v>0.23899999999999999</v>
      </c>
      <c r="Q99" s="677">
        <f t="shared" si="293"/>
        <v>0.23899999999999999</v>
      </c>
      <c r="R99" s="677">
        <f t="shared" si="293"/>
        <v>0.23899999999999999</v>
      </c>
      <c r="S99" s="519">
        <f t="shared" ref="S99" si="399">R99</f>
        <v>0.23899999999999999</v>
      </c>
      <c r="T99" s="677">
        <f t="shared" si="295"/>
        <v>0.23899999999999999</v>
      </c>
      <c r="U99" s="677">
        <f t="shared" si="295"/>
        <v>0.23899999999999999</v>
      </c>
      <c r="V99" s="519">
        <f t="shared" ref="V99" si="400">U99</f>
        <v>0.23899999999999999</v>
      </c>
      <c r="W99" s="677">
        <f t="shared" si="297"/>
        <v>0.23899999999999999</v>
      </c>
      <c r="X99" s="677">
        <f t="shared" si="297"/>
        <v>0.23899999999999999</v>
      </c>
      <c r="Y99" s="519">
        <f t="shared" ref="Y99" si="401">X99</f>
        <v>0.23899999999999999</v>
      </c>
      <c r="Z99" s="677">
        <f t="shared" si="299"/>
        <v>0.23899999999999999</v>
      </c>
      <c r="AA99" s="677">
        <f t="shared" si="299"/>
        <v>0.23899999999999999</v>
      </c>
      <c r="AB99" s="519">
        <f t="shared" ref="AB99" si="402">AA99</f>
        <v>0.23899999999999999</v>
      </c>
      <c r="AC99" s="677">
        <f t="shared" si="301"/>
        <v>0.23899999999999999</v>
      </c>
      <c r="AD99" s="677">
        <f t="shared" si="301"/>
        <v>0.23899999999999999</v>
      </c>
      <c r="AE99" s="519">
        <f t="shared" ref="AE99" si="403">AD99</f>
        <v>0.23899999999999999</v>
      </c>
      <c r="AF99" s="677">
        <f t="shared" si="303"/>
        <v>0.23899999999999999</v>
      </c>
      <c r="AG99" s="677">
        <f t="shared" si="303"/>
        <v>0.23899999999999999</v>
      </c>
      <c r="AH99" s="519">
        <f t="shared" ref="AH99" si="404">AG99</f>
        <v>0.23899999999999999</v>
      </c>
      <c r="AI99" s="677">
        <f t="shared" si="305"/>
        <v>0.23899999999999999</v>
      </c>
      <c r="AJ99" s="677">
        <f t="shared" si="305"/>
        <v>0.23899999999999999</v>
      </c>
      <c r="AK99" s="519">
        <f t="shared" ref="AK99" si="405">AJ99</f>
        <v>0.23899999999999999</v>
      </c>
      <c r="AL99" s="677">
        <f t="shared" si="307"/>
        <v>0.23899999999999999</v>
      </c>
      <c r="AM99" s="677">
        <f t="shared" si="307"/>
        <v>0.23899999999999999</v>
      </c>
      <c r="AN99" s="519">
        <f t="shared" ref="AN99" si="406">AM99</f>
        <v>0.23899999999999999</v>
      </c>
      <c r="AO99" s="677">
        <f t="shared" si="309"/>
        <v>0.23899999999999999</v>
      </c>
      <c r="AP99" s="677">
        <f t="shared" si="309"/>
        <v>0.23899999999999999</v>
      </c>
      <c r="AQ99" s="519">
        <f t="shared" ref="AQ99" si="407">AP99</f>
        <v>0.23899999999999999</v>
      </c>
      <c r="AR99" s="677">
        <f t="shared" si="311"/>
        <v>0.23899999999999999</v>
      </c>
      <c r="AS99" s="677">
        <f t="shared" si="311"/>
        <v>0.23899999999999999</v>
      </c>
      <c r="AT99" s="519">
        <f t="shared" ref="AT99" si="408">AS99</f>
        <v>0.23899999999999999</v>
      </c>
      <c r="AU99" s="677">
        <f t="shared" si="313"/>
        <v>0.23899999999999999</v>
      </c>
      <c r="AV99" s="677">
        <f t="shared" si="313"/>
        <v>0.23899999999999999</v>
      </c>
      <c r="AW99" s="519">
        <f t="shared" ref="AW99" si="409">AV99</f>
        <v>0.23899999999999999</v>
      </c>
      <c r="AX99" s="677">
        <f t="shared" si="315"/>
        <v>0.23899999999999999</v>
      </c>
      <c r="AY99" s="677">
        <f t="shared" si="315"/>
        <v>0.23899999999999999</v>
      </c>
      <c r="AZ99" s="519">
        <f t="shared" ref="AZ99" si="410">AY99</f>
        <v>0.23899999999999999</v>
      </c>
      <c r="BA99" s="677">
        <f t="shared" si="317"/>
        <v>0.23899999999999999</v>
      </c>
      <c r="BB99" s="677">
        <f t="shared" si="317"/>
        <v>0.23899999999999999</v>
      </c>
      <c r="BC99" s="519">
        <f t="shared" ref="BC99" si="411">BB99</f>
        <v>0.23899999999999999</v>
      </c>
      <c r="BD99" s="677">
        <f t="shared" si="319"/>
        <v>0.23899999999999999</v>
      </c>
      <c r="BE99" s="677">
        <f t="shared" si="319"/>
        <v>0.23899999999999999</v>
      </c>
      <c r="BF99" s="519">
        <f t="shared" ref="BF99" si="412">BE99</f>
        <v>0.23899999999999999</v>
      </c>
      <c r="BG99" s="677">
        <f t="shared" si="321"/>
        <v>0.23899999999999999</v>
      </c>
      <c r="BH99" s="677">
        <f t="shared" si="321"/>
        <v>0.23899999999999999</v>
      </c>
      <c r="BI99" s="519">
        <f t="shared" ref="BI99" si="413">BH99</f>
        <v>0.23899999999999999</v>
      </c>
      <c r="BJ99" s="677">
        <f t="shared" si="323"/>
        <v>0.23899999999999999</v>
      </c>
      <c r="BK99" s="677">
        <f t="shared" si="323"/>
        <v>0.23899999999999999</v>
      </c>
      <c r="BL99" s="519">
        <f t="shared" ref="BL99" si="414">BK99</f>
        <v>0.23899999999999999</v>
      </c>
      <c r="BM99" s="677">
        <f t="shared" si="325"/>
        <v>0.23899999999999999</v>
      </c>
      <c r="BN99" s="677">
        <f t="shared" si="325"/>
        <v>0.23899999999999999</v>
      </c>
      <c r="BO99" s="519">
        <f t="shared" ref="BO99" si="415">BN99</f>
        <v>0.23899999999999999</v>
      </c>
      <c r="BP99" s="677">
        <f t="shared" si="327"/>
        <v>0.23899999999999999</v>
      </c>
      <c r="BQ99" s="677">
        <f t="shared" si="327"/>
        <v>0.23899999999999999</v>
      </c>
      <c r="BR99" s="519">
        <f t="shared" ref="BR99" si="416">BQ99</f>
        <v>0.23899999999999999</v>
      </c>
      <c r="BS99" s="677">
        <f t="shared" si="329"/>
        <v>0.23899999999999999</v>
      </c>
      <c r="BT99" s="677">
        <f t="shared" si="329"/>
        <v>0.23899999999999999</v>
      </c>
      <c r="BU99" s="519">
        <f t="shared" ref="BU99" si="417">BT99</f>
        <v>0.23899999999999999</v>
      </c>
      <c r="BV99" s="677">
        <f t="shared" si="331"/>
        <v>0.23899999999999999</v>
      </c>
      <c r="BW99" s="677">
        <f t="shared" si="331"/>
        <v>0.23899999999999999</v>
      </c>
      <c r="BX99" s="519">
        <f t="shared" ref="BX99" si="418">BW99</f>
        <v>0.23899999999999999</v>
      </c>
      <c r="BY99" s="677">
        <f t="shared" si="333"/>
        <v>0.23899999999999999</v>
      </c>
      <c r="BZ99" s="677">
        <f t="shared" si="333"/>
        <v>0.23899999999999999</v>
      </c>
      <c r="CA99" s="519">
        <f t="shared" ref="CA99" si="419">BZ99</f>
        <v>0.23899999999999999</v>
      </c>
      <c r="CB99" s="677">
        <f t="shared" si="335"/>
        <v>0.23899999999999999</v>
      </c>
      <c r="CC99" s="677">
        <f t="shared" si="335"/>
        <v>0.23899999999999999</v>
      </c>
      <c r="CD99" s="608"/>
      <c r="CE99" s="608"/>
      <c r="CF99"/>
      <c r="CG99"/>
      <c r="CH99"/>
      <c r="CI99"/>
      <c r="CJ99"/>
      <c r="CK99"/>
      <c r="CL99"/>
      <c r="CM99"/>
      <c r="CN99"/>
    </row>
    <row r="100" spans="1:92" x14ac:dyDescent="0.2">
      <c r="B100" s="225" t="s">
        <v>476</v>
      </c>
      <c r="F100" s="608"/>
      <c r="G100" s="519">
        <f>[7]A.1!$G$43</f>
        <v>-0.72740000000000005</v>
      </c>
      <c r="H100" s="677">
        <f t="shared" ref="H100:I100" si="420">G100</f>
        <v>-0.72740000000000005</v>
      </c>
      <c r="I100" s="677">
        <f t="shared" si="420"/>
        <v>-0.72740000000000005</v>
      </c>
      <c r="J100" s="519">
        <f>[7]A.1!$I$43</f>
        <v>-0.6492</v>
      </c>
      <c r="K100" s="677">
        <f t="shared" si="337"/>
        <v>-0.6492</v>
      </c>
      <c r="L100" s="677">
        <f t="shared" si="338"/>
        <v>-0.6492</v>
      </c>
      <c r="M100" s="519">
        <f t="shared" ref="M100" si="421">+M94</f>
        <v>0</v>
      </c>
      <c r="N100" s="677">
        <f t="shared" si="340"/>
        <v>0</v>
      </c>
      <c r="O100" s="677">
        <f t="shared" si="341"/>
        <v>0</v>
      </c>
      <c r="P100" s="519">
        <f t="shared" ref="P100:CA100" si="422">+P94</f>
        <v>0</v>
      </c>
      <c r="Q100" s="677">
        <f t="shared" si="293"/>
        <v>0</v>
      </c>
      <c r="R100" s="677">
        <f t="shared" si="293"/>
        <v>0</v>
      </c>
      <c r="S100" s="519">
        <f t="shared" si="422"/>
        <v>0</v>
      </c>
      <c r="T100" s="677">
        <f t="shared" si="295"/>
        <v>0</v>
      </c>
      <c r="U100" s="677">
        <f t="shared" si="295"/>
        <v>0</v>
      </c>
      <c r="V100" s="519">
        <f t="shared" si="422"/>
        <v>0</v>
      </c>
      <c r="W100" s="677">
        <f t="shared" si="297"/>
        <v>0</v>
      </c>
      <c r="X100" s="677">
        <f t="shared" si="297"/>
        <v>0</v>
      </c>
      <c r="Y100" s="519">
        <f t="shared" si="422"/>
        <v>0</v>
      </c>
      <c r="Z100" s="677">
        <f t="shared" si="299"/>
        <v>0</v>
      </c>
      <c r="AA100" s="677">
        <f t="shared" si="299"/>
        <v>0</v>
      </c>
      <c r="AB100" s="519">
        <f t="shared" si="422"/>
        <v>0</v>
      </c>
      <c r="AC100" s="677">
        <f t="shared" si="301"/>
        <v>0</v>
      </c>
      <c r="AD100" s="677">
        <f t="shared" si="301"/>
        <v>0</v>
      </c>
      <c r="AE100" s="519">
        <f t="shared" si="422"/>
        <v>0</v>
      </c>
      <c r="AF100" s="677">
        <f t="shared" si="303"/>
        <v>0</v>
      </c>
      <c r="AG100" s="677">
        <f t="shared" si="303"/>
        <v>0</v>
      </c>
      <c r="AH100" s="519">
        <f t="shared" si="422"/>
        <v>0</v>
      </c>
      <c r="AI100" s="677">
        <f t="shared" si="305"/>
        <v>0</v>
      </c>
      <c r="AJ100" s="677">
        <f t="shared" si="305"/>
        <v>0</v>
      </c>
      <c r="AK100" s="519">
        <f t="shared" si="422"/>
        <v>0</v>
      </c>
      <c r="AL100" s="677">
        <f t="shared" si="307"/>
        <v>0</v>
      </c>
      <c r="AM100" s="677">
        <f t="shared" si="307"/>
        <v>0</v>
      </c>
      <c r="AN100" s="519">
        <f t="shared" si="422"/>
        <v>0</v>
      </c>
      <c r="AO100" s="677">
        <f t="shared" si="309"/>
        <v>0</v>
      </c>
      <c r="AP100" s="677">
        <f t="shared" si="309"/>
        <v>0</v>
      </c>
      <c r="AQ100" s="519">
        <f t="shared" si="422"/>
        <v>0</v>
      </c>
      <c r="AR100" s="677">
        <f t="shared" si="311"/>
        <v>0</v>
      </c>
      <c r="AS100" s="677">
        <f t="shared" si="311"/>
        <v>0</v>
      </c>
      <c r="AT100" s="519">
        <f t="shared" si="422"/>
        <v>0</v>
      </c>
      <c r="AU100" s="677">
        <f t="shared" si="313"/>
        <v>0</v>
      </c>
      <c r="AV100" s="677">
        <f t="shared" si="313"/>
        <v>0</v>
      </c>
      <c r="AW100" s="519">
        <f t="shared" si="422"/>
        <v>0</v>
      </c>
      <c r="AX100" s="677">
        <f t="shared" si="315"/>
        <v>0</v>
      </c>
      <c r="AY100" s="677">
        <f t="shared" si="315"/>
        <v>0</v>
      </c>
      <c r="AZ100" s="519">
        <f t="shared" si="422"/>
        <v>0</v>
      </c>
      <c r="BA100" s="677">
        <f t="shared" si="317"/>
        <v>0</v>
      </c>
      <c r="BB100" s="677">
        <f t="shared" si="317"/>
        <v>0</v>
      </c>
      <c r="BC100" s="519">
        <f t="shared" si="422"/>
        <v>0</v>
      </c>
      <c r="BD100" s="677">
        <f t="shared" si="319"/>
        <v>0</v>
      </c>
      <c r="BE100" s="677">
        <f t="shared" si="319"/>
        <v>0</v>
      </c>
      <c r="BF100" s="519">
        <f t="shared" si="422"/>
        <v>0</v>
      </c>
      <c r="BG100" s="677">
        <f t="shared" si="321"/>
        <v>0</v>
      </c>
      <c r="BH100" s="677">
        <f t="shared" si="321"/>
        <v>0</v>
      </c>
      <c r="BI100" s="519">
        <f t="shared" si="422"/>
        <v>0</v>
      </c>
      <c r="BJ100" s="677">
        <f t="shared" si="323"/>
        <v>0</v>
      </c>
      <c r="BK100" s="677">
        <f t="shared" si="323"/>
        <v>0</v>
      </c>
      <c r="BL100" s="519">
        <f t="shared" si="422"/>
        <v>0</v>
      </c>
      <c r="BM100" s="677">
        <f t="shared" si="325"/>
        <v>0</v>
      </c>
      <c r="BN100" s="677">
        <f t="shared" si="325"/>
        <v>0</v>
      </c>
      <c r="BO100" s="519">
        <f t="shared" si="422"/>
        <v>0</v>
      </c>
      <c r="BP100" s="677">
        <f t="shared" si="327"/>
        <v>0</v>
      </c>
      <c r="BQ100" s="677">
        <f t="shared" si="327"/>
        <v>0</v>
      </c>
      <c r="BR100" s="519">
        <f t="shared" si="422"/>
        <v>0</v>
      </c>
      <c r="BS100" s="677">
        <f t="shared" si="329"/>
        <v>0</v>
      </c>
      <c r="BT100" s="677">
        <f t="shared" si="329"/>
        <v>0</v>
      </c>
      <c r="BU100" s="519">
        <f t="shared" si="422"/>
        <v>0</v>
      </c>
      <c r="BV100" s="677">
        <f t="shared" si="331"/>
        <v>0</v>
      </c>
      <c r="BW100" s="677">
        <f t="shared" si="331"/>
        <v>0</v>
      </c>
      <c r="BX100" s="519">
        <f t="shared" si="422"/>
        <v>0</v>
      </c>
      <c r="BY100" s="677">
        <f t="shared" si="333"/>
        <v>0</v>
      </c>
      <c r="BZ100" s="677">
        <f t="shared" si="333"/>
        <v>0</v>
      </c>
      <c r="CA100" s="519">
        <f t="shared" si="422"/>
        <v>0</v>
      </c>
      <c r="CB100" s="677">
        <f t="shared" si="335"/>
        <v>0</v>
      </c>
      <c r="CC100" s="677">
        <f t="shared" si="335"/>
        <v>0</v>
      </c>
      <c r="CD100" s="608"/>
      <c r="CE100" s="676"/>
      <c r="CF100" s="242"/>
      <c r="CG100" s="242"/>
      <c r="CH100" s="242"/>
      <c r="CI100" s="242"/>
      <c r="CJ100" s="242"/>
      <c r="CK100" s="242"/>
    </row>
    <row r="101" spans="1:92" x14ac:dyDescent="0.2">
      <c r="B101" s="225" t="s">
        <v>471</v>
      </c>
      <c r="F101" s="608"/>
      <c r="G101" s="519"/>
      <c r="H101" s="677">
        <f t="shared" ref="H101:I101" si="423">G101</f>
        <v>0</v>
      </c>
      <c r="I101" s="677">
        <f t="shared" si="423"/>
        <v>0</v>
      </c>
      <c r="J101" s="519"/>
      <c r="K101" s="677">
        <f t="shared" si="337"/>
        <v>0</v>
      </c>
      <c r="L101" s="677">
        <f t="shared" si="338"/>
        <v>0</v>
      </c>
      <c r="M101" s="519">
        <f t="shared" ref="M101" si="424">+L101</f>
        <v>0</v>
      </c>
      <c r="N101" s="677">
        <f t="shared" si="340"/>
        <v>0</v>
      </c>
      <c r="O101" s="677">
        <f t="shared" si="341"/>
        <v>0</v>
      </c>
      <c r="P101" s="519">
        <f t="shared" ref="P101:P102" si="425">+O101</f>
        <v>0</v>
      </c>
      <c r="Q101" s="677">
        <f t="shared" si="293"/>
        <v>0</v>
      </c>
      <c r="R101" s="677">
        <f t="shared" si="293"/>
        <v>0</v>
      </c>
      <c r="S101" s="519">
        <f t="shared" ref="S101:S102" si="426">+R101</f>
        <v>0</v>
      </c>
      <c r="T101" s="677">
        <f t="shared" si="295"/>
        <v>0</v>
      </c>
      <c r="U101" s="677">
        <f t="shared" si="295"/>
        <v>0</v>
      </c>
      <c r="V101" s="519">
        <f t="shared" ref="V101:V102" si="427">+U101</f>
        <v>0</v>
      </c>
      <c r="W101" s="677">
        <f t="shared" si="297"/>
        <v>0</v>
      </c>
      <c r="X101" s="677">
        <f t="shared" si="297"/>
        <v>0</v>
      </c>
      <c r="Y101" s="519">
        <f t="shared" ref="Y101:Y102" si="428">+X101</f>
        <v>0</v>
      </c>
      <c r="Z101" s="677">
        <f t="shared" si="299"/>
        <v>0</v>
      </c>
      <c r="AA101" s="677">
        <f t="shared" si="299"/>
        <v>0</v>
      </c>
      <c r="AB101" s="519">
        <f t="shared" ref="AB101:AB102" si="429">+AA101</f>
        <v>0</v>
      </c>
      <c r="AC101" s="677">
        <f t="shared" si="301"/>
        <v>0</v>
      </c>
      <c r="AD101" s="677">
        <f t="shared" si="301"/>
        <v>0</v>
      </c>
      <c r="AE101" s="519">
        <f t="shared" ref="AE101:AE102" si="430">+AD101</f>
        <v>0</v>
      </c>
      <c r="AF101" s="677">
        <f t="shared" si="303"/>
        <v>0</v>
      </c>
      <c r="AG101" s="677">
        <f t="shared" si="303"/>
        <v>0</v>
      </c>
      <c r="AH101" s="519">
        <f t="shared" ref="AH101:AH102" si="431">+AG101</f>
        <v>0</v>
      </c>
      <c r="AI101" s="677">
        <f t="shared" si="305"/>
        <v>0</v>
      </c>
      <c r="AJ101" s="677">
        <f t="shared" si="305"/>
        <v>0</v>
      </c>
      <c r="AK101" s="519">
        <f t="shared" ref="AK101:AK102" si="432">+AJ101</f>
        <v>0</v>
      </c>
      <c r="AL101" s="677">
        <f t="shared" si="307"/>
        <v>0</v>
      </c>
      <c r="AM101" s="677">
        <f t="shared" si="307"/>
        <v>0</v>
      </c>
      <c r="AN101" s="519">
        <f t="shared" ref="AN101:AN102" si="433">+AM101</f>
        <v>0</v>
      </c>
      <c r="AO101" s="677">
        <f t="shared" si="309"/>
        <v>0</v>
      </c>
      <c r="AP101" s="677">
        <f t="shared" si="309"/>
        <v>0</v>
      </c>
      <c r="AQ101" s="519">
        <f t="shared" ref="AQ101:AQ102" si="434">+AP101</f>
        <v>0</v>
      </c>
      <c r="AR101" s="677">
        <f t="shared" si="311"/>
        <v>0</v>
      </c>
      <c r="AS101" s="677">
        <f t="shared" si="311"/>
        <v>0</v>
      </c>
      <c r="AT101" s="519">
        <f t="shared" ref="AT101:AT102" si="435">+AS101</f>
        <v>0</v>
      </c>
      <c r="AU101" s="677">
        <f t="shared" si="313"/>
        <v>0</v>
      </c>
      <c r="AV101" s="677">
        <f t="shared" si="313"/>
        <v>0</v>
      </c>
      <c r="AW101" s="519">
        <f t="shared" ref="AW101:AW102" si="436">+AV101</f>
        <v>0</v>
      </c>
      <c r="AX101" s="677">
        <f t="shared" si="315"/>
        <v>0</v>
      </c>
      <c r="AY101" s="677">
        <f t="shared" si="315"/>
        <v>0</v>
      </c>
      <c r="AZ101" s="519">
        <f t="shared" ref="AZ101:AZ102" si="437">+AY101</f>
        <v>0</v>
      </c>
      <c r="BA101" s="677">
        <f t="shared" si="317"/>
        <v>0</v>
      </c>
      <c r="BB101" s="677">
        <f t="shared" si="317"/>
        <v>0</v>
      </c>
      <c r="BC101" s="519">
        <f t="shared" ref="BC101:BC102" si="438">+BB101</f>
        <v>0</v>
      </c>
      <c r="BD101" s="677">
        <f t="shared" si="319"/>
        <v>0</v>
      </c>
      <c r="BE101" s="677">
        <f t="shared" si="319"/>
        <v>0</v>
      </c>
      <c r="BF101" s="519">
        <f t="shared" ref="BF101:BF102" si="439">+BE101</f>
        <v>0</v>
      </c>
      <c r="BG101" s="677">
        <f t="shared" si="321"/>
        <v>0</v>
      </c>
      <c r="BH101" s="677">
        <f t="shared" si="321"/>
        <v>0</v>
      </c>
      <c r="BI101" s="519">
        <f t="shared" ref="BI101:BI102" si="440">+BH101</f>
        <v>0</v>
      </c>
      <c r="BJ101" s="677">
        <f t="shared" si="323"/>
        <v>0</v>
      </c>
      <c r="BK101" s="677">
        <f t="shared" si="323"/>
        <v>0</v>
      </c>
      <c r="BL101" s="519">
        <f t="shared" ref="BL101:BL102" si="441">+BK101</f>
        <v>0</v>
      </c>
      <c r="BM101" s="677">
        <f t="shared" si="325"/>
        <v>0</v>
      </c>
      <c r="BN101" s="677">
        <f t="shared" si="325"/>
        <v>0</v>
      </c>
      <c r="BO101" s="519">
        <f t="shared" ref="BO101:BO102" si="442">+BN101</f>
        <v>0</v>
      </c>
      <c r="BP101" s="677">
        <f t="shared" si="327"/>
        <v>0</v>
      </c>
      <c r="BQ101" s="677">
        <f t="shared" si="327"/>
        <v>0</v>
      </c>
      <c r="BR101" s="519">
        <f t="shared" ref="BR101:BR102" si="443">+BQ101</f>
        <v>0</v>
      </c>
      <c r="BS101" s="677">
        <f t="shared" si="329"/>
        <v>0</v>
      </c>
      <c r="BT101" s="677">
        <f t="shared" si="329"/>
        <v>0</v>
      </c>
      <c r="BU101" s="519">
        <f t="shared" ref="BU101:BU102" si="444">+BT101</f>
        <v>0</v>
      </c>
      <c r="BV101" s="677">
        <f t="shared" si="331"/>
        <v>0</v>
      </c>
      <c r="BW101" s="677">
        <f t="shared" si="331"/>
        <v>0</v>
      </c>
      <c r="BX101" s="519">
        <f t="shared" ref="BX101:BX102" si="445">+BW101</f>
        <v>0</v>
      </c>
      <c r="BY101" s="677">
        <f t="shared" si="333"/>
        <v>0</v>
      </c>
      <c r="BZ101" s="677">
        <f t="shared" si="333"/>
        <v>0</v>
      </c>
      <c r="CA101" s="519">
        <f t="shared" ref="CA101:CA102" si="446">+BZ101</f>
        <v>0</v>
      </c>
      <c r="CB101" s="677">
        <f t="shared" si="335"/>
        <v>0</v>
      </c>
      <c r="CC101" s="677">
        <f t="shared" si="335"/>
        <v>0</v>
      </c>
      <c r="CD101" s="608"/>
      <c r="CE101" s="676"/>
      <c r="CF101" s="242"/>
      <c r="CG101" s="242"/>
      <c r="CH101" s="242"/>
      <c r="CI101" s="242"/>
      <c r="CJ101" s="242"/>
      <c r="CK101" s="242"/>
    </row>
    <row r="102" spans="1:92" x14ac:dyDescent="0.2">
      <c r="B102" s="225" t="s">
        <v>472</v>
      </c>
      <c r="F102" s="608"/>
      <c r="G102" s="519">
        <f>G96</f>
        <v>0.1527</v>
      </c>
      <c r="H102" s="677">
        <f t="shared" ref="H102:I102" si="447">G102</f>
        <v>0.1527</v>
      </c>
      <c r="I102" s="677">
        <f t="shared" si="447"/>
        <v>0.1527</v>
      </c>
      <c r="J102" s="519">
        <f>J96</f>
        <v>0.15266676071712265</v>
      </c>
      <c r="K102" s="677">
        <f t="shared" si="337"/>
        <v>0.15266676071712265</v>
      </c>
      <c r="L102" s="677">
        <f t="shared" si="338"/>
        <v>0.15266676071712265</v>
      </c>
      <c r="M102" s="519">
        <f t="shared" ref="M102" si="448">+L102</f>
        <v>0.15266676071712265</v>
      </c>
      <c r="N102" s="677">
        <f t="shared" si="340"/>
        <v>0.15266676071712265</v>
      </c>
      <c r="O102" s="677">
        <f t="shared" si="341"/>
        <v>0.15266676071712265</v>
      </c>
      <c r="P102" s="519">
        <f t="shared" si="425"/>
        <v>0.15266676071712265</v>
      </c>
      <c r="Q102" s="677">
        <f t="shared" si="293"/>
        <v>0.15266676071712265</v>
      </c>
      <c r="R102" s="677">
        <f t="shared" si="293"/>
        <v>0.15266676071712265</v>
      </c>
      <c r="S102" s="519">
        <f t="shared" si="426"/>
        <v>0.15266676071712265</v>
      </c>
      <c r="T102" s="677">
        <f t="shared" si="295"/>
        <v>0.15266676071712265</v>
      </c>
      <c r="U102" s="677">
        <f t="shared" si="295"/>
        <v>0.15266676071712265</v>
      </c>
      <c r="V102" s="519">
        <f t="shared" si="427"/>
        <v>0.15266676071712265</v>
      </c>
      <c r="W102" s="677">
        <f t="shared" si="297"/>
        <v>0.15266676071712265</v>
      </c>
      <c r="X102" s="677">
        <f t="shared" si="297"/>
        <v>0.15266676071712265</v>
      </c>
      <c r="Y102" s="519">
        <f t="shared" si="428"/>
        <v>0.15266676071712265</v>
      </c>
      <c r="Z102" s="677">
        <f t="shared" si="299"/>
        <v>0.15266676071712265</v>
      </c>
      <c r="AA102" s="677">
        <f t="shared" si="299"/>
        <v>0.15266676071712265</v>
      </c>
      <c r="AB102" s="519">
        <f t="shared" si="429"/>
        <v>0.15266676071712265</v>
      </c>
      <c r="AC102" s="677">
        <f t="shared" si="301"/>
        <v>0.15266676071712265</v>
      </c>
      <c r="AD102" s="677">
        <f t="shared" si="301"/>
        <v>0.15266676071712265</v>
      </c>
      <c r="AE102" s="519">
        <f t="shared" si="430"/>
        <v>0.15266676071712265</v>
      </c>
      <c r="AF102" s="677">
        <f t="shared" si="303"/>
        <v>0.15266676071712265</v>
      </c>
      <c r="AG102" s="677">
        <f t="shared" si="303"/>
        <v>0.15266676071712265</v>
      </c>
      <c r="AH102" s="519">
        <f t="shared" si="431"/>
        <v>0.15266676071712265</v>
      </c>
      <c r="AI102" s="677">
        <f t="shared" si="305"/>
        <v>0.15266676071712265</v>
      </c>
      <c r="AJ102" s="677">
        <f t="shared" si="305"/>
        <v>0.15266676071712265</v>
      </c>
      <c r="AK102" s="519">
        <f t="shared" si="432"/>
        <v>0.15266676071712265</v>
      </c>
      <c r="AL102" s="677">
        <f t="shared" si="307"/>
        <v>0.15266676071712265</v>
      </c>
      <c r="AM102" s="677">
        <f t="shared" si="307"/>
        <v>0.15266676071712265</v>
      </c>
      <c r="AN102" s="519">
        <f t="shared" si="433"/>
        <v>0.15266676071712265</v>
      </c>
      <c r="AO102" s="677">
        <f t="shared" si="309"/>
        <v>0.15266676071712265</v>
      </c>
      <c r="AP102" s="677">
        <f t="shared" si="309"/>
        <v>0.15266676071712265</v>
      </c>
      <c r="AQ102" s="519">
        <f t="shared" si="434"/>
        <v>0.15266676071712265</v>
      </c>
      <c r="AR102" s="677">
        <f t="shared" si="311"/>
        <v>0.15266676071712265</v>
      </c>
      <c r="AS102" s="677">
        <f t="shared" si="311"/>
        <v>0.15266676071712265</v>
      </c>
      <c r="AT102" s="519">
        <f t="shared" si="435"/>
        <v>0.15266676071712265</v>
      </c>
      <c r="AU102" s="677">
        <f t="shared" si="313"/>
        <v>0.15266676071712265</v>
      </c>
      <c r="AV102" s="677">
        <f t="shared" si="313"/>
        <v>0.15266676071712265</v>
      </c>
      <c r="AW102" s="519">
        <f t="shared" si="436"/>
        <v>0.15266676071712265</v>
      </c>
      <c r="AX102" s="677">
        <f t="shared" si="315"/>
        <v>0.15266676071712265</v>
      </c>
      <c r="AY102" s="677">
        <f t="shared" si="315"/>
        <v>0.15266676071712265</v>
      </c>
      <c r="AZ102" s="519">
        <f t="shared" si="437"/>
        <v>0.15266676071712265</v>
      </c>
      <c r="BA102" s="677">
        <f t="shared" si="317"/>
        <v>0.15266676071712265</v>
      </c>
      <c r="BB102" s="677">
        <f t="shared" si="317"/>
        <v>0.15266676071712265</v>
      </c>
      <c r="BC102" s="519">
        <f t="shared" si="438"/>
        <v>0.15266676071712265</v>
      </c>
      <c r="BD102" s="677">
        <f t="shared" si="319"/>
        <v>0.15266676071712265</v>
      </c>
      <c r="BE102" s="677">
        <f t="shared" si="319"/>
        <v>0.15266676071712265</v>
      </c>
      <c r="BF102" s="519">
        <f t="shared" si="439"/>
        <v>0.15266676071712265</v>
      </c>
      <c r="BG102" s="677">
        <f t="shared" si="321"/>
        <v>0.15266676071712265</v>
      </c>
      <c r="BH102" s="677">
        <f t="shared" si="321"/>
        <v>0.15266676071712265</v>
      </c>
      <c r="BI102" s="519">
        <f t="shared" si="440"/>
        <v>0.15266676071712265</v>
      </c>
      <c r="BJ102" s="677">
        <f t="shared" si="323"/>
        <v>0.15266676071712265</v>
      </c>
      <c r="BK102" s="677">
        <f t="shared" si="323"/>
        <v>0.15266676071712265</v>
      </c>
      <c r="BL102" s="519">
        <f t="shared" si="441"/>
        <v>0.15266676071712265</v>
      </c>
      <c r="BM102" s="677">
        <f t="shared" si="325"/>
        <v>0.15266676071712265</v>
      </c>
      <c r="BN102" s="677">
        <f t="shared" si="325"/>
        <v>0.15266676071712265</v>
      </c>
      <c r="BO102" s="519">
        <f t="shared" si="442"/>
        <v>0.15266676071712265</v>
      </c>
      <c r="BP102" s="677">
        <f t="shared" si="327"/>
        <v>0.15266676071712265</v>
      </c>
      <c r="BQ102" s="677">
        <f t="shared" si="327"/>
        <v>0.15266676071712265</v>
      </c>
      <c r="BR102" s="519">
        <f t="shared" si="443"/>
        <v>0.15266676071712265</v>
      </c>
      <c r="BS102" s="677">
        <f t="shared" si="329"/>
        <v>0.15266676071712265</v>
      </c>
      <c r="BT102" s="677">
        <f t="shared" si="329"/>
        <v>0.15266676071712265</v>
      </c>
      <c r="BU102" s="519">
        <f t="shared" si="444"/>
        <v>0.15266676071712265</v>
      </c>
      <c r="BV102" s="677">
        <f t="shared" si="331"/>
        <v>0.15266676071712265</v>
      </c>
      <c r="BW102" s="677">
        <f t="shared" si="331"/>
        <v>0.15266676071712265</v>
      </c>
      <c r="BX102" s="519">
        <f t="shared" si="445"/>
        <v>0.15266676071712265</v>
      </c>
      <c r="BY102" s="677">
        <f t="shared" si="333"/>
        <v>0.15266676071712265</v>
      </c>
      <c r="BZ102" s="677">
        <f t="shared" si="333"/>
        <v>0.15266676071712265</v>
      </c>
      <c r="CA102" s="519">
        <f t="shared" si="446"/>
        <v>0.15266676071712265</v>
      </c>
      <c r="CB102" s="677">
        <f t="shared" si="335"/>
        <v>0.15266676071712265</v>
      </c>
      <c r="CC102" s="677">
        <f t="shared" si="335"/>
        <v>0.15266676071712265</v>
      </c>
      <c r="CD102" s="608"/>
      <c r="CE102" s="676"/>
      <c r="CF102" s="242"/>
      <c r="CG102" s="242"/>
      <c r="CH102" s="242"/>
      <c r="CI102" s="242"/>
      <c r="CJ102" s="242"/>
      <c r="CK102" s="242"/>
    </row>
    <row r="103" spans="1:92" ht="13.5" thickBot="1" x14ac:dyDescent="0.25">
      <c r="B103" s="225" t="s">
        <v>477</v>
      </c>
      <c r="F103" s="608"/>
      <c r="G103" s="521">
        <f>SUM(G98:G102)</f>
        <v>2.9023999999999996</v>
      </c>
      <c r="H103" s="678">
        <f t="shared" ref="H103:I103" si="449">G103</f>
        <v>2.9023999999999996</v>
      </c>
      <c r="I103" s="678">
        <f t="shared" si="449"/>
        <v>2.9023999999999996</v>
      </c>
      <c r="J103" s="521">
        <f>SUM(J98:J102)</f>
        <v>3.0172667607171224</v>
      </c>
      <c r="K103" s="678">
        <f t="shared" si="337"/>
        <v>3.0172667607171224</v>
      </c>
      <c r="L103" s="678">
        <f t="shared" si="338"/>
        <v>3.0172667607171224</v>
      </c>
      <c r="M103" s="521">
        <f>+M98+M99+M100+M101+M102</f>
        <v>3.2165662063521663</v>
      </c>
      <c r="N103" s="678">
        <f t="shared" si="340"/>
        <v>3.2165662063521663</v>
      </c>
      <c r="O103" s="678">
        <f t="shared" si="341"/>
        <v>3.2165662063521663</v>
      </c>
      <c r="P103" s="521">
        <f t="shared" ref="P103" si="450">+P98+P99+P100+P101+P102</f>
        <v>3.3005671029755894</v>
      </c>
      <c r="Q103" s="678">
        <f t="shared" si="293"/>
        <v>3.3005671029755894</v>
      </c>
      <c r="R103" s="678">
        <f t="shared" si="293"/>
        <v>3.3005671029755894</v>
      </c>
      <c r="S103" s="521">
        <f t="shared" ref="S103" si="451">+S98+S99+S100+S101+S102</f>
        <v>3.3329920396898256</v>
      </c>
      <c r="T103" s="678">
        <f t="shared" si="295"/>
        <v>3.3329920396898256</v>
      </c>
      <c r="U103" s="678">
        <f t="shared" si="295"/>
        <v>3.3329920396898256</v>
      </c>
      <c r="V103" s="521">
        <f t="shared" ref="V103" si="452">+V98+V99+V100+V101+V102</f>
        <v>3.2799670382500326</v>
      </c>
      <c r="W103" s="678">
        <f t="shared" si="297"/>
        <v>3.2799670382500326</v>
      </c>
      <c r="X103" s="678">
        <f t="shared" si="297"/>
        <v>3.2799670382500326</v>
      </c>
      <c r="Y103" s="521">
        <f t="shared" ref="Y103" si="453">+Y98+Y99+Y100+Y101+Y102</f>
        <v>3.284091890325727</v>
      </c>
      <c r="Z103" s="678">
        <f t="shared" si="299"/>
        <v>3.284091890325727</v>
      </c>
      <c r="AA103" s="678">
        <f t="shared" si="299"/>
        <v>3.284091890325727</v>
      </c>
      <c r="AB103" s="521">
        <f t="shared" ref="AB103" si="454">+AB98+AB99+AB100+AB101+AB102</f>
        <v>3.560377723087385</v>
      </c>
      <c r="AC103" s="678">
        <f t="shared" si="301"/>
        <v>3.560377723087385</v>
      </c>
      <c r="AD103" s="678">
        <f t="shared" si="301"/>
        <v>3.560377723087385</v>
      </c>
      <c r="AE103" s="521">
        <f t="shared" ref="AE103" si="455">+AE98+AE99+AE100+AE101+AE102</f>
        <v>3.5783781155301826</v>
      </c>
      <c r="AF103" s="678">
        <f t="shared" si="303"/>
        <v>3.5783781155301826</v>
      </c>
      <c r="AG103" s="678">
        <f t="shared" si="303"/>
        <v>3.5783781155301826</v>
      </c>
      <c r="AH103" s="521">
        <f t="shared" ref="AH103" si="456">+AH98+AH99+AH100+AH101+AH102</f>
        <v>3.4523565485617471</v>
      </c>
      <c r="AI103" s="678">
        <f t="shared" si="305"/>
        <v>3.4523565485617471</v>
      </c>
      <c r="AJ103" s="678">
        <f t="shared" si="305"/>
        <v>3.4523565485617471</v>
      </c>
      <c r="AK103" s="521">
        <f t="shared" ref="AK103" si="457">+AK98+AK99+AK100+AK101+AK102</f>
        <v>3.4303883946976605</v>
      </c>
      <c r="AL103" s="678">
        <f t="shared" si="307"/>
        <v>3.4303883946976605</v>
      </c>
      <c r="AM103" s="678">
        <f t="shared" si="307"/>
        <v>3.4303883946976605</v>
      </c>
      <c r="AN103" s="521">
        <f t="shared" ref="AN103" si="458">+AN98+AN99+AN100+AN101+AN102</f>
        <v>3.647277085256392</v>
      </c>
      <c r="AO103" s="678">
        <f t="shared" si="309"/>
        <v>3.647277085256392</v>
      </c>
      <c r="AP103" s="678">
        <f t="shared" si="309"/>
        <v>3.647277085256392</v>
      </c>
      <c r="AQ103" s="521">
        <f t="shared" ref="AQ103" si="459">+AQ98+AQ99+AQ100+AQ101+AQ102</f>
        <v>3.6509067690988428</v>
      </c>
      <c r="AR103" s="678">
        <f t="shared" si="311"/>
        <v>3.6509067690988428</v>
      </c>
      <c r="AS103" s="678">
        <f t="shared" si="311"/>
        <v>3.6509067690988428</v>
      </c>
      <c r="AT103" s="521">
        <f t="shared" ref="AT103" si="460">+AT98+AT99+AT100+AT101+AT102</f>
        <v>3.542762114098295</v>
      </c>
      <c r="AU103" s="678">
        <f t="shared" si="313"/>
        <v>3.542762114098295</v>
      </c>
      <c r="AV103" s="678">
        <f t="shared" si="313"/>
        <v>3.542762114098295</v>
      </c>
      <c r="AW103" s="521">
        <f t="shared" ref="AW103" si="461">+AW98+AW99+AW100+AW101+AW102</f>
        <v>3.5263055196095574</v>
      </c>
      <c r="AX103" s="678">
        <f t="shared" si="315"/>
        <v>3.5263055196095574</v>
      </c>
      <c r="AY103" s="678">
        <f t="shared" si="315"/>
        <v>3.5263055196095574</v>
      </c>
      <c r="AZ103" s="521">
        <f t="shared" ref="AZ103" si="462">+AZ98+AZ99+AZ100+AZ101+AZ102</f>
        <v>3.7379949166808384</v>
      </c>
      <c r="BA103" s="678">
        <f t="shared" si="317"/>
        <v>3.7379949166808384</v>
      </c>
      <c r="BB103" s="678">
        <f t="shared" si="317"/>
        <v>3.7379949166808384</v>
      </c>
      <c r="BC103" s="521">
        <f t="shared" ref="BC103" si="463">+BC98+BC99+BC100+BC101+BC102</f>
        <v>3.7449497124435989</v>
      </c>
      <c r="BD103" s="678">
        <f t="shared" si="319"/>
        <v>3.7449497124435989</v>
      </c>
      <c r="BE103" s="678">
        <f t="shared" si="319"/>
        <v>3.7449497124435989</v>
      </c>
      <c r="BF103" s="521">
        <f t="shared" ref="BF103" si="464">+BF98+BF99+BF100+BF101+BF102</f>
        <v>3.6510378335550535</v>
      </c>
      <c r="BG103" s="678">
        <f t="shared" si="321"/>
        <v>3.6510378335550535</v>
      </c>
      <c r="BH103" s="678">
        <f t="shared" si="321"/>
        <v>3.6510378335550535</v>
      </c>
      <c r="BI103" s="521">
        <f t="shared" ref="BI103" si="465">+BI98+BI99+BI100+BI101+BI102</f>
        <v>3.6388630065552392</v>
      </c>
      <c r="BJ103" s="678">
        <f t="shared" si="323"/>
        <v>3.6388630065552392</v>
      </c>
      <c r="BK103" s="678">
        <f t="shared" si="323"/>
        <v>3.6388630065552392</v>
      </c>
      <c r="BL103" s="521">
        <f t="shared" ref="BL103" si="466">+BL98+BL99+BL100+BL101+BL102</f>
        <v>3.8622356342589863</v>
      </c>
      <c r="BM103" s="678">
        <f t="shared" si="325"/>
        <v>3.8622356342589863</v>
      </c>
      <c r="BN103" s="678">
        <f t="shared" si="325"/>
        <v>3.8622356342589863</v>
      </c>
      <c r="BO103" s="521">
        <f t="shared" ref="BO103" si="467">+BO98+BO99+BO100+BO101+BO102</f>
        <v>3.8786699965239495</v>
      </c>
      <c r="BP103" s="678">
        <f t="shared" si="327"/>
        <v>3.8786699965239495</v>
      </c>
      <c r="BQ103" s="678">
        <f t="shared" si="327"/>
        <v>3.8786699965239495</v>
      </c>
      <c r="BR103" s="521">
        <f t="shared" ref="BR103" si="468">+BR98+BR99+BR100+BR101+BR102</f>
        <v>3.7881085004683928</v>
      </c>
      <c r="BS103" s="678">
        <f t="shared" si="329"/>
        <v>3.7881085004683928</v>
      </c>
      <c r="BT103" s="678">
        <f t="shared" si="329"/>
        <v>3.7881085004683928</v>
      </c>
      <c r="BU103" s="521">
        <f t="shared" ref="BU103" si="469">+BU98+BU99+BU100+BU101+BU102</f>
        <v>3.7773297881129806</v>
      </c>
      <c r="BV103" s="678">
        <f t="shared" si="331"/>
        <v>3.7773297881129806</v>
      </c>
      <c r="BW103" s="678">
        <f t="shared" si="331"/>
        <v>3.7773297881129806</v>
      </c>
      <c r="BX103" s="521">
        <f t="shared" ref="BX103" si="470">+BX98+BX99+BX100+BX101+BX102</f>
        <v>4.0119017633506733</v>
      </c>
      <c r="BY103" s="678">
        <f t="shared" si="333"/>
        <v>4.0119017633506733</v>
      </c>
      <c r="BZ103" s="678">
        <f t="shared" si="333"/>
        <v>4.0119017633506733</v>
      </c>
      <c r="CA103" s="521">
        <f t="shared" ref="CA103" si="471">+CA98+CA99+CA100+CA101+CA102</f>
        <v>4.0418633096195107</v>
      </c>
      <c r="CB103" s="678">
        <f t="shared" si="335"/>
        <v>4.0418633096195107</v>
      </c>
      <c r="CC103" s="678">
        <f t="shared" si="335"/>
        <v>4.0418633096195107</v>
      </c>
      <c r="CD103" s="608"/>
      <c r="CE103" s="679"/>
      <c r="CF103" s="243"/>
      <c r="CG103" s="243"/>
      <c r="CH103" s="243"/>
      <c r="CI103" s="243"/>
      <c r="CJ103" s="243"/>
      <c r="CK103" s="243"/>
    </row>
    <row r="104" spans="1:92" x14ac:dyDescent="0.2">
      <c r="F104" s="608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</row>
    <row r="105" spans="1:92" x14ac:dyDescent="0.2"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25"/>
      <c r="BU105" s="225"/>
      <c r="BV105" s="225"/>
      <c r="BW105" s="225"/>
      <c r="BX105" s="225"/>
      <c r="BY105" s="225"/>
      <c r="BZ105" s="225"/>
      <c r="CA105" s="225"/>
      <c r="CB105" s="225"/>
      <c r="CC105" s="225"/>
      <c r="CD105" s="225"/>
      <c r="CE105" s="225"/>
    </row>
    <row r="106" spans="1:92" x14ac:dyDescent="0.2"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5"/>
      <c r="BN106" s="225"/>
      <c r="BO106" s="225"/>
      <c r="BP106" s="225"/>
      <c r="BQ106" s="225"/>
      <c r="BR106" s="225"/>
      <c r="BS106" s="225"/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</row>
    <row r="107" spans="1:92" x14ac:dyDescent="0.2">
      <c r="B107" s="225" t="s">
        <v>478</v>
      </c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225"/>
      <c r="BS107" s="225"/>
      <c r="BT107" s="225"/>
      <c r="BU107" s="225"/>
      <c r="BV107" s="225"/>
      <c r="BW107" s="225"/>
      <c r="BX107" s="225"/>
      <c r="BY107" s="225"/>
      <c r="BZ107" s="225"/>
      <c r="CA107" s="225"/>
      <c r="CB107" s="225"/>
      <c r="CC107" s="225"/>
      <c r="CD107" s="225"/>
      <c r="CE107" s="225"/>
    </row>
    <row r="108" spans="1:92" x14ac:dyDescent="0.2">
      <c r="A108" s="680">
        <f>+A35</f>
        <v>2.3199999999999998E-2</v>
      </c>
      <c r="B108" s="225" t="s">
        <v>533</v>
      </c>
      <c r="H108" s="225"/>
      <c r="I108" s="225"/>
      <c r="J108" s="232">
        <f t="shared" ref="J108:N108" si="472">+((1/(1-$A$108))-1)*J32</f>
        <v>9.8946764946764618E-2</v>
      </c>
      <c r="K108" s="232">
        <f t="shared" si="472"/>
        <v>0.10236691236691201</v>
      </c>
      <c r="L108" s="232">
        <f t="shared" si="472"/>
        <v>0.10462325962325927</v>
      </c>
      <c r="M108" s="232">
        <f t="shared" si="472"/>
        <v>0.10362571662571628</v>
      </c>
      <c r="N108" s="232">
        <f t="shared" si="472"/>
        <v>0.10248566748566715</v>
      </c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25"/>
      <c r="AA108" s="232"/>
      <c r="AB108" s="232"/>
      <c r="AC108" s="232"/>
      <c r="AD108" s="232"/>
      <c r="AE108" s="232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5"/>
      <c r="BN108" s="225"/>
      <c r="BO108" s="225"/>
      <c r="BP108" s="225"/>
      <c r="BQ108" s="225"/>
      <c r="BR108" s="225"/>
      <c r="BS108" s="225"/>
      <c r="BT108" s="225"/>
      <c r="BU108" s="225"/>
      <c r="BV108" s="225"/>
      <c r="BW108" s="225"/>
      <c r="BX108" s="225"/>
      <c r="BY108" s="225"/>
      <c r="BZ108" s="225"/>
      <c r="CA108" s="225"/>
      <c r="CB108" s="225"/>
      <c r="CC108" s="225"/>
      <c r="CD108" s="225"/>
      <c r="CE108" s="225"/>
    </row>
    <row r="109" spans="1:92" x14ac:dyDescent="0.2"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225"/>
      <c r="BF109" s="225"/>
      <c r="BG109" s="225"/>
      <c r="BH109" s="225"/>
      <c r="BI109" s="225"/>
      <c r="BJ109" s="225"/>
      <c r="BK109" s="225"/>
      <c r="BL109" s="225"/>
      <c r="BM109" s="225"/>
      <c r="BN109" s="225"/>
      <c r="BO109" s="225"/>
      <c r="BP109" s="225"/>
      <c r="BQ109" s="225"/>
      <c r="BR109" s="225"/>
      <c r="BS109" s="225"/>
      <c r="BT109" s="225"/>
      <c r="BU109" s="225"/>
      <c r="BV109" s="225"/>
      <c r="BW109" s="225"/>
      <c r="BX109" s="225"/>
      <c r="BY109" s="225"/>
      <c r="BZ109" s="225"/>
      <c r="CA109" s="225"/>
      <c r="CB109" s="225"/>
      <c r="CC109" s="225"/>
      <c r="CD109" s="225"/>
      <c r="CE109" s="225"/>
    </row>
    <row r="110" spans="1:92" x14ac:dyDescent="0.2">
      <c r="A110" s="681" t="s">
        <v>479</v>
      </c>
      <c r="B110" s="225" t="s">
        <v>435</v>
      </c>
      <c r="H110" s="225"/>
      <c r="I110" s="225"/>
      <c r="J110" s="232">
        <f t="shared" ref="J110:N110" si="473">+J36</f>
        <v>4.7450000000000006E-2</v>
      </c>
      <c r="K110" s="232">
        <f t="shared" si="473"/>
        <v>4.7450000000000006E-2</v>
      </c>
      <c r="L110" s="232">
        <f t="shared" si="473"/>
        <v>4.7450000000000006E-2</v>
      </c>
      <c r="M110" s="232">
        <f t="shared" si="473"/>
        <v>4.7450000000000006E-2</v>
      </c>
      <c r="N110" s="232">
        <f t="shared" si="473"/>
        <v>4.7450000000000006E-2</v>
      </c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25"/>
      <c r="AA110" s="232"/>
      <c r="AB110" s="232"/>
      <c r="AC110" s="232"/>
      <c r="AD110" s="232"/>
      <c r="AE110" s="232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25"/>
      <c r="AR110" s="225"/>
      <c r="AS110" s="225"/>
      <c r="AT110" s="225"/>
      <c r="AU110" s="225"/>
      <c r="AV110" s="225"/>
      <c r="AW110" s="225"/>
      <c r="AX110" s="225"/>
      <c r="AY110" s="225"/>
      <c r="AZ110" s="225"/>
      <c r="BA110" s="225"/>
      <c r="BB110" s="225"/>
      <c r="BC110" s="225"/>
      <c r="BD110" s="225"/>
      <c r="BE110" s="225"/>
      <c r="BF110" s="225"/>
      <c r="BG110" s="225"/>
      <c r="BH110" s="225"/>
      <c r="BI110" s="225"/>
      <c r="BJ110" s="225"/>
      <c r="BK110" s="225"/>
      <c r="BL110" s="225"/>
      <c r="BM110" s="225"/>
      <c r="BN110" s="225"/>
      <c r="BO110" s="225"/>
      <c r="BP110" s="225"/>
      <c r="BQ110" s="225"/>
      <c r="BR110" s="225"/>
      <c r="BS110" s="225"/>
      <c r="BT110" s="225"/>
      <c r="BU110" s="225"/>
      <c r="BV110" s="225"/>
      <c r="BW110" s="225"/>
      <c r="BX110" s="225"/>
      <c r="BY110" s="225"/>
      <c r="BZ110" s="225"/>
      <c r="CA110" s="225"/>
      <c r="CB110" s="225"/>
      <c r="CC110" s="225"/>
      <c r="CD110" s="225"/>
      <c r="CE110" s="225"/>
    </row>
    <row r="111" spans="1:92" x14ac:dyDescent="0.2"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5"/>
      <c r="AI111" s="225"/>
      <c r="AJ111" s="225"/>
      <c r="AK111" s="225"/>
      <c r="AL111" s="225"/>
      <c r="AM111" s="225"/>
      <c r="AN111" s="225"/>
      <c r="AO111" s="225"/>
      <c r="AP111" s="225"/>
      <c r="AQ111" s="225"/>
      <c r="AR111" s="225"/>
      <c r="AS111" s="225"/>
      <c r="AT111" s="225"/>
      <c r="AU111" s="225"/>
      <c r="AV111" s="225"/>
      <c r="AW111" s="225"/>
      <c r="AX111" s="225"/>
      <c r="AY111" s="225"/>
      <c r="AZ111" s="225"/>
      <c r="BA111" s="225"/>
      <c r="BB111" s="225"/>
      <c r="BC111" s="225"/>
      <c r="BD111" s="225"/>
      <c r="BE111" s="225"/>
      <c r="BF111" s="225"/>
      <c r="BG111" s="225"/>
      <c r="BH111" s="225"/>
      <c r="BI111" s="225"/>
      <c r="BJ111" s="225"/>
      <c r="BK111" s="225"/>
      <c r="BL111" s="225"/>
      <c r="BM111" s="225"/>
      <c r="BN111" s="225"/>
      <c r="BO111" s="225"/>
      <c r="BP111" s="225"/>
      <c r="BQ111" s="225"/>
      <c r="BR111" s="225"/>
      <c r="BS111" s="225"/>
      <c r="BT111" s="225"/>
      <c r="BU111" s="225"/>
      <c r="BV111" s="225"/>
      <c r="BW111" s="225"/>
      <c r="BX111" s="225"/>
      <c r="BY111" s="225"/>
      <c r="BZ111" s="225"/>
      <c r="CA111" s="225"/>
      <c r="CB111" s="225"/>
      <c r="CC111" s="225"/>
      <c r="CD111" s="225"/>
      <c r="CE111" s="225"/>
    </row>
    <row r="112" spans="1:92" x14ac:dyDescent="0.2">
      <c r="A112" s="225">
        <v>1</v>
      </c>
      <c r="B112" s="225" t="s">
        <v>480</v>
      </c>
      <c r="H112" s="225"/>
      <c r="I112" s="225"/>
      <c r="J112" s="675">
        <f>+J32+J108+J110</f>
        <v>4.3123967649467652</v>
      </c>
      <c r="K112" s="675">
        <f t="shared" ref="K112:N112" si="474">+K32+K108+K110</f>
        <v>4.4598169123669118</v>
      </c>
      <c r="L112" s="675">
        <f t="shared" si="474"/>
        <v>4.5570732596232597</v>
      </c>
      <c r="M112" s="675">
        <f t="shared" si="474"/>
        <v>4.514075716625717</v>
      </c>
      <c r="N112" s="675">
        <f t="shared" si="474"/>
        <v>4.4649356674856682</v>
      </c>
      <c r="O112" s="675"/>
      <c r="P112" s="675"/>
      <c r="Q112" s="675"/>
      <c r="R112" s="675"/>
      <c r="S112" s="675"/>
      <c r="T112" s="675"/>
      <c r="U112" s="675"/>
      <c r="V112" s="675"/>
      <c r="W112" s="675"/>
      <c r="X112" s="675"/>
      <c r="Y112" s="675"/>
      <c r="Z112" s="225"/>
      <c r="AA112" s="675"/>
      <c r="AB112" s="675"/>
      <c r="AC112" s="675"/>
      <c r="AD112" s="675"/>
      <c r="AE112" s="67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225"/>
      <c r="BS112" s="225"/>
      <c r="BT112" s="225"/>
      <c r="BU112" s="225"/>
      <c r="BV112" s="225"/>
      <c r="BW112" s="225"/>
      <c r="BX112" s="225"/>
      <c r="BY112" s="225"/>
      <c r="BZ112" s="225"/>
      <c r="CA112" s="225"/>
      <c r="CB112" s="225"/>
      <c r="CC112" s="225"/>
      <c r="CD112" s="225"/>
      <c r="CE112" s="225"/>
    </row>
    <row r="113" spans="1:88" x14ac:dyDescent="0.2"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  <c r="AO113" s="225"/>
      <c r="AP113" s="225"/>
      <c r="AQ113" s="225"/>
      <c r="AR113" s="225"/>
      <c r="AS113" s="225"/>
      <c r="AT113" s="225"/>
      <c r="AU113" s="225"/>
      <c r="AV113" s="225"/>
      <c r="AW113" s="225"/>
      <c r="AX113" s="225"/>
      <c r="AY113" s="225"/>
      <c r="AZ113" s="225"/>
      <c r="BA113" s="225"/>
      <c r="BB113" s="225"/>
      <c r="BC113" s="225"/>
      <c r="BD113" s="225"/>
      <c r="BE113" s="225"/>
      <c r="BF113" s="225"/>
      <c r="BG113" s="225"/>
      <c r="BH113" s="225"/>
      <c r="BI113" s="225"/>
      <c r="BJ113" s="225"/>
      <c r="BK113" s="225"/>
      <c r="BL113" s="225"/>
      <c r="BM113" s="225"/>
      <c r="BN113" s="225"/>
      <c r="BO113" s="225"/>
      <c r="BP113" s="225"/>
      <c r="BQ113" s="225"/>
      <c r="BR113" s="225"/>
      <c r="BS113" s="225"/>
      <c r="BT113" s="225"/>
      <c r="BU113" s="225"/>
      <c r="BV113" s="225"/>
      <c r="BW113" s="225"/>
      <c r="BX113" s="225"/>
      <c r="BY113" s="225"/>
      <c r="BZ113" s="225"/>
      <c r="CA113" s="225"/>
      <c r="CB113" s="225"/>
      <c r="CC113" s="225"/>
      <c r="CD113" s="225"/>
      <c r="CE113" s="225"/>
    </row>
    <row r="114" spans="1:88" x14ac:dyDescent="0.2">
      <c r="A114" s="225">
        <v>1</v>
      </c>
      <c r="B114" s="225" t="s">
        <v>385</v>
      </c>
      <c r="H114" s="225"/>
      <c r="I114" s="225"/>
      <c r="J114" s="671">
        <f t="shared" ref="J114:N114" si="475">+J26*J112</f>
        <v>500238.02473382477</v>
      </c>
      <c r="K114" s="671">
        <f t="shared" si="475"/>
        <v>727842.12009828002</v>
      </c>
      <c r="L114" s="671">
        <f t="shared" si="475"/>
        <v>895373.75405077811</v>
      </c>
      <c r="M114" s="671">
        <f t="shared" si="475"/>
        <v>396696.97397706803</v>
      </c>
      <c r="N114" s="671">
        <f t="shared" si="475"/>
        <v>386395.53266420972</v>
      </c>
      <c r="O114" s="671"/>
      <c r="P114" s="671"/>
      <c r="Q114" s="671"/>
      <c r="R114" s="671"/>
      <c r="S114" s="671"/>
      <c r="T114" s="671"/>
      <c r="U114" s="671"/>
      <c r="V114" s="671"/>
      <c r="W114" s="671"/>
      <c r="X114" s="671"/>
      <c r="Y114" s="671"/>
      <c r="Z114" s="225"/>
      <c r="AA114" s="671"/>
      <c r="AB114" s="671"/>
      <c r="AC114" s="671"/>
      <c r="AD114" s="671"/>
      <c r="AE114" s="671"/>
      <c r="AF114" s="225"/>
      <c r="AG114" s="225"/>
      <c r="AH114" s="225"/>
      <c r="AI114" s="225"/>
      <c r="AJ114" s="225"/>
      <c r="AK114" s="225"/>
      <c r="AL114" s="225"/>
      <c r="AM114" s="225"/>
      <c r="AN114" s="225"/>
      <c r="AO114" s="225"/>
      <c r="AP114" s="225"/>
      <c r="AQ114" s="225"/>
      <c r="AR114" s="225"/>
      <c r="AS114" s="225"/>
      <c r="AT114" s="225"/>
      <c r="AU114" s="225"/>
      <c r="AV114" s="225"/>
      <c r="AW114" s="225"/>
      <c r="AX114" s="225"/>
      <c r="AY114" s="225"/>
      <c r="AZ114" s="225"/>
      <c r="BA114" s="225"/>
      <c r="BB114" s="225"/>
      <c r="BC114" s="225"/>
      <c r="BD114" s="225"/>
      <c r="BE114" s="225"/>
      <c r="BF114" s="225"/>
      <c r="BG114" s="225"/>
      <c r="BH114" s="225"/>
      <c r="BI114" s="225"/>
      <c r="BJ114" s="225"/>
      <c r="BK114" s="225"/>
      <c r="BL114" s="225"/>
      <c r="BM114" s="225"/>
      <c r="BN114" s="225"/>
      <c r="BO114" s="225"/>
      <c r="BP114" s="225"/>
      <c r="BQ114" s="225"/>
      <c r="BR114" s="225"/>
      <c r="BS114" s="225"/>
      <c r="BT114" s="225"/>
      <c r="BU114" s="225"/>
      <c r="BV114" s="225"/>
      <c r="BW114" s="225"/>
      <c r="BX114" s="225"/>
      <c r="BY114" s="225"/>
      <c r="BZ114" s="225"/>
      <c r="CA114" s="225"/>
      <c r="CB114" s="225"/>
      <c r="CC114" s="225"/>
      <c r="CD114" s="225"/>
      <c r="CE114" s="225"/>
    </row>
    <row r="115" spans="1:88" x14ac:dyDescent="0.2"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5"/>
      <c r="AR115" s="225"/>
      <c r="AS115" s="225"/>
      <c r="AT115" s="225"/>
      <c r="AU115" s="225"/>
      <c r="AV115" s="225"/>
      <c r="AW115" s="225"/>
      <c r="AX115" s="225"/>
      <c r="AY115" s="225"/>
      <c r="AZ115" s="225"/>
      <c r="BA115" s="225"/>
      <c r="BB115" s="225"/>
      <c r="BC115" s="225"/>
      <c r="BD115" s="225"/>
      <c r="BE115" s="225"/>
      <c r="BF115" s="225"/>
      <c r="BG115" s="225"/>
      <c r="BH115" s="225"/>
      <c r="BI115" s="225"/>
      <c r="BJ115" s="225"/>
      <c r="BK115" s="225"/>
      <c r="BL115" s="225"/>
      <c r="BM115" s="225"/>
      <c r="BN115" s="225"/>
      <c r="BO115" s="225"/>
      <c r="BP115" s="225"/>
      <c r="BQ115" s="225"/>
      <c r="BR115" s="225"/>
      <c r="BS115" s="225"/>
      <c r="BT115" s="225"/>
      <c r="BU115" s="225"/>
      <c r="BV115" s="225"/>
      <c r="BW115" s="225"/>
      <c r="BX115" s="225"/>
      <c r="BY115" s="225"/>
      <c r="BZ115" s="225"/>
      <c r="CA115" s="225"/>
      <c r="CB115" s="225"/>
      <c r="CC115" s="225"/>
      <c r="CD115" s="225"/>
      <c r="CE115" s="225"/>
    </row>
    <row r="116" spans="1:88" x14ac:dyDescent="0.2"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  <c r="AN116" s="225"/>
      <c r="AO116" s="225"/>
      <c r="AP116" s="225"/>
      <c r="AQ116" s="225"/>
      <c r="AR116" s="225"/>
      <c r="AS116" s="225"/>
      <c r="AT116" s="225"/>
      <c r="AU116" s="225"/>
      <c r="AV116" s="225"/>
      <c r="AW116" s="225"/>
      <c r="AX116" s="225"/>
      <c r="AY116" s="225"/>
      <c r="AZ116" s="225"/>
      <c r="BA116" s="225"/>
      <c r="BB116" s="225"/>
      <c r="BC116" s="225"/>
      <c r="BD116" s="225"/>
      <c r="BE116" s="225"/>
      <c r="BF116" s="225"/>
      <c r="BG116" s="225"/>
      <c r="BH116" s="225"/>
      <c r="BI116" s="225"/>
      <c r="BJ116" s="225"/>
      <c r="BK116" s="225"/>
      <c r="BL116" s="225"/>
      <c r="BM116" s="225"/>
      <c r="BN116" s="225"/>
      <c r="BO116" s="225"/>
      <c r="BP116" s="225"/>
      <c r="BQ116" s="225"/>
      <c r="BR116" s="225"/>
      <c r="BS116" s="225"/>
      <c r="BT116" s="225"/>
      <c r="BU116" s="225"/>
      <c r="BV116" s="225"/>
      <c r="BW116" s="225"/>
      <c r="BX116" s="225"/>
      <c r="BY116" s="225"/>
      <c r="BZ116" s="225"/>
      <c r="CA116" s="225"/>
      <c r="CB116" s="225"/>
      <c r="CC116" s="225"/>
      <c r="CD116" s="225"/>
      <c r="CE116" s="225"/>
    </row>
    <row r="117" spans="1:88" x14ac:dyDescent="0.2"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 t="s">
        <v>517</v>
      </c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225"/>
      <c r="BP117" s="225"/>
      <c r="BQ117" s="225"/>
      <c r="BR117" s="225"/>
      <c r="BS117" s="225"/>
      <c r="BT117" s="225"/>
      <c r="BU117" s="225"/>
      <c r="BV117" s="225"/>
      <c r="BW117" s="225"/>
      <c r="BX117" s="225"/>
      <c r="BY117" s="225"/>
      <c r="BZ117" s="225"/>
      <c r="CA117" s="225"/>
      <c r="CB117" s="225"/>
      <c r="CC117" s="225"/>
      <c r="CD117" s="225"/>
      <c r="CE117" s="225"/>
    </row>
    <row r="118" spans="1:88" x14ac:dyDescent="0.2">
      <c r="H118" s="45" t="str">
        <f>+B53</f>
        <v>Difference &gt;</v>
      </c>
      <c r="I118" s="45">
        <f t="shared" ref="I118:T118" si="476">+I53</f>
        <v>0</v>
      </c>
      <c r="J118" s="45">
        <f t="shared" si="476"/>
        <v>0</v>
      </c>
      <c r="K118" s="45">
        <f t="shared" si="476"/>
        <v>0</v>
      </c>
      <c r="L118" s="45">
        <f t="shared" si="476"/>
        <v>0</v>
      </c>
      <c r="M118" s="45">
        <f t="shared" si="476"/>
        <v>0</v>
      </c>
      <c r="N118" s="45">
        <f t="shared" si="476"/>
        <v>0</v>
      </c>
      <c r="O118" s="45">
        <f t="shared" si="476"/>
        <v>0</v>
      </c>
      <c r="P118" s="45">
        <f t="shared" si="476"/>
        <v>0</v>
      </c>
      <c r="Q118" s="45">
        <f t="shared" si="476"/>
        <v>0</v>
      </c>
      <c r="R118" s="45">
        <f t="shared" si="476"/>
        <v>0</v>
      </c>
      <c r="S118" s="45">
        <f t="shared" si="476"/>
        <v>0</v>
      </c>
      <c r="T118" s="45">
        <f t="shared" si="476"/>
        <v>0</v>
      </c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5"/>
      <c r="BN118" s="225"/>
      <c r="BO118" s="225"/>
      <c r="BP118" s="225"/>
      <c r="BQ118" s="225"/>
      <c r="BR118" s="225"/>
      <c r="BS118" s="225"/>
      <c r="BT118" s="225"/>
      <c r="BU118" s="225"/>
      <c r="BV118" s="225"/>
      <c r="BW118" s="225"/>
      <c r="BX118" s="225"/>
      <c r="BY118" s="225"/>
      <c r="BZ118" s="225"/>
      <c r="CA118" s="225"/>
      <c r="CB118" s="225"/>
      <c r="CC118" s="225"/>
      <c r="CD118" s="225"/>
      <c r="CE118" s="225"/>
    </row>
    <row r="119" spans="1:88" x14ac:dyDescent="0.2">
      <c r="A119" s="45">
        <v>6500000</v>
      </c>
      <c r="B119" s="244" t="s">
        <v>536</v>
      </c>
      <c r="C119" s="244"/>
      <c r="D119" s="244"/>
      <c r="E119" s="244"/>
      <c r="F119" s="244"/>
      <c r="G119" s="244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5"/>
      <c r="BN119" s="225"/>
      <c r="BO119" s="225"/>
      <c r="BP119" s="225"/>
      <c r="BQ119" s="225"/>
      <c r="BR119" s="225"/>
      <c r="BS119" s="225"/>
      <c r="BT119" s="225"/>
      <c r="BU119" s="225"/>
      <c r="BV119" s="225"/>
      <c r="BW119" s="225"/>
      <c r="BX119" s="225"/>
      <c r="BY119" s="225"/>
      <c r="BZ119" s="225"/>
      <c r="CA119" s="225"/>
      <c r="CB119" s="225"/>
      <c r="CC119" s="225"/>
      <c r="CD119" s="225"/>
      <c r="CE119" s="225"/>
    </row>
    <row r="120" spans="1:88" x14ac:dyDescent="0.2">
      <c r="A120" s="225" t="s">
        <v>500</v>
      </c>
      <c r="H120" s="225"/>
      <c r="I120" s="225"/>
      <c r="J120" s="225"/>
      <c r="K120" s="225"/>
      <c r="L120" s="225"/>
      <c r="M120" s="225"/>
      <c r="N120" s="231"/>
      <c r="O120" s="659"/>
      <c r="P120" s="659"/>
      <c r="Q120" s="659"/>
      <c r="R120" s="659"/>
      <c r="S120" s="659"/>
      <c r="T120" s="231"/>
      <c r="U120" s="231"/>
      <c r="V120" s="231"/>
      <c r="W120" s="231"/>
      <c r="X120" s="231"/>
      <c r="Y120" s="231"/>
      <c r="Z120" s="231"/>
      <c r="AA120" s="231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225"/>
      <c r="BE120" s="225"/>
      <c r="BF120" s="225"/>
      <c r="BG120" s="225"/>
      <c r="BH120" s="225"/>
      <c r="BI120" s="225"/>
      <c r="BJ120" s="225"/>
      <c r="BK120" s="225"/>
      <c r="BL120" s="225"/>
      <c r="BM120" s="225"/>
      <c r="BN120" s="225"/>
      <c r="BO120" s="225"/>
      <c r="BP120" s="225"/>
      <c r="BQ120" s="225"/>
      <c r="BR120" s="225"/>
      <c r="BS120" s="225"/>
      <c r="BT120" s="225"/>
      <c r="BU120" s="225"/>
      <c r="BV120" s="225"/>
      <c r="BW120" s="225"/>
      <c r="BX120" s="225"/>
      <c r="BY120" s="225"/>
      <c r="BZ120" s="225"/>
      <c r="CA120" s="225"/>
      <c r="CB120" s="225"/>
      <c r="CC120" s="225"/>
      <c r="CD120" s="225"/>
      <c r="CE120" s="225"/>
    </row>
    <row r="121" spans="1:88" x14ac:dyDescent="0.2">
      <c r="A121" s="682">
        <v>1</v>
      </c>
      <c r="B121" s="225" t="s">
        <v>420</v>
      </c>
      <c r="H121" s="225"/>
      <c r="I121" s="225"/>
      <c r="J121" s="231">
        <f>'[14]TGP Area'!$B$18</f>
        <v>172196.41763157895</v>
      </c>
      <c r="K121" s="231">
        <f>'[14]TGP Area'!$D$18</f>
        <v>255969.45855263152</v>
      </c>
      <c r="L121" s="231">
        <f>'[14]TGP Area'!$F$18</f>
        <v>328278.17855263164</v>
      </c>
      <c r="M121" s="231">
        <f>'[14]TGP Area'!$H$18</f>
        <v>251117.99671052629</v>
      </c>
      <c r="N121" s="231">
        <f>'[14]TGP Area'!$J$18</f>
        <v>174622.14855263158</v>
      </c>
      <c r="O121" s="608"/>
      <c r="P121" s="608"/>
      <c r="Q121" s="608"/>
      <c r="R121" s="608"/>
      <c r="S121" s="608"/>
      <c r="T121" s="231"/>
      <c r="U121" s="231"/>
      <c r="V121" s="231">
        <f>J121</f>
        <v>172196.41763157895</v>
      </c>
      <c r="W121" s="231">
        <f t="shared" ref="W121:Z121" si="477">K121</f>
        <v>255969.45855263152</v>
      </c>
      <c r="X121" s="231">
        <f t="shared" si="477"/>
        <v>328278.17855263164</v>
      </c>
      <c r="Y121" s="231">
        <f t="shared" si="477"/>
        <v>251117.99671052629</v>
      </c>
      <c r="Z121" s="231">
        <f t="shared" si="477"/>
        <v>174622.14855263158</v>
      </c>
      <c r="AA121" s="231"/>
      <c r="AB121" s="231"/>
      <c r="AC121" s="231"/>
      <c r="AD121" s="231"/>
      <c r="AE121" s="231"/>
      <c r="AF121" s="231"/>
      <c r="AG121" s="231"/>
      <c r="AH121" s="231">
        <f>V121</f>
        <v>172196.41763157895</v>
      </c>
      <c r="AI121" s="231">
        <f t="shared" ref="AI121:AI123" si="478">W121</f>
        <v>255969.45855263152</v>
      </c>
      <c r="AJ121" s="231">
        <f t="shared" ref="AJ121:AJ123" si="479">X121</f>
        <v>328278.17855263164</v>
      </c>
      <c r="AK121" s="231">
        <f t="shared" ref="AK121:AK123" si="480">Y121</f>
        <v>251117.99671052629</v>
      </c>
      <c r="AL121" s="231">
        <f t="shared" ref="AL121:AL123" si="481">Z121</f>
        <v>174622.14855263158</v>
      </c>
      <c r="AM121" s="231"/>
      <c r="AN121" s="231"/>
      <c r="AO121" s="231"/>
      <c r="AP121" s="231"/>
      <c r="AQ121" s="231"/>
      <c r="AR121" s="231"/>
      <c r="AS121" s="231"/>
      <c r="AT121" s="231">
        <f>AH121</f>
        <v>172196.41763157895</v>
      </c>
      <c r="AU121" s="231">
        <f t="shared" ref="AU121:AU123" si="482">AI121</f>
        <v>255969.45855263152</v>
      </c>
      <c r="AV121" s="231">
        <f t="shared" ref="AV121:AV123" si="483">AJ121</f>
        <v>328278.17855263164</v>
      </c>
      <c r="AW121" s="231">
        <f t="shared" ref="AW121:AW123" si="484">AK121</f>
        <v>251117.99671052629</v>
      </c>
      <c r="AX121" s="231">
        <f t="shared" ref="AX121:AX123" si="485">AL121</f>
        <v>174622.14855263158</v>
      </c>
      <c r="AY121" s="231"/>
      <c r="AZ121" s="231"/>
      <c r="BA121" s="231"/>
      <c r="BB121" s="231"/>
      <c r="BC121" s="231"/>
      <c r="BD121" s="231"/>
      <c r="BE121" s="231"/>
      <c r="BF121" s="231">
        <f>AT121</f>
        <v>172196.41763157895</v>
      </c>
      <c r="BG121" s="231">
        <f t="shared" ref="BG121:BG123" si="486">AU121</f>
        <v>255969.45855263152</v>
      </c>
      <c r="BH121" s="231">
        <f t="shared" ref="BH121:BH123" si="487">AV121</f>
        <v>328278.17855263164</v>
      </c>
      <c r="BI121" s="231">
        <f t="shared" ref="BI121:BI123" si="488">AW121</f>
        <v>251117.99671052629</v>
      </c>
      <c r="BJ121" s="231">
        <f t="shared" ref="BJ121:BJ123" si="489">AX121</f>
        <v>174622.14855263158</v>
      </c>
      <c r="BK121" s="231"/>
      <c r="BL121" s="231"/>
      <c r="BM121" s="231"/>
      <c r="BN121" s="231"/>
      <c r="BO121" s="231"/>
      <c r="BP121" s="231"/>
      <c r="BQ121" s="231"/>
      <c r="BR121" s="231">
        <f>BF121</f>
        <v>172196.41763157895</v>
      </c>
      <c r="BS121" s="231">
        <f t="shared" ref="BS121:BS123" si="490">BG121</f>
        <v>255969.45855263152</v>
      </c>
      <c r="BT121" s="231">
        <f t="shared" ref="BT121:BT123" si="491">BH121</f>
        <v>328278.17855263164</v>
      </c>
      <c r="BU121" s="231">
        <f t="shared" ref="BU121:BU123" si="492">BI121</f>
        <v>251117.99671052629</v>
      </c>
      <c r="BV121" s="231">
        <f t="shared" ref="BV121:BV123" si="493">BJ121</f>
        <v>174622.14855263158</v>
      </c>
      <c r="BW121" s="231"/>
      <c r="BX121" s="231"/>
      <c r="BY121" s="231"/>
      <c r="BZ121" s="231"/>
      <c r="CA121" s="231"/>
      <c r="CB121" s="231"/>
      <c r="CC121" s="231"/>
      <c r="CD121" s="231">
        <f>BR121</f>
        <v>172196.41763157895</v>
      </c>
      <c r="CE121" s="683"/>
      <c r="CF121" s="230"/>
      <c r="CG121" s="230"/>
      <c r="CH121" s="230"/>
      <c r="CI121" s="231"/>
      <c r="CJ121" s="231"/>
    </row>
    <row r="122" spans="1:88" x14ac:dyDescent="0.2">
      <c r="A122" s="244" t="s">
        <v>651</v>
      </c>
      <c r="B122" s="225" t="s">
        <v>421</v>
      </c>
      <c r="H122" s="225"/>
      <c r="I122" s="225"/>
      <c r="J122" s="684">
        <f>[15]Winter!$B$16+[15]Winter!$B$23+[15]Winter!$B$34</f>
        <v>384115</v>
      </c>
      <c r="K122" s="684">
        <f>[15]Winter!$D$16+[15]Winter!$D$23+[15]Winter!$D$34</f>
        <v>768230</v>
      </c>
      <c r="L122" s="684">
        <f>[15]Winter!$F$16+[15]Winter!$F$23+[15]Winter!$F$34</f>
        <v>921876</v>
      </c>
      <c r="M122" s="684">
        <f>[15]Winter!$H$16+[15]Winter!$H$23+[15]Winter!$H$34</f>
        <v>806641.5</v>
      </c>
      <c r="N122" s="684">
        <f>[15]Winter!$J$16+[15]Winter!$J$23+[15]Winter!$J$34</f>
        <v>576172.5</v>
      </c>
      <c r="O122" s="608"/>
      <c r="P122" s="608"/>
      <c r="Q122" s="608"/>
      <c r="R122" s="608"/>
      <c r="S122" s="608"/>
      <c r="T122" s="231"/>
      <c r="U122" s="231"/>
      <c r="V122" s="231">
        <f t="shared" ref="V122:V123" si="494">J122</f>
        <v>384115</v>
      </c>
      <c r="W122" s="231">
        <f t="shared" ref="W122:W123" si="495">K122</f>
        <v>768230</v>
      </c>
      <c r="X122" s="231">
        <f t="shared" ref="X122:X123" si="496">L122</f>
        <v>921876</v>
      </c>
      <c r="Y122" s="231">
        <f t="shared" ref="Y122:Y123" si="497">M122</f>
        <v>806641.5</v>
      </c>
      <c r="Z122" s="231">
        <f t="shared" ref="Z122:Z123" si="498">N122</f>
        <v>576172.5</v>
      </c>
      <c r="AA122" s="231"/>
      <c r="AB122" s="231"/>
      <c r="AC122" s="231"/>
      <c r="AD122" s="231"/>
      <c r="AE122" s="231"/>
      <c r="AF122" s="231"/>
      <c r="AG122" s="231"/>
      <c r="AH122" s="231">
        <f t="shared" ref="AH122:AH123" si="499">V122</f>
        <v>384115</v>
      </c>
      <c r="AI122" s="231">
        <f t="shared" si="478"/>
        <v>768230</v>
      </c>
      <c r="AJ122" s="231">
        <f t="shared" si="479"/>
        <v>921876</v>
      </c>
      <c r="AK122" s="231">
        <f t="shared" si="480"/>
        <v>806641.5</v>
      </c>
      <c r="AL122" s="231">
        <f t="shared" si="481"/>
        <v>576172.5</v>
      </c>
      <c r="AM122" s="231"/>
      <c r="AN122" s="231"/>
      <c r="AO122" s="231"/>
      <c r="AP122" s="231"/>
      <c r="AQ122" s="231"/>
      <c r="AR122" s="231"/>
      <c r="AS122" s="231"/>
      <c r="AT122" s="231">
        <f t="shared" ref="AT122:AT123" si="500">AH122</f>
        <v>384115</v>
      </c>
      <c r="AU122" s="231">
        <f t="shared" si="482"/>
        <v>768230</v>
      </c>
      <c r="AV122" s="231">
        <f t="shared" si="483"/>
        <v>921876</v>
      </c>
      <c r="AW122" s="231">
        <f t="shared" si="484"/>
        <v>806641.5</v>
      </c>
      <c r="AX122" s="231">
        <f t="shared" si="485"/>
        <v>576172.5</v>
      </c>
      <c r="AY122" s="231"/>
      <c r="AZ122" s="231"/>
      <c r="BA122" s="231"/>
      <c r="BB122" s="231"/>
      <c r="BC122" s="231"/>
      <c r="BD122" s="231"/>
      <c r="BE122" s="231"/>
      <c r="BF122" s="231">
        <f t="shared" ref="BF122:BF123" si="501">AT122</f>
        <v>384115</v>
      </c>
      <c r="BG122" s="231">
        <f t="shared" si="486"/>
        <v>768230</v>
      </c>
      <c r="BH122" s="231">
        <f t="shared" si="487"/>
        <v>921876</v>
      </c>
      <c r="BI122" s="231">
        <f t="shared" si="488"/>
        <v>806641.5</v>
      </c>
      <c r="BJ122" s="231">
        <f t="shared" si="489"/>
        <v>576172.5</v>
      </c>
      <c r="BK122" s="231"/>
      <c r="BL122" s="231"/>
      <c r="BM122" s="231"/>
      <c r="BN122" s="231"/>
      <c r="BO122" s="231"/>
      <c r="BP122" s="231"/>
      <c r="BQ122" s="231"/>
      <c r="BR122" s="231">
        <f t="shared" ref="BR122:BR123" si="502">BF122</f>
        <v>384115</v>
      </c>
      <c r="BS122" s="231">
        <f t="shared" si="490"/>
        <v>768230</v>
      </c>
      <c r="BT122" s="231">
        <f t="shared" si="491"/>
        <v>921876</v>
      </c>
      <c r="BU122" s="231">
        <f t="shared" si="492"/>
        <v>806641.5</v>
      </c>
      <c r="BV122" s="231">
        <f t="shared" si="493"/>
        <v>576172.5</v>
      </c>
      <c r="BW122" s="231"/>
      <c r="BX122" s="231"/>
      <c r="BY122" s="231"/>
      <c r="BZ122" s="231"/>
      <c r="CA122" s="231"/>
      <c r="CB122" s="231"/>
      <c r="CC122" s="231"/>
      <c r="CD122" s="231">
        <f t="shared" ref="CD122:CD123" si="503">BR122</f>
        <v>384115</v>
      </c>
      <c r="CE122" s="683"/>
      <c r="CF122" s="230"/>
      <c r="CG122" s="230"/>
      <c r="CH122" s="230"/>
      <c r="CI122" s="231"/>
      <c r="CJ122" s="231"/>
    </row>
    <row r="123" spans="1:88" x14ac:dyDescent="0.2">
      <c r="B123" s="225" t="s">
        <v>422</v>
      </c>
      <c r="H123" s="225"/>
      <c r="I123" s="225"/>
      <c r="J123" s="524">
        <f>SUM([15]Winter!$B$24:$B$26)</f>
        <v>318763.41000000003</v>
      </c>
      <c r="K123" s="524">
        <f>SUM([15]Winter!$D$24:$D$26)</f>
        <v>974139.71</v>
      </c>
      <c r="L123" s="524">
        <f>SUM([15]Winter!$F$24:$F$26)</f>
        <v>1201243.73</v>
      </c>
      <c r="M123" s="524">
        <f>SUM([15]Winter!$H$24:$H$26)</f>
        <v>1197793.95</v>
      </c>
      <c r="N123" s="524">
        <f>SUM([15]Winter!$J$24:$J$26)</f>
        <v>990962.69</v>
      </c>
      <c r="O123" s="608"/>
      <c r="P123" s="608"/>
      <c r="Q123" s="608"/>
      <c r="R123" s="608"/>
      <c r="S123" s="608"/>
      <c r="T123" s="231"/>
      <c r="U123" s="231"/>
      <c r="V123" s="685">
        <f t="shared" si="494"/>
        <v>318763.41000000003</v>
      </c>
      <c r="W123" s="685">
        <f t="shared" si="495"/>
        <v>974139.71</v>
      </c>
      <c r="X123" s="685">
        <f t="shared" si="496"/>
        <v>1201243.73</v>
      </c>
      <c r="Y123" s="685">
        <f t="shared" si="497"/>
        <v>1197793.95</v>
      </c>
      <c r="Z123" s="685">
        <f t="shared" si="498"/>
        <v>990962.69</v>
      </c>
      <c r="AA123" s="231"/>
      <c r="AB123" s="231"/>
      <c r="AC123" s="231"/>
      <c r="AD123" s="231"/>
      <c r="AE123" s="231"/>
      <c r="AF123" s="231"/>
      <c r="AG123" s="231"/>
      <c r="AH123" s="685">
        <f t="shared" si="499"/>
        <v>318763.41000000003</v>
      </c>
      <c r="AI123" s="685">
        <f t="shared" si="478"/>
        <v>974139.71</v>
      </c>
      <c r="AJ123" s="685">
        <f t="shared" si="479"/>
        <v>1201243.73</v>
      </c>
      <c r="AK123" s="685">
        <f t="shared" si="480"/>
        <v>1197793.95</v>
      </c>
      <c r="AL123" s="685">
        <f t="shared" si="481"/>
        <v>990962.69</v>
      </c>
      <c r="AM123" s="231"/>
      <c r="AN123" s="231"/>
      <c r="AO123" s="231"/>
      <c r="AP123" s="231"/>
      <c r="AQ123" s="231"/>
      <c r="AR123" s="231"/>
      <c r="AS123" s="231"/>
      <c r="AT123" s="685">
        <f t="shared" si="500"/>
        <v>318763.41000000003</v>
      </c>
      <c r="AU123" s="685">
        <f t="shared" si="482"/>
        <v>974139.71</v>
      </c>
      <c r="AV123" s="685">
        <f t="shared" si="483"/>
        <v>1201243.73</v>
      </c>
      <c r="AW123" s="685">
        <f t="shared" si="484"/>
        <v>1197793.95</v>
      </c>
      <c r="AX123" s="685">
        <f t="shared" si="485"/>
        <v>990962.69</v>
      </c>
      <c r="AY123" s="231"/>
      <c r="AZ123" s="231"/>
      <c r="BA123" s="231"/>
      <c r="BB123" s="231"/>
      <c r="BC123" s="231"/>
      <c r="BD123" s="231"/>
      <c r="BE123" s="231"/>
      <c r="BF123" s="685">
        <f t="shared" si="501"/>
        <v>318763.41000000003</v>
      </c>
      <c r="BG123" s="685">
        <f t="shared" si="486"/>
        <v>974139.71</v>
      </c>
      <c r="BH123" s="685">
        <f t="shared" si="487"/>
        <v>1201243.73</v>
      </c>
      <c r="BI123" s="685">
        <f t="shared" si="488"/>
        <v>1197793.95</v>
      </c>
      <c r="BJ123" s="685">
        <f t="shared" si="489"/>
        <v>990962.69</v>
      </c>
      <c r="BK123" s="231"/>
      <c r="BL123" s="231"/>
      <c r="BM123" s="231"/>
      <c r="BN123" s="231"/>
      <c r="BO123" s="231"/>
      <c r="BP123" s="231"/>
      <c r="BQ123" s="231"/>
      <c r="BR123" s="685">
        <f t="shared" si="502"/>
        <v>318763.41000000003</v>
      </c>
      <c r="BS123" s="685">
        <f t="shared" si="490"/>
        <v>974139.71</v>
      </c>
      <c r="BT123" s="685">
        <f t="shared" si="491"/>
        <v>1201243.73</v>
      </c>
      <c r="BU123" s="685">
        <f t="shared" si="492"/>
        <v>1197793.95</v>
      </c>
      <c r="BV123" s="685">
        <f t="shared" si="493"/>
        <v>990962.69</v>
      </c>
      <c r="BW123" s="231"/>
      <c r="BX123" s="231"/>
      <c r="BY123" s="231"/>
      <c r="BZ123" s="231"/>
      <c r="CA123" s="231"/>
      <c r="CB123" s="231"/>
      <c r="CC123" s="231"/>
      <c r="CD123" s="685">
        <f t="shared" si="503"/>
        <v>318763.41000000003</v>
      </c>
      <c r="CE123" s="683"/>
      <c r="CF123" s="230"/>
      <c r="CG123" s="230"/>
      <c r="CH123" s="230"/>
      <c r="CI123" s="231"/>
      <c r="CJ123" s="231"/>
    </row>
    <row r="124" spans="1:88" x14ac:dyDescent="0.2">
      <c r="B124" s="225" t="s">
        <v>423</v>
      </c>
      <c r="H124" s="225"/>
      <c r="I124" s="225"/>
      <c r="J124" s="231">
        <f>SUM(J121:J123)</f>
        <v>875074.82763157901</v>
      </c>
      <c r="K124" s="231">
        <f t="shared" ref="K124:N124" si="504">SUM(K121:K123)</f>
        <v>1998339.1685526315</v>
      </c>
      <c r="L124" s="231">
        <f t="shared" si="504"/>
        <v>2451397.9085526317</v>
      </c>
      <c r="M124" s="231">
        <f t="shared" si="504"/>
        <v>2255553.446710526</v>
      </c>
      <c r="N124" s="231">
        <f t="shared" si="504"/>
        <v>1741757.3385526314</v>
      </c>
      <c r="O124" s="608"/>
      <c r="P124" s="608"/>
      <c r="Q124" s="608"/>
      <c r="R124" s="608"/>
      <c r="S124" s="608"/>
      <c r="T124" s="231"/>
      <c r="U124" s="231"/>
      <c r="V124" s="231">
        <f>SUM(V121:V123)</f>
        <v>875074.82763157901</v>
      </c>
      <c r="W124" s="231">
        <f t="shared" ref="W124:Z124" si="505">SUM(W121:W123)</f>
        <v>1998339.1685526315</v>
      </c>
      <c r="X124" s="231">
        <f t="shared" si="505"/>
        <v>2451397.9085526317</v>
      </c>
      <c r="Y124" s="231">
        <f t="shared" si="505"/>
        <v>2255553.446710526</v>
      </c>
      <c r="Z124" s="231">
        <f t="shared" si="505"/>
        <v>1741757.3385526314</v>
      </c>
      <c r="AA124" s="231"/>
      <c r="AB124" s="231"/>
      <c r="AC124" s="231"/>
      <c r="AD124" s="231"/>
      <c r="AE124" s="231"/>
      <c r="AF124" s="231"/>
      <c r="AG124" s="231"/>
      <c r="AH124" s="231">
        <f>SUM(AH121:AH123)</f>
        <v>875074.82763157901</v>
      </c>
      <c r="AI124" s="231">
        <f t="shared" ref="AI124" si="506">SUM(AI121:AI123)</f>
        <v>1998339.1685526315</v>
      </c>
      <c r="AJ124" s="231">
        <f t="shared" ref="AJ124" si="507">SUM(AJ121:AJ123)</f>
        <v>2451397.9085526317</v>
      </c>
      <c r="AK124" s="231">
        <f t="shared" ref="AK124" si="508">SUM(AK121:AK123)</f>
        <v>2255553.446710526</v>
      </c>
      <c r="AL124" s="231">
        <f t="shared" ref="AL124" si="509">SUM(AL121:AL123)</f>
        <v>1741757.3385526314</v>
      </c>
      <c r="AM124" s="231"/>
      <c r="AN124" s="231"/>
      <c r="AO124" s="231"/>
      <c r="AP124" s="231"/>
      <c r="AQ124" s="231"/>
      <c r="AR124" s="231"/>
      <c r="AS124" s="231"/>
      <c r="AT124" s="231">
        <f>SUM(AT121:AT123)</f>
        <v>875074.82763157901</v>
      </c>
      <c r="AU124" s="231">
        <f t="shared" ref="AU124" si="510">SUM(AU121:AU123)</f>
        <v>1998339.1685526315</v>
      </c>
      <c r="AV124" s="231">
        <f t="shared" ref="AV124" si="511">SUM(AV121:AV123)</f>
        <v>2451397.9085526317</v>
      </c>
      <c r="AW124" s="231">
        <f t="shared" ref="AW124" si="512">SUM(AW121:AW123)</f>
        <v>2255553.446710526</v>
      </c>
      <c r="AX124" s="231">
        <f t="shared" ref="AX124" si="513">SUM(AX121:AX123)</f>
        <v>1741757.3385526314</v>
      </c>
      <c r="AY124" s="231"/>
      <c r="AZ124" s="231"/>
      <c r="BA124" s="231"/>
      <c r="BB124" s="231"/>
      <c r="BC124" s="231"/>
      <c r="BD124" s="231"/>
      <c r="BE124" s="231"/>
      <c r="BF124" s="231">
        <f>SUM(BF121:BF123)</f>
        <v>875074.82763157901</v>
      </c>
      <c r="BG124" s="231">
        <f t="shared" ref="BG124" si="514">SUM(BG121:BG123)</f>
        <v>1998339.1685526315</v>
      </c>
      <c r="BH124" s="231">
        <f t="shared" ref="BH124" si="515">SUM(BH121:BH123)</f>
        <v>2451397.9085526317</v>
      </c>
      <c r="BI124" s="231">
        <f t="shared" ref="BI124" si="516">SUM(BI121:BI123)</f>
        <v>2255553.446710526</v>
      </c>
      <c r="BJ124" s="231">
        <f t="shared" ref="BJ124" si="517">SUM(BJ121:BJ123)</f>
        <v>1741757.3385526314</v>
      </c>
      <c r="BK124" s="231"/>
      <c r="BL124" s="231"/>
      <c r="BM124" s="231"/>
      <c r="BN124" s="231"/>
      <c r="BO124" s="231"/>
      <c r="BP124" s="231"/>
      <c r="BQ124" s="231"/>
      <c r="BR124" s="231">
        <f>SUM(BR121:BR123)</f>
        <v>875074.82763157901</v>
      </c>
      <c r="BS124" s="231">
        <f t="shared" ref="BS124" si="518">SUM(BS121:BS123)</f>
        <v>1998339.1685526315</v>
      </c>
      <c r="BT124" s="231">
        <f t="shared" ref="BT124" si="519">SUM(BT121:BT123)</f>
        <v>2451397.9085526317</v>
      </c>
      <c r="BU124" s="231">
        <f t="shared" ref="BU124" si="520">SUM(BU121:BU123)</f>
        <v>2255553.446710526</v>
      </c>
      <c r="BV124" s="231">
        <f t="shared" ref="BV124" si="521">SUM(BV121:BV123)</f>
        <v>1741757.3385526314</v>
      </c>
      <c r="BW124" s="231"/>
      <c r="BX124" s="231"/>
      <c r="BY124" s="231"/>
      <c r="BZ124" s="231"/>
      <c r="CA124" s="231"/>
      <c r="CB124" s="231"/>
      <c r="CC124" s="231"/>
      <c r="CD124" s="231">
        <f>SUM(CD121:CD123)</f>
        <v>875074.82763157901</v>
      </c>
      <c r="CE124" s="683"/>
      <c r="CF124" s="230"/>
      <c r="CG124" s="230"/>
      <c r="CH124" s="230"/>
      <c r="CI124" s="227"/>
      <c r="CJ124" s="227"/>
    </row>
    <row r="125" spans="1:88" x14ac:dyDescent="0.2">
      <c r="H125" s="225"/>
      <c r="I125" s="225"/>
      <c r="J125" s="225"/>
      <c r="K125" s="225"/>
      <c r="L125" s="225"/>
      <c r="M125" s="225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25"/>
    </row>
    <row r="126" spans="1:88" x14ac:dyDescent="0.2">
      <c r="B126" s="225" t="s">
        <v>424</v>
      </c>
      <c r="C126" s="522">
        <f>'[16]TGP Plan'!$C$27</f>
        <v>168900</v>
      </c>
      <c r="D126" s="522">
        <f>'[16]TGP Plan'!$E$27</f>
        <v>168857</v>
      </c>
      <c r="E126" s="522">
        <f>'[16]TGP Plan'!$G$27</f>
        <v>159000</v>
      </c>
      <c r="F126" s="522">
        <f>'[16]TGP Plan'!$I$27</f>
        <v>170841</v>
      </c>
      <c r="G126" s="522">
        <f>'[16]TGP Plan'!$K$27</f>
        <v>183799</v>
      </c>
      <c r="H126" s="45">
        <f>'[16]TGP Plan'!$M$27</f>
        <v>168900</v>
      </c>
      <c r="I126" s="45">
        <f>'[16]TGP Plan'!$O$27</f>
        <v>168857</v>
      </c>
      <c r="J126" s="45"/>
      <c r="K126" s="45"/>
      <c r="L126" s="45"/>
      <c r="M126" s="45"/>
      <c r="N126" s="231"/>
      <c r="O126" s="247">
        <f>SUM(J121:N121)/7</f>
        <v>168883.45714285714</v>
      </c>
      <c r="P126" s="231">
        <f>+O126</f>
        <v>168883.45714285714</v>
      </c>
      <c r="Q126" s="231">
        <f t="shared" ref="Q126:U126" si="522">+P126</f>
        <v>168883.45714285714</v>
      </c>
      <c r="R126" s="231">
        <f t="shared" si="522"/>
        <v>168883.45714285714</v>
      </c>
      <c r="S126" s="231">
        <f t="shared" si="522"/>
        <v>168883.45714285714</v>
      </c>
      <c r="T126" s="231">
        <f t="shared" si="522"/>
        <v>168883.45714285714</v>
      </c>
      <c r="U126" s="231">
        <f t="shared" si="522"/>
        <v>168883.45714285714</v>
      </c>
      <c r="V126" s="231"/>
      <c r="W126" s="231"/>
      <c r="X126" s="231"/>
      <c r="Y126" s="231"/>
      <c r="Z126" s="231"/>
      <c r="AA126" s="231">
        <f>O126</f>
        <v>168883.45714285714</v>
      </c>
      <c r="AB126" s="231">
        <f t="shared" ref="AB126:AG126" si="523">P126</f>
        <v>168883.45714285714</v>
      </c>
      <c r="AC126" s="231">
        <f t="shared" si="523"/>
        <v>168883.45714285714</v>
      </c>
      <c r="AD126" s="231">
        <f t="shared" si="523"/>
        <v>168883.45714285714</v>
      </c>
      <c r="AE126" s="231">
        <f t="shared" si="523"/>
        <v>168883.45714285714</v>
      </c>
      <c r="AF126" s="231">
        <f t="shared" si="523"/>
        <v>168883.45714285714</v>
      </c>
      <c r="AG126" s="231">
        <f t="shared" si="523"/>
        <v>168883.45714285714</v>
      </c>
      <c r="AH126" s="231"/>
      <c r="AI126" s="231"/>
      <c r="AJ126" s="231"/>
      <c r="AK126" s="231"/>
      <c r="AL126" s="231"/>
      <c r="AM126" s="231">
        <f>AA126</f>
        <v>168883.45714285714</v>
      </c>
      <c r="AN126" s="231">
        <f t="shared" ref="AN126:AN128" si="524">AB126</f>
        <v>168883.45714285714</v>
      </c>
      <c r="AO126" s="231">
        <f t="shared" ref="AO126:AO128" si="525">AC126</f>
        <v>168883.45714285714</v>
      </c>
      <c r="AP126" s="231">
        <f t="shared" ref="AP126:AP128" si="526">AD126</f>
        <v>168883.45714285714</v>
      </c>
      <c r="AQ126" s="231">
        <f t="shared" ref="AQ126:AQ128" si="527">AE126</f>
        <v>168883.45714285714</v>
      </c>
      <c r="AR126" s="231">
        <f t="shared" ref="AR126:AR128" si="528">AF126</f>
        <v>168883.45714285714</v>
      </c>
      <c r="AS126" s="231">
        <f t="shared" ref="AS126:AS128" si="529">AG126</f>
        <v>168883.45714285714</v>
      </c>
      <c r="AT126" s="231"/>
      <c r="AU126" s="231"/>
      <c r="AV126" s="231"/>
      <c r="AW126" s="231"/>
      <c r="AX126" s="231"/>
      <c r="AY126" s="231">
        <f>AM126</f>
        <v>168883.45714285714</v>
      </c>
      <c r="AZ126" s="231">
        <f t="shared" ref="AZ126:AZ128" si="530">AN126</f>
        <v>168883.45714285714</v>
      </c>
      <c r="BA126" s="231">
        <f t="shared" ref="BA126:BA128" si="531">AO126</f>
        <v>168883.45714285714</v>
      </c>
      <c r="BB126" s="231">
        <f t="shared" ref="BB126:BB128" si="532">AP126</f>
        <v>168883.45714285714</v>
      </c>
      <c r="BC126" s="231">
        <f t="shared" ref="BC126:BC128" si="533">AQ126</f>
        <v>168883.45714285714</v>
      </c>
      <c r="BD126" s="231">
        <f t="shared" ref="BD126:BD128" si="534">AR126</f>
        <v>168883.45714285714</v>
      </c>
      <c r="BE126" s="231">
        <f t="shared" ref="BE126:BE128" si="535">AS126</f>
        <v>168883.45714285714</v>
      </c>
      <c r="BF126" s="231"/>
      <c r="BG126" s="231"/>
      <c r="BH126" s="231"/>
      <c r="BI126" s="231"/>
      <c r="BJ126" s="231"/>
      <c r="BK126" s="231">
        <f>AY126</f>
        <v>168883.45714285714</v>
      </c>
      <c r="BL126" s="231">
        <f t="shared" ref="BL126:BL128" si="536">AZ126</f>
        <v>168883.45714285714</v>
      </c>
      <c r="BM126" s="231">
        <f t="shared" ref="BM126:BM128" si="537">BA126</f>
        <v>168883.45714285714</v>
      </c>
      <c r="BN126" s="231">
        <f t="shared" ref="BN126:BN128" si="538">BB126</f>
        <v>168883.45714285714</v>
      </c>
      <c r="BO126" s="231">
        <f t="shared" ref="BO126:BO128" si="539">BC126</f>
        <v>168883.45714285714</v>
      </c>
      <c r="BP126" s="231">
        <f t="shared" ref="BP126:BP128" si="540">BD126</f>
        <v>168883.45714285714</v>
      </c>
      <c r="BQ126" s="231">
        <f t="shared" ref="BQ126:BQ128" si="541">BE126</f>
        <v>168883.45714285714</v>
      </c>
      <c r="BR126" s="231"/>
      <c r="BS126" s="231"/>
      <c r="BT126" s="231"/>
      <c r="BU126" s="231"/>
      <c r="BV126" s="231"/>
      <c r="BW126" s="231">
        <f>BK126</f>
        <v>168883.45714285714</v>
      </c>
      <c r="BX126" s="231">
        <f t="shared" ref="BX126:BX128" si="542">BL126</f>
        <v>168883.45714285714</v>
      </c>
      <c r="BY126" s="231">
        <f t="shared" ref="BY126:BY128" si="543">BM126</f>
        <v>168883.45714285714</v>
      </c>
      <c r="BZ126" s="231">
        <f t="shared" ref="BZ126:BZ128" si="544">BN126</f>
        <v>168883.45714285714</v>
      </c>
      <c r="CA126" s="231">
        <f t="shared" ref="CA126:CA128" si="545">BO126</f>
        <v>168883.45714285714</v>
      </c>
      <c r="CB126" s="231">
        <f t="shared" ref="CB126:CB128" si="546">BP126</f>
        <v>168883.45714285714</v>
      </c>
      <c r="CC126" s="231">
        <f t="shared" ref="CC126:CC128" si="547">BQ126</f>
        <v>168883.45714285714</v>
      </c>
      <c r="CD126" s="231"/>
      <c r="CE126" s="231"/>
      <c r="CF126" s="231"/>
      <c r="CG126" s="231"/>
      <c r="CH126" s="231"/>
    </row>
    <row r="127" spans="1:88" x14ac:dyDescent="0.2">
      <c r="B127" s="225" t="s">
        <v>425</v>
      </c>
      <c r="C127" s="523">
        <f>'[17]TGT Plan'!$B$27</f>
        <v>497907.85714285716</v>
      </c>
      <c r="D127" s="523">
        <f>'[17]TGT Plan'!$D$27</f>
        <v>268894</v>
      </c>
      <c r="E127" s="523">
        <f>'[17]TGT Plan'!$F$27</f>
        <v>497910</v>
      </c>
      <c r="F127" s="523">
        <f>'[17]TGT Plan'!$H$27</f>
        <v>345712</v>
      </c>
      <c r="G127" s="523">
        <f>'[17]TGT Plan'!$J$27</f>
        <v>537761</v>
      </c>
      <c r="H127" s="523">
        <f>'[17]TGT Plan'!$L$27</f>
        <v>614583.5</v>
      </c>
      <c r="I127" s="523">
        <f>'[17]TGT Plan'!$N$27</f>
        <v>497907.85714285716</v>
      </c>
      <c r="J127" s="45"/>
      <c r="K127" s="45"/>
      <c r="L127" s="45"/>
      <c r="M127" s="45"/>
      <c r="N127" s="231"/>
      <c r="O127" s="247">
        <f t="shared" ref="O127:O128" si="548">SUM(J122:N122)/7</f>
        <v>493862.14285714284</v>
      </c>
      <c r="P127" s="231">
        <f t="shared" ref="P127:U128" si="549">+O127</f>
        <v>493862.14285714284</v>
      </c>
      <c r="Q127" s="231">
        <f t="shared" si="549"/>
        <v>493862.14285714284</v>
      </c>
      <c r="R127" s="231">
        <f t="shared" si="549"/>
        <v>493862.14285714284</v>
      </c>
      <c r="S127" s="231">
        <f t="shared" si="549"/>
        <v>493862.14285714284</v>
      </c>
      <c r="T127" s="231">
        <f t="shared" si="549"/>
        <v>493862.14285714284</v>
      </c>
      <c r="U127" s="231">
        <f t="shared" si="549"/>
        <v>493862.14285714284</v>
      </c>
      <c r="V127" s="231"/>
      <c r="W127" s="231"/>
      <c r="X127" s="231"/>
      <c r="Y127" s="231"/>
      <c r="Z127" s="231"/>
      <c r="AA127" s="231">
        <f t="shared" ref="AA127:AA128" si="550">O127</f>
        <v>493862.14285714284</v>
      </c>
      <c r="AB127" s="231">
        <f t="shared" ref="AB127:AB128" si="551">P127</f>
        <v>493862.14285714284</v>
      </c>
      <c r="AC127" s="231">
        <f t="shared" ref="AC127:AC128" si="552">Q127</f>
        <v>493862.14285714284</v>
      </c>
      <c r="AD127" s="231">
        <f t="shared" ref="AD127:AD128" si="553">R127</f>
        <v>493862.14285714284</v>
      </c>
      <c r="AE127" s="231">
        <f t="shared" ref="AE127:AE128" si="554">S127</f>
        <v>493862.14285714284</v>
      </c>
      <c r="AF127" s="231">
        <f t="shared" ref="AF127:AF128" si="555">T127</f>
        <v>493862.14285714284</v>
      </c>
      <c r="AG127" s="231">
        <f t="shared" ref="AG127:AG128" si="556">U127</f>
        <v>493862.14285714284</v>
      </c>
      <c r="AH127" s="231"/>
      <c r="AI127" s="231"/>
      <c r="AJ127" s="231"/>
      <c r="AK127" s="231"/>
      <c r="AL127" s="231"/>
      <c r="AM127" s="231">
        <f t="shared" ref="AM127:AM128" si="557">AA127</f>
        <v>493862.14285714284</v>
      </c>
      <c r="AN127" s="231">
        <f t="shared" si="524"/>
        <v>493862.14285714284</v>
      </c>
      <c r="AO127" s="231">
        <f t="shared" si="525"/>
        <v>493862.14285714284</v>
      </c>
      <c r="AP127" s="231">
        <f t="shared" si="526"/>
        <v>493862.14285714284</v>
      </c>
      <c r="AQ127" s="231">
        <f t="shared" si="527"/>
        <v>493862.14285714284</v>
      </c>
      <c r="AR127" s="231">
        <f t="shared" si="528"/>
        <v>493862.14285714284</v>
      </c>
      <c r="AS127" s="231">
        <f t="shared" si="529"/>
        <v>493862.14285714284</v>
      </c>
      <c r="AT127" s="231"/>
      <c r="AU127" s="231"/>
      <c r="AV127" s="231"/>
      <c r="AW127" s="231"/>
      <c r="AX127" s="231"/>
      <c r="AY127" s="231">
        <f t="shared" ref="AY127:AY128" si="558">AM127</f>
        <v>493862.14285714284</v>
      </c>
      <c r="AZ127" s="231">
        <f t="shared" si="530"/>
        <v>493862.14285714284</v>
      </c>
      <c r="BA127" s="231">
        <f t="shared" si="531"/>
        <v>493862.14285714284</v>
      </c>
      <c r="BB127" s="231">
        <f t="shared" si="532"/>
        <v>493862.14285714284</v>
      </c>
      <c r="BC127" s="231">
        <f t="shared" si="533"/>
        <v>493862.14285714284</v>
      </c>
      <c r="BD127" s="231">
        <f t="shared" si="534"/>
        <v>493862.14285714284</v>
      </c>
      <c r="BE127" s="231">
        <f t="shared" si="535"/>
        <v>493862.14285714284</v>
      </c>
      <c r="BF127" s="231"/>
      <c r="BG127" s="231"/>
      <c r="BH127" s="231"/>
      <c r="BI127" s="231"/>
      <c r="BJ127" s="231"/>
      <c r="BK127" s="231">
        <f t="shared" ref="BK127:BK128" si="559">AY127</f>
        <v>493862.14285714284</v>
      </c>
      <c r="BL127" s="231">
        <f t="shared" si="536"/>
        <v>493862.14285714284</v>
      </c>
      <c r="BM127" s="231">
        <f t="shared" si="537"/>
        <v>493862.14285714284</v>
      </c>
      <c r="BN127" s="231">
        <f t="shared" si="538"/>
        <v>493862.14285714284</v>
      </c>
      <c r="BO127" s="231">
        <f t="shared" si="539"/>
        <v>493862.14285714284</v>
      </c>
      <c r="BP127" s="231">
        <f t="shared" si="540"/>
        <v>493862.14285714284</v>
      </c>
      <c r="BQ127" s="231">
        <f t="shared" si="541"/>
        <v>493862.14285714284</v>
      </c>
      <c r="BR127" s="231"/>
      <c r="BS127" s="231"/>
      <c r="BT127" s="231"/>
      <c r="BU127" s="231"/>
      <c r="BV127" s="231"/>
      <c r="BW127" s="231">
        <f t="shared" ref="BW127:BW128" si="560">BK127</f>
        <v>493862.14285714284</v>
      </c>
      <c r="BX127" s="231">
        <f t="shared" si="542"/>
        <v>493862.14285714284</v>
      </c>
      <c r="BY127" s="231">
        <f t="shared" si="543"/>
        <v>493862.14285714284</v>
      </c>
      <c r="BZ127" s="231">
        <f t="shared" si="544"/>
        <v>493862.14285714284</v>
      </c>
      <c r="CA127" s="231">
        <f t="shared" si="545"/>
        <v>493862.14285714284</v>
      </c>
      <c r="CB127" s="231">
        <f t="shared" si="546"/>
        <v>493862.14285714284</v>
      </c>
      <c r="CC127" s="231">
        <f t="shared" si="547"/>
        <v>493862.14285714284</v>
      </c>
      <c r="CD127" s="231"/>
      <c r="CE127" s="231"/>
      <c r="CF127" s="231"/>
      <c r="CG127" s="231"/>
      <c r="CH127" s="231"/>
    </row>
    <row r="128" spans="1:88" x14ac:dyDescent="0.2">
      <c r="B128" s="225" t="s">
        <v>426</v>
      </c>
      <c r="C128" s="524">
        <f>SUM('[17]TGT Plan'!$B$28:$B$33)</f>
        <v>674409.16142857145</v>
      </c>
      <c r="D128" s="524">
        <f>SUM('[17]TGT Plan'!$D$28:$D$33)</f>
        <v>674405</v>
      </c>
      <c r="E128" s="524">
        <f>SUM('[17]TGT Plan'!$F$28:$F$33)</f>
        <v>674400</v>
      </c>
      <c r="F128" s="524">
        <f>SUM('[17]TGT Plan'!$H$28:$H$33)</f>
        <v>674405</v>
      </c>
      <c r="G128" s="524">
        <f>SUM('[17]TGT Plan'!$J$28:$J$33)</f>
        <v>674409.16142857145</v>
      </c>
      <c r="H128" s="524">
        <f>SUM('[17]TGT Plan'!$L$28:$L$33)</f>
        <v>674409.16142857145</v>
      </c>
      <c r="I128" s="524">
        <f>SUM('[17]TGT Plan'!$N$28:$N$33)</f>
        <v>674409.16142857145</v>
      </c>
      <c r="J128" s="608"/>
      <c r="K128" s="608"/>
      <c r="L128" s="608"/>
      <c r="M128" s="608"/>
      <c r="N128" s="608"/>
      <c r="O128" s="686">
        <f t="shared" si="548"/>
        <v>668986.21285714291</v>
      </c>
      <c r="P128" s="685">
        <f t="shared" si="549"/>
        <v>668986.21285714291</v>
      </c>
      <c r="Q128" s="685">
        <f t="shared" si="549"/>
        <v>668986.21285714291</v>
      </c>
      <c r="R128" s="685">
        <f t="shared" si="549"/>
        <v>668986.21285714291</v>
      </c>
      <c r="S128" s="685">
        <f t="shared" si="549"/>
        <v>668986.21285714291</v>
      </c>
      <c r="T128" s="685">
        <f t="shared" si="549"/>
        <v>668986.21285714291</v>
      </c>
      <c r="U128" s="685">
        <f t="shared" si="549"/>
        <v>668986.21285714291</v>
      </c>
      <c r="V128" s="231"/>
      <c r="W128" s="231"/>
      <c r="X128" s="231"/>
      <c r="Y128" s="231"/>
      <c r="Z128" s="231"/>
      <c r="AA128" s="685">
        <f t="shared" si="550"/>
        <v>668986.21285714291</v>
      </c>
      <c r="AB128" s="685">
        <f t="shared" si="551"/>
        <v>668986.21285714291</v>
      </c>
      <c r="AC128" s="685">
        <f t="shared" si="552"/>
        <v>668986.21285714291</v>
      </c>
      <c r="AD128" s="685">
        <f t="shared" si="553"/>
        <v>668986.21285714291</v>
      </c>
      <c r="AE128" s="685">
        <f t="shared" si="554"/>
        <v>668986.21285714291</v>
      </c>
      <c r="AF128" s="685">
        <f t="shared" si="555"/>
        <v>668986.21285714291</v>
      </c>
      <c r="AG128" s="685">
        <f t="shared" si="556"/>
        <v>668986.21285714291</v>
      </c>
      <c r="AH128" s="231"/>
      <c r="AI128" s="231"/>
      <c r="AJ128" s="231"/>
      <c r="AK128" s="231"/>
      <c r="AL128" s="231"/>
      <c r="AM128" s="685">
        <f t="shared" si="557"/>
        <v>668986.21285714291</v>
      </c>
      <c r="AN128" s="685">
        <f t="shared" si="524"/>
        <v>668986.21285714291</v>
      </c>
      <c r="AO128" s="685">
        <f t="shared" si="525"/>
        <v>668986.21285714291</v>
      </c>
      <c r="AP128" s="685">
        <f t="shared" si="526"/>
        <v>668986.21285714291</v>
      </c>
      <c r="AQ128" s="685">
        <f t="shared" si="527"/>
        <v>668986.21285714291</v>
      </c>
      <c r="AR128" s="685">
        <f t="shared" si="528"/>
        <v>668986.21285714291</v>
      </c>
      <c r="AS128" s="685">
        <f t="shared" si="529"/>
        <v>668986.21285714291</v>
      </c>
      <c r="AT128" s="231"/>
      <c r="AU128" s="231"/>
      <c r="AV128" s="231"/>
      <c r="AW128" s="231"/>
      <c r="AX128" s="231"/>
      <c r="AY128" s="685">
        <f t="shared" si="558"/>
        <v>668986.21285714291</v>
      </c>
      <c r="AZ128" s="685">
        <f t="shared" si="530"/>
        <v>668986.21285714291</v>
      </c>
      <c r="BA128" s="685">
        <f t="shared" si="531"/>
        <v>668986.21285714291</v>
      </c>
      <c r="BB128" s="685">
        <f t="shared" si="532"/>
        <v>668986.21285714291</v>
      </c>
      <c r="BC128" s="685">
        <f t="shared" si="533"/>
        <v>668986.21285714291</v>
      </c>
      <c r="BD128" s="685">
        <f t="shared" si="534"/>
        <v>668986.21285714291</v>
      </c>
      <c r="BE128" s="685">
        <f t="shared" si="535"/>
        <v>668986.21285714291</v>
      </c>
      <c r="BF128" s="231"/>
      <c r="BG128" s="231"/>
      <c r="BH128" s="231"/>
      <c r="BI128" s="231"/>
      <c r="BJ128" s="231"/>
      <c r="BK128" s="685">
        <f t="shared" si="559"/>
        <v>668986.21285714291</v>
      </c>
      <c r="BL128" s="685">
        <f t="shared" si="536"/>
        <v>668986.21285714291</v>
      </c>
      <c r="BM128" s="685">
        <f t="shared" si="537"/>
        <v>668986.21285714291</v>
      </c>
      <c r="BN128" s="685">
        <f t="shared" si="538"/>
        <v>668986.21285714291</v>
      </c>
      <c r="BO128" s="685">
        <f t="shared" si="539"/>
        <v>668986.21285714291</v>
      </c>
      <c r="BP128" s="685">
        <f t="shared" si="540"/>
        <v>668986.21285714291</v>
      </c>
      <c r="BQ128" s="685">
        <f t="shared" si="541"/>
        <v>668986.21285714291</v>
      </c>
      <c r="BR128" s="231"/>
      <c r="BS128" s="231"/>
      <c r="BT128" s="231"/>
      <c r="BU128" s="231"/>
      <c r="BV128" s="231"/>
      <c r="BW128" s="685">
        <f t="shared" si="560"/>
        <v>668986.21285714291</v>
      </c>
      <c r="BX128" s="685">
        <f t="shared" si="542"/>
        <v>668986.21285714291</v>
      </c>
      <c r="BY128" s="685">
        <f t="shared" si="543"/>
        <v>668986.21285714291</v>
      </c>
      <c r="BZ128" s="685">
        <f t="shared" si="544"/>
        <v>668986.21285714291</v>
      </c>
      <c r="CA128" s="685">
        <f t="shared" si="545"/>
        <v>668986.21285714291</v>
      </c>
      <c r="CB128" s="685">
        <f t="shared" si="546"/>
        <v>668986.21285714291</v>
      </c>
      <c r="CC128" s="685">
        <f t="shared" si="547"/>
        <v>668986.21285714291</v>
      </c>
      <c r="CD128" s="231"/>
      <c r="CE128" s="231"/>
      <c r="CF128" s="231"/>
      <c r="CG128" s="231"/>
      <c r="CH128" s="231"/>
    </row>
    <row r="129" spans="1:86" x14ac:dyDescent="0.2">
      <c r="B129" s="225" t="s">
        <v>427</v>
      </c>
      <c r="C129" s="45">
        <f t="shared" ref="C129:G129" si="561">SUM(C126:C128)</f>
        <v>1341217.0185714285</v>
      </c>
      <c r="D129" s="45">
        <f t="shared" si="561"/>
        <v>1112156</v>
      </c>
      <c r="E129" s="45">
        <f t="shared" si="561"/>
        <v>1331310</v>
      </c>
      <c r="F129" s="45">
        <f t="shared" si="561"/>
        <v>1190958</v>
      </c>
      <c r="G129" s="45">
        <f t="shared" si="561"/>
        <v>1395969.1614285714</v>
      </c>
      <c r="H129" s="45">
        <f>SUM(H126:H128)</f>
        <v>1457892.6614285714</v>
      </c>
      <c r="I129" s="45">
        <f t="shared" ref="I129" si="562">SUM(I126:I128)</f>
        <v>1341174.0185714285</v>
      </c>
      <c r="J129" s="608"/>
      <c r="K129" s="608"/>
      <c r="L129" s="608"/>
      <c r="M129" s="608"/>
      <c r="N129" s="608"/>
      <c r="O129" s="231">
        <f>SUM(O126:O128)</f>
        <v>1331731.8128571429</v>
      </c>
      <c r="P129" s="231">
        <f t="shared" ref="P129:U129" si="563">SUM(P126:P128)</f>
        <v>1331731.8128571429</v>
      </c>
      <c r="Q129" s="231">
        <f t="shared" si="563"/>
        <v>1331731.8128571429</v>
      </c>
      <c r="R129" s="231">
        <f t="shared" si="563"/>
        <v>1331731.8128571429</v>
      </c>
      <c r="S129" s="231">
        <f t="shared" si="563"/>
        <v>1331731.8128571429</v>
      </c>
      <c r="T129" s="231">
        <f t="shared" si="563"/>
        <v>1331731.8128571429</v>
      </c>
      <c r="U129" s="231">
        <f t="shared" si="563"/>
        <v>1331731.8128571429</v>
      </c>
      <c r="V129" s="231"/>
      <c r="W129" s="231"/>
      <c r="X129" s="231"/>
      <c r="Y129" s="231"/>
      <c r="Z129" s="231"/>
      <c r="AA129" s="231">
        <f t="shared" ref="AA129:AE129" si="564">AA126+AA127+AA128</f>
        <v>1331731.8128571429</v>
      </c>
      <c r="AB129" s="231">
        <f t="shared" si="564"/>
        <v>1331731.8128571429</v>
      </c>
      <c r="AC129" s="231">
        <f t="shared" si="564"/>
        <v>1331731.8128571429</v>
      </c>
      <c r="AD129" s="231">
        <f t="shared" si="564"/>
        <v>1331731.8128571429</v>
      </c>
      <c r="AE129" s="231">
        <f t="shared" si="564"/>
        <v>1331731.8128571429</v>
      </c>
      <c r="AF129" s="231">
        <f t="shared" ref="AF129:AG129" si="565">AF126+AF127+AF128</f>
        <v>1331731.8128571429</v>
      </c>
      <c r="AG129" s="231">
        <f t="shared" si="565"/>
        <v>1331731.8128571429</v>
      </c>
      <c r="AH129" s="231"/>
      <c r="AI129" s="231"/>
      <c r="AJ129" s="231"/>
      <c r="AK129" s="231"/>
      <c r="AL129" s="231"/>
      <c r="AM129" s="231">
        <f t="shared" ref="AM129:AS129" si="566">AM126+AM127+AM128</f>
        <v>1331731.8128571429</v>
      </c>
      <c r="AN129" s="231">
        <f t="shared" si="566"/>
        <v>1331731.8128571429</v>
      </c>
      <c r="AO129" s="231">
        <f t="shared" si="566"/>
        <v>1331731.8128571429</v>
      </c>
      <c r="AP129" s="231">
        <f t="shared" si="566"/>
        <v>1331731.8128571429</v>
      </c>
      <c r="AQ129" s="231">
        <f t="shared" si="566"/>
        <v>1331731.8128571429</v>
      </c>
      <c r="AR129" s="231">
        <f t="shared" si="566"/>
        <v>1331731.8128571429</v>
      </c>
      <c r="AS129" s="231">
        <f t="shared" si="566"/>
        <v>1331731.8128571429</v>
      </c>
      <c r="AT129" s="231"/>
      <c r="AU129" s="231"/>
      <c r="AV129" s="231"/>
      <c r="AW129" s="231"/>
      <c r="AX129" s="231"/>
      <c r="AY129" s="231">
        <f t="shared" ref="AY129:BE129" si="567">AY126+AY127+AY128</f>
        <v>1331731.8128571429</v>
      </c>
      <c r="AZ129" s="231">
        <f t="shared" si="567"/>
        <v>1331731.8128571429</v>
      </c>
      <c r="BA129" s="231">
        <f t="shared" si="567"/>
        <v>1331731.8128571429</v>
      </c>
      <c r="BB129" s="231">
        <f t="shared" si="567"/>
        <v>1331731.8128571429</v>
      </c>
      <c r="BC129" s="231">
        <f t="shared" si="567"/>
        <v>1331731.8128571429</v>
      </c>
      <c r="BD129" s="231">
        <f t="shared" si="567"/>
        <v>1331731.8128571429</v>
      </c>
      <c r="BE129" s="231">
        <f t="shared" si="567"/>
        <v>1331731.8128571429</v>
      </c>
      <c r="BF129" s="231"/>
      <c r="BG129" s="231"/>
      <c r="BH129" s="231"/>
      <c r="BI129" s="231"/>
      <c r="BJ129" s="231"/>
      <c r="BK129" s="231">
        <f t="shared" ref="BK129:BQ129" si="568">BK126+BK127+BK128</f>
        <v>1331731.8128571429</v>
      </c>
      <c r="BL129" s="231">
        <f t="shared" si="568"/>
        <v>1331731.8128571429</v>
      </c>
      <c r="BM129" s="231">
        <f t="shared" si="568"/>
        <v>1331731.8128571429</v>
      </c>
      <c r="BN129" s="231">
        <f t="shared" si="568"/>
        <v>1331731.8128571429</v>
      </c>
      <c r="BO129" s="231">
        <f t="shared" si="568"/>
        <v>1331731.8128571429</v>
      </c>
      <c r="BP129" s="231">
        <f t="shared" si="568"/>
        <v>1331731.8128571429</v>
      </c>
      <c r="BQ129" s="231">
        <f t="shared" si="568"/>
        <v>1331731.8128571429</v>
      </c>
      <c r="BR129" s="231"/>
      <c r="BS129" s="231"/>
      <c r="BT129" s="231"/>
      <c r="BU129" s="231"/>
      <c r="BV129" s="231"/>
      <c r="BW129" s="231">
        <f t="shared" ref="BW129:CC129" si="569">BW126+BW127+BW128</f>
        <v>1331731.8128571429</v>
      </c>
      <c r="BX129" s="231">
        <f t="shared" si="569"/>
        <v>1331731.8128571429</v>
      </c>
      <c r="BY129" s="231">
        <f t="shared" si="569"/>
        <v>1331731.8128571429</v>
      </c>
      <c r="BZ129" s="231">
        <f t="shared" si="569"/>
        <v>1331731.8128571429</v>
      </c>
      <c r="CA129" s="231">
        <f t="shared" si="569"/>
        <v>1331731.8128571429</v>
      </c>
      <c r="CB129" s="231">
        <f t="shared" si="569"/>
        <v>1331731.8128571429</v>
      </c>
      <c r="CC129" s="231">
        <f t="shared" si="569"/>
        <v>1331731.8128571429</v>
      </c>
      <c r="CD129" s="231"/>
      <c r="CE129" s="231"/>
      <c r="CF129" s="227"/>
      <c r="CG129" s="227"/>
      <c r="CH129" s="227"/>
    </row>
    <row r="130" spans="1:86" x14ac:dyDescent="0.2"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225"/>
      <c r="AI130" s="225"/>
      <c r="AJ130" s="225"/>
      <c r="AK130" s="225"/>
      <c r="AL130" s="225"/>
      <c r="AM130" s="225"/>
      <c r="AN130" s="225"/>
      <c r="AO130" s="225"/>
      <c r="AP130" s="225"/>
      <c r="AQ130" s="225"/>
      <c r="AR130" s="225"/>
      <c r="AS130" s="225"/>
      <c r="AT130" s="225"/>
      <c r="AU130" s="225"/>
      <c r="AV130" s="225"/>
      <c r="AW130" s="225"/>
      <c r="AX130" s="225"/>
      <c r="AY130" s="225"/>
      <c r="AZ130" s="225"/>
      <c r="BA130" s="225"/>
      <c r="BB130" s="225"/>
      <c r="BC130" s="225"/>
      <c r="BD130" s="225"/>
      <c r="BE130" s="225"/>
      <c r="BF130" s="225"/>
      <c r="BG130" s="225"/>
      <c r="BH130" s="225"/>
      <c r="BI130" s="225"/>
      <c r="BJ130" s="225"/>
      <c r="BK130" s="225"/>
      <c r="BL130" s="225"/>
      <c r="BM130" s="225"/>
      <c r="BN130" s="225"/>
      <c r="BO130" s="225"/>
      <c r="BP130" s="225"/>
      <c r="BQ130" s="225"/>
      <c r="BR130" s="225"/>
      <c r="BS130" s="225"/>
      <c r="BT130" s="225"/>
      <c r="BU130" s="225"/>
      <c r="BV130" s="225"/>
      <c r="BW130" s="225"/>
      <c r="BX130" s="225"/>
      <c r="BY130" s="225"/>
      <c r="BZ130" s="225"/>
      <c r="CA130" s="225"/>
      <c r="CB130" s="225"/>
      <c r="CC130" s="225"/>
      <c r="CD130" s="225"/>
      <c r="CE130" s="225"/>
    </row>
    <row r="131" spans="1:86" x14ac:dyDescent="0.2">
      <c r="A131" s="225" t="s">
        <v>501</v>
      </c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225"/>
      <c r="AP131" s="225"/>
      <c r="AQ131" s="225"/>
      <c r="AR131" s="225"/>
      <c r="AS131" s="225"/>
      <c r="AT131" s="225"/>
      <c r="AU131" s="225"/>
      <c r="AV131" s="225"/>
      <c r="AW131" s="225"/>
      <c r="AX131" s="225"/>
      <c r="AY131" s="225"/>
      <c r="AZ131" s="225"/>
      <c r="BA131" s="225"/>
      <c r="BB131" s="225"/>
      <c r="BC131" s="225"/>
      <c r="BD131" s="225"/>
      <c r="BE131" s="225"/>
      <c r="BF131" s="225"/>
      <c r="BG131" s="225"/>
      <c r="BH131" s="225"/>
      <c r="BI131" s="225"/>
      <c r="BJ131" s="225"/>
      <c r="BK131" s="225"/>
      <c r="BL131" s="225"/>
      <c r="BM131" s="225"/>
      <c r="BN131" s="225"/>
      <c r="BO131" s="225"/>
      <c r="BP131" s="225"/>
      <c r="BQ131" s="225"/>
      <c r="BR131" s="225"/>
      <c r="BS131" s="225"/>
      <c r="BT131" s="225"/>
      <c r="BU131" s="225"/>
      <c r="BV131" s="225"/>
      <c r="BW131" s="225"/>
      <c r="BX131" s="225"/>
      <c r="BY131" s="225"/>
      <c r="BZ131" s="225"/>
      <c r="CA131" s="225"/>
    </row>
    <row r="132" spans="1:86" x14ac:dyDescent="0.2">
      <c r="B132" s="225" t="s">
        <v>420</v>
      </c>
      <c r="H132" s="225"/>
      <c r="I132" s="225"/>
      <c r="J132" s="45">
        <f t="shared" ref="J132:N132" si="570">+J121*$A$121</f>
        <v>172196.41763157895</v>
      </c>
      <c r="K132" s="45">
        <f t="shared" si="570"/>
        <v>255969.45855263152</v>
      </c>
      <c r="L132" s="45">
        <f t="shared" si="570"/>
        <v>328278.17855263164</v>
      </c>
      <c r="M132" s="45">
        <f t="shared" si="570"/>
        <v>251117.99671052629</v>
      </c>
      <c r="N132" s="45">
        <f t="shared" si="570"/>
        <v>174622.14855263158</v>
      </c>
      <c r="O132" s="45"/>
      <c r="P132" s="45"/>
      <c r="Q132" s="45"/>
      <c r="R132" s="45"/>
      <c r="S132" s="4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225"/>
      <c r="BS132" s="225"/>
      <c r="BT132" s="225"/>
      <c r="BU132" s="225"/>
      <c r="BV132" s="225"/>
      <c r="BW132" s="225"/>
      <c r="BX132" s="225"/>
      <c r="BY132" s="225"/>
      <c r="BZ132" s="225"/>
      <c r="CA132" s="225"/>
    </row>
    <row r="133" spans="1:86" x14ac:dyDescent="0.2">
      <c r="B133" s="225" t="s">
        <v>421</v>
      </c>
      <c r="H133" s="225"/>
      <c r="I133" s="225"/>
      <c r="J133" s="45">
        <f t="shared" ref="J133:N133" si="571">+J122*$A$121</f>
        <v>384115</v>
      </c>
      <c r="K133" s="45">
        <f t="shared" si="571"/>
        <v>768230</v>
      </c>
      <c r="L133" s="45">
        <f t="shared" si="571"/>
        <v>921876</v>
      </c>
      <c r="M133" s="45">
        <f t="shared" si="571"/>
        <v>806641.5</v>
      </c>
      <c r="N133" s="45">
        <f t="shared" si="571"/>
        <v>576172.5</v>
      </c>
      <c r="O133" s="45"/>
      <c r="P133" s="45"/>
      <c r="Q133" s="45"/>
      <c r="R133" s="45"/>
      <c r="S133" s="45"/>
      <c r="T133" s="225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  <c r="AO133" s="225"/>
      <c r="AP133" s="225"/>
      <c r="AQ133" s="225"/>
      <c r="AR133" s="225"/>
      <c r="AS133" s="225"/>
      <c r="AT133" s="225"/>
      <c r="AU133" s="225"/>
      <c r="AV133" s="225"/>
      <c r="AW133" s="225"/>
      <c r="AX133" s="225"/>
      <c r="AY133" s="225"/>
      <c r="AZ133" s="225"/>
      <c r="BA133" s="225"/>
      <c r="BB133" s="225"/>
      <c r="BC133" s="225"/>
      <c r="BD133" s="225"/>
      <c r="BE133" s="225"/>
      <c r="BF133" s="225"/>
      <c r="BG133" s="225"/>
      <c r="BH133" s="225"/>
      <c r="BI133" s="225"/>
      <c r="BJ133" s="225"/>
      <c r="BK133" s="225"/>
      <c r="BL133" s="225"/>
      <c r="BM133" s="225"/>
      <c r="BN133" s="225"/>
      <c r="BO133" s="225"/>
      <c r="BP133" s="225"/>
      <c r="BQ133" s="225"/>
      <c r="BR133" s="225"/>
      <c r="BS133" s="225"/>
      <c r="BT133" s="225"/>
      <c r="BU133" s="225"/>
      <c r="BV133" s="225"/>
      <c r="BW133" s="225"/>
      <c r="BX133" s="225"/>
      <c r="BY133" s="225"/>
      <c r="BZ133" s="225"/>
      <c r="CA133" s="225"/>
    </row>
    <row r="134" spans="1:86" x14ac:dyDescent="0.2">
      <c r="B134" s="225" t="s">
        <v>422</v>
      </c>
      <c r="H134" s="225"/>
      <c r="I134" s="225"/>
      <c r="J134" s="364">
        <f t="shared" ref="J134:N134" si="572">+J123*$A$121</f>
        <v>318763.41000000003</v>
      </c>
      <c r="K134" s="364">
        <f t="shared" si="572"/>
        <v>974139.71</v>
      </c>
      <c r="L134" s="364">
        <f t="shared" si="572"/>
        <v>1201243.73</v>
      </c>
      <c r="M134" s="364">
        <f t="shared" si="572"/>
        <v>1197793.95</v>
      </c>
      <c r="N134" s="364">
        <f t="shared" si="572"/>
        <v>990962.69</v>
      </c>
      <c r="O134" s="45"/>
      <c r="P134" s="45"/>
      <c r="Q134" s="45"/>
      <c r="R134" s="45"/>
      <c r="S134" s="4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  <c r="AO134" s="225"/>
      <c r="AP134" s="225"/>
      <c r="AQ134" s="225"/>
      <c r="AR134" s="225"/>
      <c r="AS134" s="225"/>
      <c r="AT134" s="225"/>
      <c r="AU134" s="225"/>
      <c r="AV134" s="225"/>
      <c r="AW134" s="225"/>
      <c r="AX134" s="225"/>
      <c r="AY134" s="225"/>
      <c r="AZ134" s="225"/>
      <c r="BA134" s="225"/>
      <c r="BB134" s="225"/>
      <c r="BC134" s="225"/>
      <c r="BD134" s="225"/>
      <c r="BE134" s="225"/>
      <c r="BF134" s="225"/>
      <c r="BG134" s="225"/>
      <c r="BH134" s="225"/>
      <c r="BI134" s="225"/>
      <c r="BJ134" s="225"/>
      <c r="BK134" s="225"/>
      <c r="BL134" s="225"/>
      <c r="BM134" s="225"/>
      <c r="BN134" s="225"/>
      <c r="BO134" s="225"/>
      <c r="BP134" s="225"/>
      <c r="BQ134" s="225"/>
      <c r="BR134" s="225"/>
      <c r="BS134" s="225"/>
      <c r="BT134" s="225"/>
      <c r="BU134" s="225"/>
      <c r="BV134" s="225"/>
      <c r="BW134" s="225"/>
      <c r="BX134" s="225"/>
      <c r="BY134" s="225"/>
      <c r="BZ134" s="225"/>
      <c r="CA134" s="225"/>
    </row>
    <row r="135" spans="1:86" x14ac:dyDescent="0.2">
      <c r="B135" s="225" t="s">
        <v>423</v>
      </c>
      <c r="H135" s="225"/>
      <c r="I135" s="225"/>
      <c r="J135" s="231">
        <f t="shared" ref="J135:N135" si="573">SUM(J132+J133+J134)</f>
        <v>875074.82763157901</v>
      </c>
      <c r="K135" s="231">
        <f t="shared" si="573"/>
        <v>1998339.1685526315</v>
      </c>
      <c r="L135" s="231">
        <f t="shared" si="573"/>
        <v>2451397.9085526317</v>
      </c>
      <c r="M135" s="231">
        <f t="shared" si="573"/>
        <v>2255553.446710526</v>
      </c>
      <c r="N135" s="231">
        <f t="shared" si="573"/>
        <v>1741757.3385526314</v>
      </c>
      <c r="O135" s="231"/>
      <c r="P135" s="231"/>
      <c r="Q135" s="231"/>
      <c r="R135" s="231"/>
      <c r="S135" s="231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25"/>
      <c r="AX135" s="225"/>
      <c r="AY135" s="225"/>
      <c r="AZ135" s="225"/>
      <c r="BA135" s="225"/>
      <c r="BB135" s="225"/>
      <c r="BC135" s="225"/>
      <c r="BD135" s="225"/>
      <c r="BE135" s="225"/>
      <c r="BF135" s="225"/>
      <c r="BG135" s="225"/>
      <c r="BH135" s="225"/>
      <c r="BI135" s="225"/>
      <c r="BJ135" s="225"/>
      <c r="BK135" s="225"/>
      <c r="BL135" s="225"/>
      <c r="BM135" s="225"/>
      <c r="BN135" s="225"/>
      <c r="BO135" s="225"/>
      <c r="BP135" s="225"/>
      <c r="BQ135" s="225"/>
      <c r="BR135" s="225"/>
      <c r="BS135" s="225"/>
      <c r="BT135" s="225"/>
      <c r="BU135" s="225"/>
      <c r="BV135" s="225"/>
      <c r="BW135" s="225"/>
      <c r="BX135" s="225"/>
      <c r="BY135" s="225"/>
      <c r="BZ135" s="225"/>
      <c r="CA135" s="225"/>
    </row>
    <row r="136" spans="1:86" x14ac:dyDescent="0.2">
      <c r="N136" s="227"/>
      <c r="O136" s="227"/>
      <c r="P136" s="227"/>
      <c r="Q136" s="227"/>
      <c r="R136" s="227"/>
      <c r="S136" s="227"/>
    </row>
    <row r="137" spans="1:86" x14ac:dyDescent="0.2">
      <c r="B137" s="225" t="s">
        <v>424</v>
      </c>
      <c r="C137" s="45">
        <f t="shared" ref="C137:G137" si="574">+C126*$A$121</f>
        <v>168900</v>
      </c>
      <c r="D137" s="45">
        <f t="shared" si="574"/>
        <v>168857</v>
      </c>
      <c r="E137" s="45">
        <f t="shared" si="574"/>
        <v>159000</v>
      </c>
      <c r="F137" s="45">
        <f t="shared" si="574"/>
        <v>170841</v>
      </c>
      <c r="G137" s="45">
        <f t="shared" si="574"/>
        <v>183799</v>
      </c>
      <c r="H137" s="34">
        <f>+H126*$A$121</f>
        <v>168900</v>
      </c>
      <c r="I137" s="34">
        <f t="shared" ref="I137" si="575">+I126*$A$121</f>
        <v>168857</v>
      </c>
      <c r="J137" s="34"/>
      <c r="K137" s="34"/>
      <c r="L137" s="34"/>
      <c r="M137" s="34"/>
      <c r="N137" s="34"/>
      <c r="O137" s="45">
        <f t="shared" ref="O137:S137" si="576">+O126*$A$121</f>
        <v>168883.45714285714</v>
      </c>
      <c r="P137" s="45">
        <f t="shared" si="576"/>
        <v>168883.45714285714</v>
      </c>
      <c r="Q137" s="45">
        <f t="shared" si="576"/>
        <v>168883.45714285714</v>
      </c>
      <c r="R137" s="45">
        <f t="shared" si="576"/>
        <v>168883.45714285714</v>
      </c>
      <c r="S137" s="45">
        <f t="shared" si="576"/>
        <v>168883.45714285714</v>
      </c>
      <c r="T137" s="34">
        <f>+T126*$A$121</f>
        <v>168883.45714285714</v>
      </c>
      <c r="U137" s="34">
        <f t="shared" ref="U137" si="577">+U126*$A$121</f>
        <v>168883.45714285714</v>
      </c>
    </row>
    <row r="138" spans="1:86" x14ac:dyDescent="0.2">
      <c r="B138" s="225" t="s">
        <v>425</v>
      </c>
      <c r="C138" s="45">
        <f t="shared" ref="C138:G138" si="578">+C127*$A$121</f>
        <v>497907.85714285716</v>
      </c>
      <c r="D138" s="45">
        <f t="shared" si="578"/>
        <v>268894</v>
      </c>
      <c r="E138" s="45">
        <f t="shared" si="578"/>
        <v>497910</v>
      </c>
      <c r="F138" s="45">
        <f t="shared" si="578"/>
        <v>345712</v>
      </c>
      <c r="G138" s="45">
        <f t="shared" si="578"/>
        <v>537761</v>
      </c>
      <c r="H138" s="34">
        <f t="shared" ref="H138:I139" si="579">+H127*$A$121</f>
        <v>614583.5</v>
      </c>
      <c r="I138" s="34">
        <f t="shared" si="579"/>
        <v>497907.85714285716</v>
      </c>
      <c r="J138" s="34"/>
      <c r="K138" s="34"/>
      <c r="L138" s="34"/>
      <c r="M138" s="34"/>
      <c r="N138" s="34"/>
      <c r="O138" s="45">
        <f t="shared" ref="O138:U138" si="580">+O127*$A$121</f>
        <v>493862.14285714284</v>
      </c>
      <c r="P138" s="45">
        <f t="shared" si="580"/>
        <v>493862.14285714284</v>
      </c>
      <c r="Q138" s="45">
        <f t="shared" si="580"/>
        <v>493862.14285714284</v>
      </c>
      <c r="R138" s="45">
        <f t="shared" si="580"/>
        <v>493862.14285714284</v>
      </c>
      <c r="S138" s="45">
        <f t="shared" si="580"/>
        <v>493862.14285714284</v>
      </c>
      <c r="T138" s="34">
        <f t="shared" si="580"/>
        <v>493862.14285714284</v>
      </c>
      <c r="U138" s="34">
        <f t="shared" si="580"/>
        <v>493862.14285714284</v>
      </c>
    </row>
    <row r="139" spans="1:86" x14ac:dyDescent="0.2">
      <c r="B139" s="225" t="s">
        <v>426</v>
      </c>
      <c r="C139" s="45">
        <f t="shared" ref="C139:G139" si="581">+C128*$A$121</f>
        <v>674409.16142857145</v>
      </c>
      <c r="D139" s="45">
        <f t="shared" si="581"/>
        <v>674405</v>
      </c>
      <c r="E139" s="45">
        <f t="shared" si="581"/>
        <v>674400</v>
      </c>
      <c r="F139" s="45">
        <f t="shared" si="581"/>
        <v>674405</v>
      </c>
      <c r="G139" s="45">
        <f t="shared" si="581"/>
        <v>674409.16142857145</v>
      </c>
      <c r="H139" s="34">
        <f t="shared" si="579"/>
        <v>674409.16142857145</v>
      </c>
      <c r="I139" s="34">
        <f t="shared" si="579"/>
        <v>674409.16142857145</v>
      </c>
      <c r="J139" s="34"/>
      <c r="K139" s="34"/>
      <c r="L139" s="34"/>
      <c r="M139" s="34"/>
      <c r="N139" s="34"/>
      <c r="O139" s="45">
        <f t="shared" ref="O139:U139" si="582">+O128*$A$121</f>
        <v>668986.21285714291</v>
      </c>
      <c r="P139" s="45">
        <f t="shared" si="582"/>
        <v>668986.21285714291</v>
      </c>
      <c r="Q139" s="45">
        <f t="shared" si="582"/>
        <v>668986.21285714291</v>
      </c>
      <c r="R139" s="45">
        <f t="shared" si="582"/>
        <v>668986.21285714291</v>
      </c>
      <c r="S139" s="45">
        <f t="shared" si="582"/>
        <v>668986.21285714291</v>
      </c>
      <c r="T139" s="34">
        <f t="shared" si="582"/>
        <v>668986.21285714291</v>
      </c>
      <c r="U139" s="34">
        <f t="shared" si="582"/>
        <v>668986.21285714291</v>
      </c>
    </row>
    <row r="140" spans="1:86" x14ac:dyDescent="0.2">
      <c r="B140" s="225" t="s">
        <v>427</v>
      </c>
      <c r="C140" s="231">
        <f t="shared" ref="C140:G140" si="583">C137+C138+C139</f>
        <v>1341217.0185714285</v>
      </c>
      <c r="D140" s="231">
        <f t="shared" si="583"/>
        <v>1112156</v>
      </c>
      <c r="E140" s="231">
        <f t="shared" si="583"/>
        <v>1331310</v>
      </c>
      <c r="F140" s="231">
        <f t="shared" si="583"/>
        <v>1190958</v>
      </c>
      <c r="G140" s="231">
        <f t="shared" si="583"/>
        <v>1395969.1614285714</v>
      </c>
      <c r="H140" s="227">
        <f t="shared" ref="H140:I140" si="584">H137+H138+H139</f>
        <v>1457892.6614285714</v>
      </c>
      <c r="I140" s="227">
        <f t="shared" si="584"/>
        <v>1341174.0185714285</v>
      </c>
      <c r="J140" s="227"/>
      <c r="K140" s="227"/>
      <c r="L140" s="227"/>
      <c r="M140" s="227"/>
      <c r="N140" s="227"/>
      <c r="O140" s="231">
        <f t="shared" ref="O140:U140" si="585">O137+O138+O139</f>
        <v>1331731.8128571429</v>
      </c>
      <c r="P140" s="231">
        <f t="shared" si="585"/>
        <v>1331731.8128571429</v>
      </c>
      <c r="Q140" s="231">
        <f t="shared" si="585"/>
        <v>1331731.8128571429</v>
      </c>
      <c r="R140" s="231">
        <f t="shared" si="585"/>
        <v>1331731.8128571429</v>
      </c>
      <c r="S140" s="231">
        <f t="shared" si="585"/>
        <v>1331731.8128571429</v>
      </c>
      <c r="T140" s="227">
        <f t="shared" si="585"/>
        <v>1331731.8128571429</v>
      </c>
      <c r="U140" s="227">
        <f t="shared" si="585"/>
        <v>1331731.8128571429</v>
      </c>
    </row>
    <row r="142" spans="1:86" x14ac:dyDescent="0.2">
      <c r="B142" s="225" t="s">
        <v>502</v>
      </c>
    </row>
    <row r="143" spans="1:86" x14ac:dyDescent="0.2">
      <c r="B143" s="479">
        <f>SUM(C126:I126)-SUM(C137:I137)</f>
        <v>0</v>
      </c>
      <c r="C143" s="45"/>
      <c r="D143" s="45"/>
      <c r="E143" s="45"/>
      <c r="F143" s="45"/>
      <c r="G143" s="45"/>
    </row>
    <row r="144" spans="1:86" x14ac:dyDescent="0.2">
      <c r="B144" s="225" t="s">
        <v>503</v>
      </c>
      <c r="T144" s="245"/>
      <c r="U144" s="227"/>
      <c r="V144" s="229"/>
      <c r="W144" s="246"/>
    </row>
    <row r="145" spans="2:23" x14ac:dyDescent="0.2">
      <c r="B145" s="480">
        <f>SUM(C127:I127)-SUM(C138:I138)</f>
        <v>0</v>
      </c>
      <c r="C145" s="247"/>
      <c r="D145" s="247"/>
      <c r="E145" s="247"/>
      <c r="F145" s="247"/>
      <c r="G145" s="247"/>
      <c r="T145" s="245"/>
      <c r="U145" s="227"/>
      <c r="V145" s="229"/>
      <c r="W145" s="246"/>
    </row>
    <row r="146" spans="2:23" x14ac:dyDescent="0.2">
      <c r="B146" s="225" t="s">
        <v>504</v>
      </c>
      <c r="T146" s="245"/>
      <c r="U146" s="227"/>
      <c r="V146" s="229"/>
      <c r="W146" s="246"/>
    </row>
    <row r="147" spans="2:23" x14ac:dyDescent="0.2">
      <c r="B147" s="480">
        <f>SUM(C128:I128)-SUM(C139:I139)</f>
        <v>0</v>
      </c>
      <c r="C147" s="247"/>
      <c r="D147" s="247"/>
      <c r="E147" s="247"/>
      <c r="F147" s="247"/>
      <c r="G147" s="247"/>
    </row>
    <row r="148" spans="2:23" x14ac:dyDescent="0.2">
      <c r="V148" s="245"/>
    </row>
    <row r="150" spans="2:23" x14ac:dyDescent="0.2">
      <c r="B150" s="225" t="s">
        <v>505</v>
      </c>
    </row>
    <row r="151" spans="2:23" x14ac:dyDescent="0.2">
      <c r="B151" s="247">
        <f>+B143+B147</f>
        <v>0</v>
      </c>
      <c r="C151" s="247"/>
      <c r="D151" s="247"/>
      <c r="E151" s="247"/>
      <c r="F151" s="247"/>
      <c r="G151" s="247"/>
    </row>
    <row r="156" spans="2:23" x14ac:dyDescent="0.2">
      <c r="B156" s="225" t="s">
        <v>535</v>
      </c>
      <c r="H156" s="226">
        <v>1632915</v>
      </c>
      <c r="I156" s="226">
        <v>1632915</v>
      </c>
      <c r="J156" s="226">
        <v>1632915</v>
      </c>
      <c r="K156" s="226">
        <v>1632915</v>
      </c>
      <c r="L156" s="226">
        <v>1632915</v>
      </c>
      <c r="M156" s="226">
        <v>1632915</v>
      </c>
    </row>
  </sheetData>
  <phoneticPr fontId="2" type="noConversion"/>
  <pageMargins left="0.25" right="0.25" top="1" bottom="1" header="0.5" footer="0.5"/>
  <pageSetup scale="40" fitToHeight="2" orientation="landscape" horizontalDpi="300" r:id="rId1"/>
  <headerFooter alignWithMargins="0"/>
  <rowBreaks count="1" manualBreakCount="1">
    <brk id="53" max="81" man="1"/>
  </rowBreaks>
  <customProperties>
    <customPr name="_pios_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1" bestFit="1" customWidth="1"/>
    <col min="2" max="2" width="29.5703125" style="1" customWidth="1"/>
    <col min="3" max="3" width="9.85546875" style="2" bestFit="1" customWidth="1"/>
    <col min="4" max="4" width="15.140625" style="2" customWidth="1"/>
    <col min="5" max="5" width="9" style="2"/>
    <col min="6" max="6" width="19" style="2" customWidth="1"/>
    <col min="7" max="7" width="3" style="2" customWidth="1"/>
    <col min="8" max="8" width="12.85546875" style="2" customWidth="1"/>
    <col min="9" max="9" width="26.85546875" style="16" customWidth="1"/>
    <col min="10" max="10" width="16.42578125" style="17" customWidth="1"/>
    <col min="11" max="11" width="13.85546875" style="17" customWidth="1"/>
    <col min="12" max="12" width="16.5703125" style="17" customWidth="1"/>
    <col min="13" max="13" width="11.5703125" style="17" bestFit="1" customWidth="1"/>
    <col min="14" max="14" width="17.5703125" style="17" customWidth="1"/>
    <col min="15" max="37" width="9" style="17"/>
    <col min="38" max="16384" width="9" style="2"/>
  </cols>
  <sheetData>
    <row r="1" spans="1:37" s="1" customFormat="1" x14ac:dyDescent="0.2">
      <c r="B1" s="1" t="s">
        <v>405</v>
      </c>
      <c r="G1" s="5" t="s">
        <v>10</v>
      </c>
      <c r="H1" s="5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</row>
    <row r="2" spans="1:37" s="1" customFormat="1" x14ac:dyDescent="0.2"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37" s="1" customFormat="1" x14ac:dyDescent="0.2">
      <c r="A3" s="18" t="s">
        <v>9</v>
      </c>
      <c r="B3" s="18"/>
      <c r="C3" s="18"/>
      <c r="D3" s="18"/>
      <c r="E3" s="19"/>
      <c r="F3" s="18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37" s="1" customFormat="1" x14ac:dyDescent="0.2">
      <c r="A4" s="18" t="s">
        <v>11</v>
      </c>
      <c r="B4" s="18"/>
      <c r="C4" s="18"/>
      <c r="D4" s="18"/>
      <c r="E4" s="19"/>
      <c r="F4" s="18"/>
      <c r="I4" s="16"/>
      <c r="J4" s="16"/>
      <c r="K4" s="16"/>
      <c r="L4" s="2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37" s="1" customFormat="1" x14ac:dyDescent="0.2">
      <c r="A5" s="18" t="s">
        <v>546</v>
      </c>
      <c r="B5" s="18"/>
      <c r="C5" s="18"/>
      <c r="D5" s="18"/>
      <c r="E5" s="20"/>
      <c r="F5" s="18"/>
      <c r="I5" s="16"/>
      <c r="J5" s="16"/>
      <c r="K5" s="16"/>
      <c r="L5" s="22"/>
      <c r="M5" s="16"/>
      <c r="N5" s="22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</row>
    <row r="6" spans="1:37" s="1" customFormat="1" x14ac:dyDescent="0.2"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</row>
    <row r="7" spans="1:37" s="1" customFormat="1" x14ac:dyDescent="0.2">
      <c r="A7" s="7" t="s">
        <v>12</v>
      </c>
      <c r="C7" s="4" t="s">
        <v>18</v>
      </c>
      <c r="F7" s="4" t="s">
        <v>19</v>
      </c>
      <c r="G7" s="15"/>
      <c r="H7" s="15"/>
      <c r="I7" s="15"/>
      <c r="J7" s="15"/>
      <c r="K7" s="15"/>
      <c r="L7" s="15"/>
      <c r="M7" s="15"/>
      <c r="N7" s="15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</row>
    <row r="8" spans="1:37" s="1" customFormat="1" ht="25.5" x14ac:dyDescent="0.2">
      <c r="A8" s="8" t="s">
        <v>17</v>
      </c>
      <c r="B8" s="9" t="s">
        <v>27</v>
      </c>
      <c r="C8" s="10" t="s">
        <v>20</v>
      </c>
      <c r="D8" s="10" t="s">
        <v>21</v>
      </c>
      <c r="E8" s="10" t="s">
        <v>6</v>
      </c>
      <c r="F8" s="10" t="s">
        <v>22</v>
      </c>
      <c r="G8" s="16"/>
      <c r="H8" s="161" t="s">
        <v>510</v>
      </c>
      <c r="I8" s="16"/>
      <c r="J8" s="194" t="s">
        <v>538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</row>
    <row r="9" spans="1:37" s="1" customFormat="1" x14ac:dyDescent="0.2">
      <c r="C9" s="4" t="s">
        <v>13</v>
      </c>
      <c r="D9" s="4" t="s">
        <v>14</v>
      </c>
      <c r="E9" s="4" t="s">
        <v>15</v>
      </c>
      <c r="F9" s="4" t="s">
        <v>16</v>
      </c>
      <c r="G9" s="15"/>
      <c r="H9" s="15"/>
      <c r="I9" s="16"/>
      <c r="J9" s="16"/>
      <c r="K9" s="15"/>
      <c r="L9" s="16"/>
      <c r="M9" s="16"/>
      <c r="N9" s="15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</row>
    <row r="10" spans="1:37" x14ac:dyDescent="0.2">
      <c r="G10" s="15"/>
      <c r="H10" s="15"/>
      <c r="J10" s="15"/>
      <c r="K10" s="15"/>
      <c r="L10" s="15"/>
      <c r="M10" s="15"/>
      <c r="N10" s="15"/>
    </row>
    <row r="11" spans="1:37" x14ac:dyDescent="0.2">
      <c r="A11" s="1">
        <v>1</v>
      </c>
      <c r="B11" s="35" t="s">
        <v>30</v>
      </c>
      <c r="C11" s="15"/>
      <c r="D11" s="15"/>
      <c r="E11" s="15"/>
      <c r="F11" s="15"/>
      <c r="K11" s="15"/>
      <c r="L11" s="15"/>
      <c r="M11" s="15"/>
      <c r="N11" s="15"/>
    </row>
    <row r="12" spans="1:37" x14ac:dyDescent="0.2">
      <c r="A12" s="1">
        <v>2</v>
      </c>
      <c r="B12" s="1" t="s">
        <v>23</v>
      </c>
      <c r="C12" s="6">
        <f>'Test Year Monthly - (Pres)'!P12</f>
        <v>48574306.238078319</v>
      </c>
      <c r="D12" s="6"/>
      <c r="E12" s="11">
        <f>'Rate Design'!F12</f>
        <v>18.649999999999999</v>
      </c>
      <c r="F12" s="3">
        <f>C12*E12</f>
        <v>905910811.34016061</v>
      </c>
      <c r="H12" s="163">
        <f>'Test Year Monthly - (Pres)'!P18</f>
        <v>0</v>
      </c>
    </row>
    <row r="13" spans="1:37" x14ac:dyDescent="0.2">
      <c r="A13" s="1">
        <v>3</v>
      </c>
      <c r="B13" s="1" t="s">
        <v>24</v>
      </c>
      <c r="C13" s="6"/>
      <c r="D13" s="6">
        <f>'Test Year Monthly - (Pres)'!P13</f>
        <v>1874037</v>
      </c>
      <c r="E13" s="14">
        <f>'Rate Design'!F19</f>
        <v>1.3180000000000001</v>
      </c>
      <c r="F13" s="6">
        <f>D13*E13</f>
        <v>2469980.7660000003</v>
      </c>
      <c r="J13" s="49">
        <f>SUM('Test Year Monthly - (Pres)'!D13:G13)+'Test Year Monthly - (Pres)'!O13</f>
        <v>772942</v>
      </c>
    </row>
    <row r="14" spans="1:37" x14ac:dyDescent="0.2">
      <c r="A14" s="1">
        <v>4</v>
      </c>
      <c r="B14" s="1" t="s">
        <v>28</v>
      </c>
      <c r="C14" s="1"/>
      <c r="D14" s="6">
        <f>'Test Year Monthly - (Pres)'!P14</f>
        <v>10336506.97122786</v>
      </c>
      <c r="E14" s="14">
        <f>'Rate Design'!F20</f>
        <v>0.87999999999999989</v>
      </c>
      <c r="F14" s="6">
        <f>D14*E14</f>
        <v>9096126.1346805152</v>
      </c>
      <c r="J14" s="49">
        <f>SUM('Test Year Monthly - (Pres)'!K14:O14)</f>
        <v>6719750.7728396263</v>
      </c>
    </row>
    <row r="15" spans="1:37" x14ac:dyDescent="0.2">
      <c r="A15" s="1">
        <v>5</v>
      </c>
      <c r="B15" s="1" t="s">
        <v>29</v>
      </c>
      <c r="C15" s="1"/>
      <c r="D15" s="170">
        <v>0</v>
      </c>
      <c r="E15" s="14">
        <f>'Rate Design'!F21</f>
        <v>0.62</v>
      </c>
      <c r="F15" s="6">
        <f>D15*E15</f>
        <v>0</v>
      </c>
      <c r="J15" s="49">
        <f>SUM('Test Year Monthly - (Pres)'!K15:O15)</f>
        <v>0</v>
      </c>
    </row>
    <row r="16" spans="1:37" x14ac:dyDescent="0.2">
      <c r="A16" s="1">
        <v>6</v>
      </c>
      <c r="B16" s="32" t="s">
        <v>26</v>
      </c>
      <c r="C16" s="31">
        <f>SUM(C12:C15)</f>
        <v>48574306.238078319</v>
      </c>
      <c r="D16" s="31">
        <f>SUM(D12:D15)</f>
        <v>12210543.97122786</v>
      </c>
      <c r="E16" s="32"/>
      <c r="F16" s="31">
        <f>SUM(F12:F15)</f>
        <v>917476918.24084115</v>
      </c>
      <c r="G16" s="1"/>
      <c r="H16" s="38">
        <f>H12+F16</f>
        <v>917476918.24084115</v>
      </c>
      <c r="I16" s="16" t="s">
        <v>511</v>
      </c>
      <c r="J16" s="31">
        <f>SUM(J13:J15)</f>
        <v>7492692.7728396263</v>
      </c>
      <c r="K16" s="159"/>
    </row>
    <row r="17" spans="1:11" x14ac:dyDescent="0.2">
      <c r="A17" s="1">
        <v>7</v>
      </c>
      <c r="C17" s="1"/>
      <c r="D17" s="1"/>
      <c r="E17" s="1"/>
      <c r="F17" s="1"/>
      <c r="G17" s="1"/>
      <c r="H17" s="1"/>
      <c r="J17" s="16"/>
    </row>
    <row r="18" spans="1:11" x14ac:dyDescent="0.2">
      <c r="A18" s="1">
        <v>8</v>
      </c>
      <c r="B18" s="16" t="s">
        <v>486</v>
      </c>
      <c r="C18" s="37"/>
      <c r="D18" s="37"/>
      <c r="E18" s="16"/>
      <c r="F18" s="38"/>
      <c r="G18" s="1"/>
      <c r="H18" s="1"/>
      <c r="J18" s="16"/>
    </row>
    <row r="19" spans="1:11" x14ac:dyDescent="0.2">
      <c r="A19" s="1">
        <v>9</v>
      </c>
      <c r="B19" s="35" t="s">
        <v>485</v>
      </c>
      <c r="C19" s="1"/>
      <c r="D19" s="1"/>
      <c r="E19" s="1"/>
      <c r="F19" s="1"/>
      <c r="G19" s="1"/>
      <c r="H19" s="1"/>
      <c r="J19" s="16"/>
    </row>
    <row r="20" spans="1:11" x14ac:dyDescent="0.2">
      <c r="A20" s="1">
        <v>10</v>
      </c>
      <c r="B20" s="1" t="s">
        <v>23</v>
      </c>
      <c r="C20" s="36">
        <f>'Test Year Monthly - (Pres)'!P21+'Test Year Monthly - (Pres)'!P39</f>
        <v>18721272.682243027</v>
      </c>
      <c r="D20" s="15"/>
      <c r="E20" s="99">
        <f>'Rate Design'!F13</f>
        <v>48.44</v>
      </c>
      <c r="F20" s="3">
        <f>C20*E20</f>
        <v>906858448.72785223</v>
      </c>
      <c r="G20" s="1"/>
      <c r="H20" s="162">
        <f>'Test Year Monthly - (Pres)'!P27+'Test Year Monthly - (Pres)'!P45</f>
        <v>0</v>
      </c>
      <c r="J20" s="16"/>
    </row>
    <row r="21" spans="1:11" x14ac:dyDescent="0.2">
      <c r="A21" s="1">
        <v>11</v>
      </c>
      <c r="B21" s="1" t="s">
        <v>24</v>
      </c>
      <c r="C21" s="6"/>
      <c r="D21" s="6">
        <f>'Test Year Monthly - (Pres)'!P22+'Test Year Monthly - (Pres)'!P40</f>
        <v>226503</v>
      </c>
      <c r="E21" s="14">
        <f>E13</f>
        <v>1.3180000000000001</v>
      </c>
      <c r="F21" s="6">
        <f>D21*E21</f>
        <v>298530.95400000003</v>
      </c>
      <c r="G21" s="1"/>
      <c r="H21" s="1"/>
      <c r="J21" s="49">
        <f>SUM('Test Year Monthly - (Pres)'!D22:G22)+'Test Year Monthly - (Pres)'!O22</f>
        <v>85241</v>
      </c>
    </row>
    <row r="22" spans="1:11" x14ac:dyDescent="0.2">
      <c r="A22" s="1">
        <v>12</v>
      </c>
      <c r="B22" s="1" t="s">
        <v>25</v>
      </c>
      <c r="C22" s="6"/>
      <c r="D22" s="6">
        <f>'Test Year Monthly - (Pres)'!P23+'Test Year Monthly - (Pres)'!P41</f>
        <v>5282093.2142900201</v>
      </c>
      <c r="E22" s="14">
        <f>E14</f>
        <v>0.87999999999999989</v>
      </c>
      <c r="F22" s="6">
        <f>D22*E22</f>
        <v>4648242.0285752174</v>
      </c>
      <c r="G22" s="1"/>
      <c r="H22" s="1"/>
      <c r="J22" s="49">
        <f>SUM('Test Year Monthly - (Pres)'!D23:G23)+'Test Year Monthly - (Pres)'!O23</f>
        <v>765744.82212198712</v>
      </c>
    </row>
    <row r="23" spans="1:11" x14ac:dyDescent="0.2">
      <c r="A23" s="1">
        <v>13</v>
      </c>
      <c r="B23" s="1" t="s">
        <v>29</v>
      </c>
      <c r="C23" s="6"/>
      <c r="D23" s="6">
        <f>'Test Year Monthly - (Pres)'!P24+'Test Year Monthly - (Pres)'!P42</f>
        <v>895077.84750998067</v>
      </c>
      <c r="E23" s="14">
        <f>E15</f>
        <v>0.62</v>
      </c>
      <c r="F23" s="6">
        <f>D23*E23</f>
        <v>554948.265456188</v>
      </c>
      <c r="G23" s="1"/>
      <c r="H23" s="1"/>
      <c r="J23" s="44">
        <f>SUM('Test Year Monthly - (Pres)'!K24:O24)+SUM('Test Year Monthly - (Pres)'!K42:O42)</f>
        <v>550250.05706512928</v>
      </c>
    </row>
    <row r="24" spans="1:11" x14ac:dyDescent="0.2">
      <c r="A24" s="1">
        <v>14</v>
      </c>
      <c r="B24" s="32" t="s">
        <v>26</v>
      </c>
      <c r="C24" s="31">
        <f>SUM(C20:C23)</f>
        <v>18721272.682243027</v>
      </c>
      <c r="D24" s="31">
        <f>SUM(D21:D23)</f>
        <v>6403674.0618000012</v>
      </c>
      <c r="E24" s="32"/>
      <c r="F24" s="31">
        <f>SUM(F20:F23)</f>
        <v>912360169.9758836</v>
      </c>
      <c r="G24" s="1"/>
      <c r="H24" s="60">
        <f>H20+F24</f>
        <v>912360169.9758836</v>
      </c>
      <c r="I24" s="16" t="s">
        <v>512</v>
      </c>
      <c r="J24" s="31">
        <f>SUM(J21:J23)</f>
        <v>1401235.8791871164</v>
      </c>
      <c r="K24" s="159"/>
    </row>
    <row r="25" spans="1:11" x14ac:dyDescent="0.2">
      <c r="A25" s="1">
        <v>15</v>
      </c>
      <c r="C25" s="1"/>
      <c r="D25" s="1"/>
      <c r="E25" s="14"/>
      <c r="F25" s="1"/>
      <c r="G25" s="1"/>
      <c r="H25" s="1"/>
      <c r="J25" s="16"/>
    </row>
    <row r="26" spans="1:11" x14ac:dyDescent="0.2">
      <c r="A26" s="1">
        <v>16</v>
      </c>
      <c r="B26" s="35" t="s">
        <v>539</v>
      </c>
      <c r="C26" s="1"/>
      <c r="D26" s="1"/>
      <c r="E26" s="14"/>
      <c r="F26" s="1"/>
      <c r="G26" s="1"/>
      <c r="H26" s="1"/>
      <c r="J26" s="16"/>
    </row>
    <row r="27" spans="1:11" x14ac:dyDescent="0.2">
      <c r="A27" s="1">
        <v>17</v>
      </c>
      <c r="B27" s="1" t="s">
        <v>23</v>
      </c>
      <c r="C27" s="6">
        <f>'Test Year Monthly - (Pres)'!P30</f>
        <v>768388.18986009096</v>
      </c>
      <c r="D27" s="6"/>
      <c r="E27" s="99">
        <f>E20</f>
        <v>48.44</v>
      </c>
      <c r="F27" s="3">
        <f>C27*E27</f>
        <v>37220723.916822806</v>
      </c>
      <c r="G27" s="1"/>
      <c r="H27" s="162">
        <f>'Test Year Monthly - (Pres)'!P36</f>
        <v>0</v>
      </c>
      <c r="J27" s="16"/>
    </row>
    <row r="28" spans="1:11" x14ac:dyDescent="0.2">
      <c r="A28" s="1">
        <v>18</v>
      </c>
      <c r="B28" s="1" t="s">
        <v>35</v>
      </c>
      <c r="C28" s="6"/>
      <c r="D28" s="6">
        <f>'Test Year Monthly - (Pres)'!P31</f>
        <v>2366</v>
      </c>
      <c r="E28" s="14">
        <f>E21</f>
        <v>1.3180000000000001</v>
      </c>
      <c r="F28" s="12">
        <f t="shared" ref="F28:F33" si="0">D28*E28</f>
        <v>3118.3879999999999</v>
      </c>
      <c r="J28" s="49">
        <f>SUM('Test Year Monthly - (Pres)'!D31:G31)+'Test Year Monthly - (Pres)'!O31</f>
        <v>990</v>
      </c>
    </row>
    <row r="29" spans="1:11" x14ac:dyDescent="0.2">
      <c r="A29" s="1">
        <v>19</v>
      </c>
      <c r="B29" s="1" t="s">
        <v>36</v>
      </c>
      <c r="C29" s="6"/>
      <c r="D29" s="6">
        <f>'Test Year Monthly - (Pres)'!P32</f>
        <v>275016.43995454541</v>
      </c>
      <c r="E29" s="14">
        <f>E22</f>
        <v>0.87999999999999989</v>
      </c>
      <c r="F29" s="12">
        <f t="shared" si="0"/>
        <v>242014.46715999994</v>
      </c>
      <c r="G29" s="1"/>
      <c r="H29" s="1"/>
      <c r="J29" s="49">
        <f>SUM('Test Year Monthly - (Pres)'!D32:G32)+'Test Year Monthly - (Pres)'!O32</f>
        <v>52585.039672727267</v>
      </c>
    </row>
    <row r="30" spans="1:11" x14ac:dyDescent="0.2">
      <c r="A30" s="1">
        <v>20</v>
      </c>
      <c r="B30" s="1" t="s">
        <v>37</v>
      </c>
      <c r="C30" s="6"/>
      <c r="D30" s="6">
        <f>'Test Year Monthly - (Pres)'!P33</f>
        <v>331031.22954545461</v>
      </c>
      <c r="E30" s="14">
        <f>E23</f>
        <v>0.62</v>
      </c>
      <c r="F30" s="12">
        <f t="shared" si="0"/>
        <v>205239.36231818187</v>
      </c>
      <c r="G30" s="1"/>
      <c r="H30" s="1"/>
      <c r="J30" s="49">
        <f>SUM('Test Year Monthly - (Pres)'!D33:G33)+'Test Year Monthly - (Pres)'!O33</f>
        <v>35569.497727272726</v>
      </c>
    </row>
    <row r="31" spans="1:11" x14ac:dyDescent="0.2">
      <c r="A31" s="1">
        <v>21</v>
      </c>
      <c r="B31" s="1" t="s">
        <v>32</v>
      </c>
      <c r="C31" s="6"/>
      <c r="D31" s="6"/>
      <c r="E31" s="14">
        <f>E28</f>
        <v>1.3180000000000001</v>
      </c>
      <c r="F31" s="12">
        <f t="shared" si="0"/>
        <v>0</v>
      </c>
      <c r="G31" s="1"/>
      <c r="H31" s="1"/>
      <c r="J31" s="26"/>
    </row>
    <row r="32" spans="1:11" x14ac:dyDescent="0.2">
      <c r="A32" s="1">
        <v>22</v>
      </c>
      <c r="B32" s="1" t="s">
        <v>33</v>
      </c>
      <c r="C32" s="6"/>
      <c r="D32" s="6"/>
      <c r="E32" s="14">
        <f>E29</f>
        <v>0.87999999999999989</v>
      </c>
      <c r="F32" s="12">
        <f t="shared" si="0"/>
        <v>0</v>
      </c>
      <c r="G32" s="1"/>
      <c r="H32" s="1"/>
      <c r="J32" s="26"/>
    </row>
    <row r="33" spans="1:14" x14ac:dyDescent="0.2">
      <c r="A33" s="1">
        <v>23</v>
      </c>
      <c r="B33" s="1" t="s">
        <v>34</v>
      </c>
      <c r="C33" s="6"/>
      <c r="D33" s="6"/>
      <c r="E33" s="14">
        <f>E30</f>
        <v>0.62</v>
      </c>
      <c r="F33" s="12">
        <f t="shared" si="0"/>
        <v>0</v>
      </c>
      <c r="G33" s="1"/>
      <c r="H33" s="1"/>
      <c r="J33" s="26"/>
    </row>
    <row r="34" spans="1:14" x14ac:dyDescent="0.2">
      <c r="A34" s="1">
        <v>24</v>
      </c>
      <c r="B34" s="32" t="s">
        <v>26</v>
      </c>
      <c r="C34" s="31">
        <f>SUM(C27:C33)</f>
        <v>768388.18986009096</v>
      </c>
      <c r="D34" s="31">
        <f>SUM(D28:D33)</f>
        <v>608413.66950000008</v>
      </c>
      <c r="E34" s="32"/>
      <c r="F34" s="33">
        <f>SUM(F27:F33)</f>
        <v>37671096.134300984</v>
      </c>
      <c r="G34" s="1"/>
      <c r="H34" s="60">
        <f>H27+F34</f>
        <v>37671096.134300984</v>
      </c>
      <c r="I34" s="16" t="s">
        <v>513</v>
      </c>
      <c r="J34" s="31">
        <f>SUM(J28:J33)</f>
        <v>89144.537400000001</v>
      </c>
    </row>
    <row r="35" spans="1:14" x14ac:dyDescent="0.2">
      <c r="A35" s="1">
        <v>25</v>
      </c>
    </row>
    <row r="36" spans="1:14" x14ac:dyDescent="0.2">
      <c r="A36" s="1">
        <v>26</v>
      </c>
      <c r="B36" s="1" t="s">
        <v>487</v>
      </c>
      <c r="K36" s="159"/>
    </row>
    <row r="37" spans="1:14" x14ac:dyDescent="0.2">
      <c r="A37" s="1">
        <v>27</v>
      </c>
      <c r="B37" s="158" t="s">
        <v>540</v>
      </c>
      <c r="C37" s="1"/>
      <c r="D37" s="1"/>
      <c r="E37" s="1"/>
      <c r="F37" s="1"/>
      <c r="G37" s="1"/>
      <c r="H37" s="1"/>
      <c r="J37" s="16"/>
      <c r="K37" s="159"/>
    </row>
    <row r="38" spans="1:14" x14ac:dyDescent="0.2">
      <c r="A38" s="1">
        <v>28</v>
      </c>
      <c r="B38" s="1" t="s">
        <v>541</v>
      </c>
      <c r="C38" s="6">
        <f>'Test Year Monthly - (Pres)'!P48+'Test Year Monthly - (Pres)'!P56</f>
        <v>313467.52913860005</v>
      </c>
      <c r="D38" s="1"/>
      <c r="E38" s="99">
        <f>'Test Year Monthly - (Pres)'!C56</f>
        <v>0</v>
      </c>
      <c r="F38" s="3">
        <f>C38*E38</f>
        <v>0</v>
      </c>
      <c r="G38" s="1"/>
      <c r="H38" s="162">
        <f>'Test Year Monthly - (Pres)'!P53+'Test Year Monthly - (Pres)'!P61</f>
        <v>0</v>
      </c>
    </row>
    <row r="39" spans="1:14" x14ac:dyDescent="0.2">
      <c r="A39" s="1">
        <v>25</v>
      </c>
      <c r="B39" s="1" t="s">
        <v>542</v>
      </c>
      <c r="C39" s="43">
        <f>'Test Year Monthly - (Pres)'!P64</f>
        <v>7691062.1939500002</v>
      </c>
      <c r="E39" s="195">
        <f>'Test Year Monthly - (Pres)'!C64</f>
        <v>0</v>
      </c>
      <c r="F39" s="6">
        <f>C39*E39</f>
        <v>0</v>
      </c>
      <c r="J39" s="16"/>
    </row>
    <row r="40" spans="1:14" x14ac:dyDescent="0.2">
      <c r="A40" s="1">
        <v>26</v>
      </c>
      <c r="B40" s="1" t="s">
        <v>543</v>
      </c>
      <c r="C40" s="43">
        <f>'Test Year Monthly - (Pres)'!P80</f>
        <v>6705205.0622000005</v>
      </c>
      <c r="E40" s="195">
        <f>'Monthly Forecast'!C80</f>
        <v>388.79</v>
      </c>
      <c r="F40" s="6">
        <f t="shared" ref="F40:F41" si="1">C40*E40</f>
        <v>2606916676.1327381</v>
      </c>
      <c r="J40" s="37"/>
    </row>
    <row r="41" spans="1:14" x14ac:dyDescent="0.2">
      <c r="A41" s="1">
        <v>27</v>
      </c>
      <c r="B41" s="1" t="s">
        <v>544</v>
      </c>
      <c r="C41" s="43">
        <f>'Test Year Monthly - (Pres)'!P89</f>
        <v>2618728.0574999996</v>
      </c>
      <c r="E41" s="195">
        <f>'Test Year Monthly - (Pres)'!C89</f>
        <v>0</v>
      </c>
      <c r="F41" s="6">
        <f t="shared" si="1"/>
        <v>0</v>
      </c>
    </row>
    <row r="42" spans="1:14" x14ac:dyDescent="0.2">
      <c r="A42" s="1">
        <v>28</v>
      </c>
    </row>
    <row r="43" spans="1:14" x14ac:dyDescent="0.2">
      <c r="A43" s="1">
        <v>29</v>
      </c>
      <c r="B43" s="1" t="s">
        <v>1</v>
      </c>
      <c r="C43" s="6"/>
      <c r="D43" s="1"/>
      <c r="E43" s="165">
        <v>50</v>
      </c>
      <c r="F43" s="6">
        <f>+'Test Year Monthly - (Pres)'!P65+'Test Year Monthly - (Pres)'!P81+'Test Year Monthly - (Pres)'!P90</f>
        <v>2508</v>
      </c>
      <c r="G43" s="1"/>
      <c r="H43" s="1"/>
      <c r="J43" s="37"/>
      <c r="K43" s="16"/>
      <c r="L43" s="22"/>
      <c r="M43" s="23"/>
      <c r="N43" s="22"/>
    </row>
    <row r="44" spans="1:14" x14ac:dyDescent="0.2">
      <c r="A44" s="1">
        <v>30</v>
      </c>
      <c r="B44" s="1" t="s">
        <v>62</v>
      </c>
      <c r="C44" s="6"/>
      <c r="E44" s="164" t="s">
        <v>61</v>
      </c>
      <c r="F44" s="6">
        <f>'Test Year Monthly - (Pres)'!P66+'Test Year Monthly - (Pres)'!P82+'Test Year Monthly - (Pres)'!P91</f>
        <v>124200</v>
      </c>
      <c r="G44" s="1"/>
      <c r="H44" s="1"/>
      <c r="J44" s="37"/>
      <c r="L44" s="22"/>
      <c r="M44" s="23"/>
      <c r="N44" s="22"/>
    </row>
    <row r="45" spans="1:14" x14ac:dyDescent="0.2">
      <c r="A45" s="1">
        <v>31</v>
      </c>
      <c r="B45" s="1" t="s">
        <v>2</v>
      </c>
      <c r="C45" s="6"/>
      <c r="D45" s="57"/>
      <c r="E45" s="179">
        <v>0.1</v>
      </c>
      <c r="F45" s="6">
        <f>'Test Year Monthly - (Pres)'!P67+'Test Year Monthly - (Pres)'!P83+'Test Year Monthly - (Pres)'!P92</f>
        <v>122200</v>
      </c>
      <c r="G45" s="1"/>
      <c r="H45" s="1"/>
      <c r="J45" s="52"/>
      <c r="L45" s="22"/>
      <c r="M45" s="23"/>
      <c r="N45" s="22"/>
    </row>
    <row r="46" spans="1:14" x14ac:dyDescent="0.2">
      <c r="A46" s="1">
        <v>32</v>
      </c>
      <c r="B46" s="1" t="s">
        <v>45</v>
      </c>
      <c r="D46" s="45">
        <f>'Test Year Monthly - (Pres)'!P57+'Test Year Monthly - (Pres)'!P49</f>
        <v>137</v>
      </c>
      <c r="E46" s="14">
        <f>'Test Year Monthly - (Pres)'!C49</f>
        <v>395.56</v>
      </c>
      <c r="F46" s="6">
        <f>D46*E46</f>
        <v>54191.72</v>
      </c>
      <c r="G46" s="1"/>
      <c r="H46" s="1"/>
      <c r="J46" s="49">
        <f>SUM(('Test Year Monthly - (Pres)'!D49:G49),('Test Year Monthly - (Pres)'!D57:G57))+'Test Year Monthly - (Pres)'!O49+'Test Year Monthly - (Pres)'!O57</f>
        <v>49</v>
      </c>
      <c r="K46" s="63"/>
      <c r="L46" s="22"/>
      <c r="M46" s="23"/>
      <c r="N46" s="22"/>
    </row>
    <row r="47" spans="1:14" x14ac:dyDescent="0.2">
      <c r="A47" s="1">
        <v>33</v>
      </c>
      <c r="B47" s="1" t="s">
        <v>44</v>
      </c>
      <c r="D47" s="45">
        <f>'Test Year Monthly - (Pres)'!P50+'Test Year Monthly - (Pres)'!P58</f>
        <v>305159.63339999999</v>
      </c>
      <c r="E47" s="14">
        <f>'Test Year Monthly - (Pres)'!C50</f>
        <v>0.80770000000000008</v>
      </c>
      <c r="F47" s="6">
        <f>D47*E47</f>
        <v>246477.43589718002</v>
      </c>
      <c r="G47" s="1"/>
      <c r="H47" s="1"/>
      <c r="J47" s="49">
        <f>SUM(('Test Year Monthly - (Pres)'!D50:G50),('Test Year Monthly - (Pres)'!D58:G58))+'Test Year Monthly - (Pres)'!O50+'Test Year Monthly - (Pres)'!O58</f>
        <v>122226.7124</v>
      </c>
      <c r="K47" s="16"/>
      <c r="L47" s="22"/>
      <c r="M47" s="23"/>
      <c r="N47" s="22"/>
    </row>
    <row r="48" spans="1:14" x14ac:dyDescent="0.2">
      <c r="A48" s="1">
        <v>34</v>
      </c>
      <c r="B48" s="1" t="s">
        <v>58</v>
      </c>
      <c r="D48" s="6">
        <f>'Test Year Monthly - (Pres)'!P68</f>
        <v>912.89999999999986</v>
      </c>
      <c r="E48" s="14">
        <f>'Test Year Monthly - (Pres)'!C68</f>
        <v>0</v>
      </c>
      <c r="F48" s="6">
        <f>D48*E48</f>
        <v>0</v>
      </c>
      <c r="G48" s="1"/>
      <c r="H48" s="1"/>
      <c r="J48" s="49">
        <f>SUM('Test Year Monthly - (Pres)'!D68:G68)+'Test Year Monthly - (Pres)'!O68</f>
        <v>161.70000000000002</v>
      </c>
      <c r="K48" s="16"/>
      <c r="L48" s="22"/>
      <c r="M48" s="23"/>
      <c r="N48" s="22"/>
    </row>
    <row r="49" spans="1:14" x14ac:dyDescent="0.2">
      <c r="A49" s="1">
        <v>35</v>
      </c>
      <c r="B49" s="1" t="s">
        <v>59</v>
      </c>
      <c r="D49" s="6">
        <f>'Test Year Monthly - (Pres)'!P69</f>
        <v>428610</v>
      </c>
      <c r="E49" s="14">
        <f>'Test Year Monthly - (Pres)'!C69</f>
        <v>1.4401000000000002</v>
      </c>
      <c r="F49" s="6">
        <f t="shared" ref="F49:F50" si="2">D49*E49</f>
        <v>617241.26100000006</v>
      </c>
      <c r="G49" s="1"/>
      <c r="H49" s="1"/>
      <c r="J49" s="49">
        <f>SUM('Test Year Monthly - (Pres)'!D69:G69)+'Test Year Monthly - (Pres)'!O69</f>
        <v>172294</v>
      </c>
      <c r="K49" s="16"/>
      <c r="L49" s="22"/>
      <c r="M49" s="23"/>
      <c r="N49" s="22"/>
    </row>
    <row r="50" spans="1:14" x14ac:dyDescent="0.2">
      <c r="A50" s="1">
        <v>36</v>
      </c>
      <c r="B50" s="1" t="s">
        <v>60</v>
      </c>
      <c r="D50" s="6">
        <f>'Test Year Monthly - (Pres)'!P70</f>
        <v>5801222.0999999996</v>
      </c>
      <c r="E50" s="14">
        <f>'Test Year Monthly - (Pres)'!C70</f>
        <v>0.96149999999999991</v>
      </c>
      <c r="F50" s="6">
        <f t="shared" si="2"/>
        <v>5577875.0491499994</v>
      </c>
      <c r="G50" s="1"/>
      <c r="H50" s="1"/>
      <c r="J50" s="49">
        <f>SUM('Test Year Monthly - (Pres)'!D70:G70)+'Test Year Monthly - (Pres)'!O70</f>
        <v>1973968.4</v>
      </c>
      <c r="K50" s="16"/>
      <c r="L50" s="22"/>
      <c r="M50" s="23"/>
      <c r="N50" s="22"/>
    </row>
    <row r="51" spans="1:14" x14ac:dyDescent="0.2">
      <c r="A51" s="1">
        <v>37</v>
      </c>
      <c r="B51" s="1" t="s">
        <v>55</v>
      </c>
      <c r="D51" s="6">
        <f>'Test Year Monthly - (Pres)'!P84</f>
        <v>3683.6</v>
      </c>
      <c r="E51" s="14">
        <f>'Test Year Monthly - (Pres)'!C84</f>
        <v>0</v>
      </c>
      <c r="F51" s="6">
        <f>D51*E51</f>
        <v>0</v>
      </c>
      <c r="G51" s="1"/>
      <c r="H51" s="1"/>
      <c r="J51" s="49">
        <f>SUM('Test Year Monthly - (Pres)'!D84:G84)+'Test Year Monthly - (Pres)'!O84</f>
        <v>1536.1000000000001</v>
      </c>
      <c r="K51" s="16"/>
      <c r="L51" s="22"/>
      <c r="M51" s="23"/>
      <c r="N51" s="22"/>
    </row>
    <row r="52" spans="1:14" x14ac:dyDescent="0.2">
      <c r="A52" s="1">
        <v>38</v>
      </c>
      <c r="B52" s="1" t="s">
        <v>56</v>
      </c>
      <c r="D52" s="6">
        <f>'Test Year Monthly - (Pres)'!P85</f>
        <v>5382091.8770000003</v>
      </c>
      <c r="E52" s="14">
        <f>'Test Year Monthly - (Pres)'!C85</f>
        <v>0.877</v>
      </c>
      <c r="F52" s="6">
        <f>D52*E52</f>
        <v>4720094.5761290006</v>
      </c>
      <c r="G52" s="1"/>
      <c r="H52" s="1"/>
      <c r="J52" s="49">
        <f>SUM('Test Year Monthly - (Pres)'!D85:G85)+'Test Year Monthly - (Pres)'!O85</f>
        <v>2076128</v>
      </c>
      <c r="K52" s="16"/>
      <c r="L52" s="22"/>
      <c r="M52" s="23"/>
      <c r="N52" s="22"/>
    </row>
    <row r="53" spans="1:14" x14ac:dyDescent="0.2">
      <c r="A53" s="1">
        <v>39</v>
      </c>
      <c r="B53" s="1" t="s">
        <v>53</v>
      </c>
      <c r="C53" s="6"/>
      <c r="D53" s="34">
        <f>'Test Year Monthly - (Pres)'!P93</f>
        <v>91802.6</v>
      </c>
      <c r="E53" s="181" t="s">
        <v>61</v>
      </c>
      <c r="F53" s="6">
        <f>'Test Year Monthly - (Pres)'!P94</f>
        <v>14381056</v>
      </c>
      <c r="G53" s="1"/>
      <c r="H53" s="1"/>
      <c r="J53" s="49">
        <f>SUM('Test Year Monthly - (Pres)'!D93:G93)+'Test Year Monthly - (Pres)'!O93</f>
        <v>33037.399999999994</v>
      </c>
      <c r="K53" s="16"/>
      <c r="L53" s="22"/>
      <c r="M53" s="23"/>
      <c r="N53" s="22"/>
    </row>
    <row r="54" spans="1:14" x14ac:dyDescent="0.2">
      <c r="A54" s="1">
        <v>40</v>
      </c>
      <c r="B54" s="32" t="s">
        <v>26</v>
      </c>
      <c r="C54" s="31">
        <f>SUM(C38:C53)</f>
        <v>17328462.842788603</v>
      </c>
      <c r="D54" s="31">
        <f>SUM(D46:D53)</f>
        <v>12013619.710399998</v>
      </c>
      <c r="E54" s="32"/>
      <c r="F54" s="33">
        <f>SUM(F38:F53)</f>
        <v>2632762520.1749144</v>
      </c>
      <c r="G54" s="1"/>
      <c r="H54" s="60">
        <f>H38+F54</f>
        <v>2632762520.1749144</v>
      </c>
      <c r="I54" s="16" t="s">
        <v>514</v>
      </c>
      <c r="J54" s="31">
        <f>SUM(J48:J53)</f>
        <v>4257125.6000000006</v>
      </c>
      <c r="K54" s="159"/>
    </row>
    <row r="55" spans="1:14" x14ac:dyDescent="0.2">
      <c r="A55" s="1">
        <v>41</v>
      </c>
      <c r="K55" s="16"/>
    </row>
    <row r="56" spans="1:14" x14ac:dyDescent="0.2">
      <c r="A56" s="1">
        <v>42</v>
      </c>
      <c r="B56" s="1" t="s">
        <v>322</v>
      </c>
      <c r="F56" s="75">
        <f>'Test Year Monthly - (Pres)'!P98</f>
        <v>0</v>
      </c>
    </row>
    <row r="57" spans="1:14" x14ac:dyDescent="0.2">
      <c r="A57" s="1">
        <v>43</v>
      </c>
      <c r="B57" s="1" t="s">
        <v>99</v>
      </c>
      <c r="C57" s="22"/>
      <c r="D57" s="22"/>
      <c r="E57" s="23"/>
      <c r="F57" s="75">
        <f>'Test Year Monthly - (Pres)'!P99</f>
        <v>795825</v>
      </c>
      <c r="G57" s="16"/>
      <c r="H57" s="16"/>
      <c r="J57" s="16"/>
      <c r="L57" s="22"/>
      <c r="M57" s="23"/>
      <c r="N57" s="22"/>
    </row>
    <row r="58" spans="1:14" x14ac:dyDescent="0.2">
      <c r="A58" s="1">
        <f>A57+1</f>
        <v>44</v>
      </c>
      <c r="B58" s="16"/>
      <c r="C58" s="22"/>
      <c r="D58" s="22"/>
      <c r="E58" s="55"/>
      <c r="F58" s="22"/>
      <c r="G58" s="63"/>
      <c r="H58" s="63"/>
      <c r="J58" s="16"/>
      <c r="L58" s="22"/>
      <c r="M58" s="23"/>
      <c r="N58" s="22"/>
    </row>
    <row r="59" spans="1:14" x14ac:dyDescent="0.2">
      <c r="A59" s="1">
        <f t="shared" ref="A59:A61" si="3">A58+1</f>
        <v>45</v>
      </c>
      <c r="B59" s="89" t="s">
        <v>63</v>
      </c>
      <c r="C59" s="90">
        <f>C54+C34+C24+C16</f>
        <v>85392429.952970028</v>
      </c>
      <c r="D59" s="90">
        <f>D54+D34+D24+D16</f>
        <v>31236251.412927859</v>
      </c>
      <c r="E59" s="91"/>
      <c r="F59" s="92">
        <f>F54+F34+F24+F16+F56+F57</f>
        <v>4501066529.5259399</v>
      </c>
      <c r="G59" s="16"/>
      <c r="H59" s="16"/>
      <c r="J59" s="90">
        <f>J54+J34+J24+J16</f>
        <v>13240198.789426744</v>
      </c>
      <c r="K59" s="159"/>
      <c r="L59" s="22"/>
      <c r="M59" s="23"/>
      <c r="N59" s="22"/>
    </row>
    <row r="60" spans="1:14" x14ac:dyDescent="0.2">
      <c r="A60" s="1">
        <f t="shared" si="3"/>
        <v>46</v>
      </c>
      <c r="K60" s="51"/>
      <c r="L60" s="22"/>
      <c r="M60" s="23"/>
      <c r="N60" s="22"/>
    </row>
    <row r="61" spans="1:14" x14ac:dyDescent="0.2">
      <c r="A61" s="1">
        <f t="shared" si="3"/>
        <v>47</v>
      </c>
      <c r="F61" s="2">
        <f>'Rate Design'!L49</f>
        <v>87426481.78937906</v>
      </c>
      <c r="H61" s="75">
        <f>H12+H20+H27+H38</f>
        <v>0</v>
      </c>
      <c r="I61" s="16" t="s">
        <v>515</v>
      </c>
      <c r="K61" s="16"/>
      <c r="L61" s="22"/>
      <c r="M61" s="23"/>
      <c r="N61" s="22"/>
    </row>
    <row r="62" spans="1:14" x14ac:dyDescent="0.2">
      <c r="C62" s="6"/>
      <c r="D62" s="6"/>
      <c r="E62" s="14"/>
      <c r="F62" s="6"/>
      <c r="G62" s="1"/>
      <c r="H62" s="1"/>
      <c r="J62" s="37"/>
      <c r="K62" s="16"/>
      <c r="L62" s="22"/>
      <c r="M62" s="23"/>
      <c r="N62" s="22"/>
    </row>
    <row r="63" spans="1:14" x14ac:dyDescent="0.2">
      <c r="C63" s="6"/>
      <c r="D63" s="6"/>
      <c r="E63" s="14"/>
      <c r="F63" s="6">
        <f>F59-F61</f>
        <v>4413640047.7365608</v>
      </c>
      <c r="G63" s="1"/>
      <c r="H63" s="60">
        <f>H61+F59</f>
        <v>4501066529.5259399</v>
      </c>
      <c r="I63" s="16" t="s">
        <v>516</v>
      </c>
      <c r="J63" s="37"/>
      <c r="K63" s="16"/>
      <c r="L63" s="22"/>
      <c r="M63" s="23"/>
      <c r="N63" s="22"/>
    </row>
    <row r="64" spans="1:14" x14ac:dyDescent="0.2">
      <c r="K64" s="16"/>
      <c r="L64" s="22"/>
      <c r="M64" s="23"/>
      <c r="N64" s="22"/>
    </row>
    <row r="65" spans="2:14" x14ac:dyDescent="0.2">
      <c r="K65" s="16"/>
      <c r="L65" s="22"/>
      <c r="M65" s="23"/>
      <c r="N65" s="22"/>
    </row>
    <row r="66" spans="2:14" x14ac:dyDescent="0.2">
      <c r="K66" s="16"/>
      <c r="L66" s="22"/>
      <c r="M66" s="23"/>
      <c r="N66" s="22"/>
    </row>
    <row r="67" spans="2:14" x14ac:dyDescent="0.2">
      <c r="K67" s="16"/>
      <c r="L67" s="22"/>
      <c r="M67" s="23"/>
      <c r="N67" s="22"/>
    </row>
    <row r="68" spans="2:14" x14ac:dyDescent="0.2">
      <c r="K68" s="16"/>
      <c r="L68" s="22"/>
      <c r="M68" s="23"/>
      <c r="N68" s="22"/>
    </row>
    <row r="69" spans="2:14" x14ac:dyDescent="0.2">
      <c r="K69" s="16"/>
      <c r="L69" s="22"/>
      <c r="M69" s="23"/>
      <c r="N69" s="22"/>
    </row>
    <row r="70" spans="2:14" x14ac:dyDescent="0.2">
      <c r="K70" s="16"/>
      <c r="L70" s="22"/>
      <c r="M70" s="23"/>
      <c r="N70" s="22"/>
    </row>
    <row r="71" spans="2:14" x14ac:dyDescent="0.2">
      <c r="K71" s="16"/>
      <c r="L71" s="22"/>
      <c r="M71" s="23"/>
      <c r="N71" s="22"/>
    </row>
    <row r="72" spans="2:14" x14ac:dyDescent="0.2">
      <c r="B72" s="16"/>
      <c r="C72" s="22"/>
      <c r="D72" s="22"/>
      <c r="E72" s="79"/>
      <c r="F72" s="37"/>
      <c r="G72" s="63"/>
      <c r="H72" s="63"/>
      <c r="J72" s="37"/>
      <c r="K72" s="16"/>
      <c r="L72" s="22"/>
      <c r="M72" s="23"/>
      <c r="N72" s="22"/>
    </row>
    <row r="73" spans="2:14" x14ac:dyDescent="0.2">
      <c r="B73" s="16"/>
      <c r="C73" s="22"/>
      <c r="D73" s="22"/>
      <c r="E73" s="23"/>
      <c r="F73" s="22"/>
      <c r="G73" s="63"/>
      <c r="H73" s="63"/>
      <c r="J73" s="37"/>
      <c r="K73" s="16"/>
      <c r="L73" s="22"/>
      <c r="M73" s="23"/>
      <c r="N73" s="22"/>
    </row>
    <row r="74" spans="2:14" x14ac:dyDescent="0.2">
      <c r="B74" s="16"/>
      <c r="C74" s="22"/>
      <c r="D74" s="22"/>
      <c r="E74" s="23"/>
      <c r="F74" s="22"/>
      <c r="G74" s="16"/>
      <c r="H74" s="16"/>
      <c r="J74" s="37"/>
      <c r="K74" s="16"/>
      <c r="L74" s="22"/>
      <c r="M74" s="23"/>
      <c r="N74" s="22"/>
    </row>
    <row r="75" spans="2:14" x14ac:dyDescent="0.2">
      <c r="B75" s="16"/>
      <c r="C75" s="22"/>
      <c r="D75" s="22"/>
      <c r="E75" s="23"/>
      <c r="F75" s="22"/>
      <c r="G75" s="16"/>
      <c r="H75" s="16"/>
      <c r="J75" s="37"/>
      <c r="K75" s="16"/>
      <c r="L75" s="22"/>
      <c r="M75" s="23"/>
      <c r="N75" s="22"/>
    </row>
    <row r="76" spans="2:14" x14ac:dyDescent="0.2">
      <c r="B76" s="16"/>
      <c r="C76" s="22"/>
      <c r="D76" s="22"/>
      <c r="E76" s="23"/>
      <c r="F76" s="22"/>
      <c r="G76" s="16"/>
      <c r="H76" s="16"/>
      <c r="J76" s="37"/>
      <c r="K76" s="16"/>
      <c r="L76" s="22"/>
      <c r="M76" s="23"/>
      <c r="N76" s="22"/>
    </row>
    <row r="77" spans="2:14" x14ac:dyDescent="0.2">
      <c r="B77" s="16"/>
      <c r="C77" s="22"/>
      <c r="D77" s="22"/>
      <c r="E77" s="23"/>
      <c r="F77" s="22"/>
      <c r="G77" s="16"/>
      <c r="H77" s="16"/>
      <c r="J77" s="37"/>
      <c r="K77" s="16"/>
      <c r="L77" s="22"/>
      <c r="M77" s="23"/>
      <c r="N77" s="22"/>
    </row>
    <row r="78" spans="2:14" x14ac:dyDescent="0.2">
      <c r="B78" s="16"/>
      <c r="C78" s="22"/>
      <c r="D78" s="22"/>
      <c r="E78" s="23"/>
      <c r="F78" s="22"/>
      <c r="G78" s="16"/>
      <c r="H78" s="16"/>
      <c r="J78" s="37"/>
      <c r="K78" s="16"/>
      <c r="L78" s="22"/>
      <c r="M78" s="23"/>
      <c r="N78" s="22"/>
    </row>
    <row r="79" spans="2:14" x14ac:dyDescent="0.2">
      <c r="B79" s="16"/>
      <c r="C79" s="22"/>
      <c r="D79" s="22"/>
      <c r="E79" s="23"/>
      <c r="F79" s="22"/>
      <c r="G79" s="16"/>
      <c r="H79" s="16"/>
      <c r="J79" s="37"/>
      <c r="K79" s="16"/>
      <c r="L79" s="22"/>
      <c r="M79" s="23"/>
      <c r="N79" s="22"/>
    </row>
    <row r="80" spans="2:14" x14ac:dyDescent="0.2">
      <c r="B80" s="16"/>
      <c r="C80" s="22"/>
      <c r="D80" s="22"/>
      <c r="E80" s="23"/>
      <c r="F80" s="22"/>
      <c r="G80" s="16"/>
      <c r="H80" s="16"/>
      <c r="J80" s="37"/>
      <c r="K80" s="16"/>
      <c r="L80" s="22"/>
      <c r="M80" s="23"/>
      <c r="N80" s="22"/>
    </row>
    <row r="81" spans="2:14" x14ac:dyDescent="0.2">
      <c r="B81" s="16"/>
      <c r="C81" s="22"/>
      <c r="D81" s="22"/>
      <c r="E81" s="23"/>
      <c r="F81" s="22"/>
      <c r="G81" s="16"/>
      <c r="H81" s="16"/>
      <c r="J81" s="37"/>
      <c r="K81" s="16"/>
      <c r="L81" s="22"/>
      <c r="M81" s="23"/>
      <c r="N81" s="22"/>
    </row>
    <row r="82" spans="2:14" x14ac:dyDescent="0.2">
      <c r="B82" s="16"/>
      <c r="C82" s="22"/>
      <c r="D82" s="22"/>
      <c r="E82" s="23"/>
      <c r="F82" s="22"/>
      <c r="G82" s="16"/>
      <c r="H82" s="16"/>
      <c r="J82" s="37"/>
      <c r="K82" s="16"/>
      <c r="L82" s="22"/>
      <c r="M82" s="23"/>
      <c r="N82" s="22"/>
    </row>
    <row r="83" spans="2:14" x14ac:dyDescent="0.2">
      <c r="B83" s="16"/>
      <c r="C83" s="22"/>
      <c r="D83" s="22"/>
      <c r="E83" s="23"/>
      <c r="F83" s="22"/>
      <c r="G83" s="16"/>
      <c r="H83" s="16"/>
      <c r="J83" s="37"/>
      <c r="K83" s="16"/>
      <c r="L83" s="22"/>
      <c r="M83" s="23"/>
      <c r="N83" s="22"/>
    </row>
    <row r="84" spans="2:14" x14ac:dyDescent="0.2">
      <c r="B84" s="16"/>
      <c r="C84" s="22"/>
      <c r="D84" s="22"/>
      <c r="E84" s="23"/>
      <c r="F84" s="22"/>
      <c r="G84" s="16"/>
      <c r="H84" s="16"/>
      <c r="J84" s="37"/>
      <c r="K84" s="16"/>
      <c r="L84" s="22"/>
      <c r="M84" s="23"/>
      <c r="N84" s="22"/>
    </row>
    <row r="85" spans="2:14" x14ac:dyDescent="0.2">
      <c r="B85" s="16"/>
      <c r="C85" s="22"/>
      <c r="D85" s="22"/>
      <c r="E85" s="23"/>
      <c r="F85" s="22"/>
      <c r="G85" s="16"/>
      <c r="H85" s="16"/>
      <c r="J85" s="37"/>
      <c r="K85" s="16"/>
      <c r="L85" s="22"/>
      <c r="M85" s="23"/>
      <c r="N85" s="22"/>
    </row>
    <row r="86" spans="2:14" x14ac:dyDescent="0.2">
      <c r="B86" s="16"/>
      <c r="C86" s="22"/>
      <c r="D86" s="22"/>
      <c r="E86" s="23"/>
      <c r="F86" s="22"/>
      <c r="G86" s="16"/>
      <c r="H86" s="16"/>
      <c r="J86" s="37"/>
      <c r="K86" s="16"/>
      <c r="L86" s="22"/>
      <c r="M86" s="23"/>
      <c r="N86" s="22"/>
    </row>
    <row r="87" spans="2:14" x14ac:dyDescent="0.2">
      <c r="B87" s="16"/>
      <c r="C87" s="22"/>
      <c r="D87" s="22"/>
      <c r="E87" s="78"/>
      <c r="F87" s="22"/>
      <c r="G87" s="16"/>
      <c r="H87" s="16"/>
      <c r="J87" s="37"/>
      <c r="K87" s="16"/>
      <c r="L87" s="22"/>
      <c r="M87" s="23"/>
      <c r="N87" s="22"/>
    </row>
    <row r="88" spans="2:14" x14ac:dyDescent="0.2">
      <c r="B88" s="16"/>
      <c r="C88" s="22"/>
      <c r="D88" s="22"/>
      <c r="E88" s="23"/>
      <c r="F88" s="22"/>
      <c r="G88" s="16"/>
      <c r="H88" s="16"/>
      <c r="I88" s="37"/>
      <c r="J88" s="37"/>
      <c r="K88" s="16"/>
      <c r="L88" s="22"/>
      <c r="M88" s="23"/>
      <c r="N88" s="22"/>
    </row>
    <row r="89" spans="2:14" x14ac:dyDescent="0.2">
      <c r="B89" s="16"/>
      <c r="C89" s="22"/>
      <c r="D89" s="22"/>
      <c r="E89" s="78"/>
      <c r="F89" s="22"/>
      <c r="G89" s="16"/>
      <c r="H89" s="16"/>
      <c r="I89" s="37"/>
      <c r="J89" s="37"/>
      <c r="K89" s="16"/>
      <c r="L89" s="22"/>
      <c r="M89" s="23"/>
      <c r="N89" s="22"/>
    </row>
    <row r="90" spans="2:14" x14ac:dyDescent="0.2">
      <c r="B90" s="16"/>
      <c r="C90" s="22"/>
      <c r="D90" s="22"/>
      <c r="E90" s="23"/>
      <c r="F90" s="22"/>
      <c r="G90" s="16"/>
      <c r="H90" s="16"/>
      <c r="I90" s="37"/>
      <c r="J90" s="16"/>
      <c r="K90" s="16"/>
      <c r="L90" s="22"/>
      <c r="M90" s="23"/>
      <c r="N90" s="22"/>
    </row>
    <row r="91" spans="2:14" x14ac:dyDescent="0.2">
      <c r="B91" s="16"/>
      <c r="C91" s="22"/>
      <c r="D91" s="22"/>
      <c r="E91" s="78"/>
      <c r="F91" s="22"/>
      <c r="G91" s="16"/>
      <c r="H91" s="16"/>
      <c r="I91" s="37"/>
      <c r="J91" s="16"/>
      <c r="K91" s="16"/>
      <c r="L91" s="22"/>
      <c r="M91" s="23"/>
      <c r="N91" s="22"/>
    </row>
    <row r="92" spans="2:14" x14ac:dyDescent="0.2">
      <c r="B92" s="16"/>
      <c r="C92" s="22"/>
      <c r="D92" s="22"/>
      <c r="E92" s="23"/>
      <c r="F92" s="22"/>
      <c r="G92" s="16"/>
      <c r="H92" s="16"/>
      <c r="I92" s="37"/>
      <c r="J92" s="16"/>
      <c r="K92" s="16"/>
      <c r="L92" s="22"/>
      <c r="M92" s="23"/>
      <c r="N92" s="22"/>
    </row>
    <row r="93" spans="2:14" x14ac:dyDescent="0.2">
      <c r="B93" s="16"/>
      <c r="C93" s="22"/>
      <c r="D93" s="22"/>
      <c r="E93" s="78"/>
      <c r="F93" s="22"/>
      <c r="G93" s="16"/>
      <c r="H93" s="16"/>
      <c r="I93" s="37"/>
      <c r="J93" s="16"/>
      <c r="K93" s="16"/>
      <c r="L93" s="22"/>
      <c r="M93" s="23"/>
      <c r="N93" s="22"/>
    </row>
    <row r="94" spans="2:14" x14ac:dyDescent="0.2">
      <c r="B94" s="16"/>
      <c r="C94" s="22"/>
      <c r="D94" s="22"/>
      <c r="E94" s="23"/>
      <c r="F94" s="22"/>
      <c r="G94" s="16"/>
      <c r="H94" s="16"/>
      <c r="I94" s="37"/>
      <c r="J94" s="16"/>
      <c r="K94" s="16"/>
      <c r="L94" s="22"/>
      <c r="M94" s="23"/>
      <c r="N94" s="22"/>
    </row>
    <row r="95" spans="2:14" x14ac:dyDescent="0.2">
      <c r="B95" s="16"/>
      <c r="C95" s="22"/>
      <c r="D95" s="22"/>
      <c r="E95" s="79"/>
      <c r="F95" s="22"/>
      <c r="G95" s="16"/>
      <c r="H95" s="16"/>
      <c r="I95" s="37"/>
      <c r="J95" s="157"/>
      <c r="K95" s="16"/>
      <c r="L95" s="22"/>
      <c r="M95" s="23"/>
      <c r="N95" s="22"/>
    </row>
    <row r="96" spans="2:14" x14ac:dyDescent="0.2">
      <c r="B96" s="16"/>
      <c r="C96" s="22"/>
      <c r="D96" s="22"/>
      <c r="E96" s="23"/>
      <c r="F96" s="22"/>
      <c r="G96" s="16"/>
      <c r="H96" s="16"/>
      <c r="I96" s="37"/>
      <c r="J96" s="16"/>
      <c r="K96" s="16"/>
      <c r="L96" s="22"/>
      <c r="M96" s="23"/>
      <c r="N96" s="22"/>
    </row>
    <row r="97" spans="1:14" x14ac:dyDescent="0.2">
      <c r="B97" s="16"/>
      <c r="C97" s="37"/>
      <c r="D97" s="37"/>
      <c r="E97" s="16"/>
      <c r="F97" s="38"/>
      <c r="G97" s="16"/>
      <c r="H97" s="16"/>
      <c r="I97" s="37"/>
      <c r="J97" s="16"/>
      <c r="K97" s="16"/>
      <c r="L97" s="22"/>
      <c r="M97" s="23"/>
      <c r="N97" s="22"/>
    </row>
    <row r="98" spans="1:14" x14ac:dyDescent="0.2">
      <c r="M98" s="23"/>
      <c r="N98" s="22"/>
    </row>
    <row r="99" spans="1:14" x14ac:dyDescent="0.2">
      <c r="K99" s="16"/>
      <c r="L99" s="22"/>
      <c r="M99" s="23"/>
      <c r="N99" s="22"/>
    </row>
    <row r="100" spans="1:14" x14ac:dyDescent="0.2">
      <c r="C100" s="6"/>
      <c r="D100" s="6"/>
      <c r="E100" s="11"/>
      <c r="F100" s="6"/>
      <c r="G100" s="1"/>
      <c r="H100" s="1"/>
      <c r="J100" s="88"/>
      <c r="K100" s="16"/>
      <c r="L100" s="22"/>
      <c r="M100" s="23"/>
      <c r="N100" s="22"/>
    </row>
    <row r="101" spans="1:14" x14ac:dyDescent="0.2">
      <c r="J101" s="16"/>
      <c r="K101" s="16"/>
      <c r="L101" s="22"/>
      <c r="M101" s="23"/>
      <c r="N101" s="22"/>
    </row>
    <row r="102" spans="1:14" x14ac:dyDescent="0.2">
      <c r="C102" s="6"/>
      <c r="D102" s="6"/>
      <c r="E102" s="14"/>
      <c r="F102" s="6"/>
      <c r="G102" s="16"/>
      <c r="H102" s="16"/>
      <c r="J102" s="85"/>
      <c r="K102" s="16"/>
      <c r="L102" s="22"/>
      <c r="M102" s="23"/>
      <c r="N102" s="22"/>
    </row>
    <row r="103" spans="1:14" x14ac:dyDescent="0.2">
      <c r="M103" s="23"/>
      <c r="N103" s="22"/>
    </row>
    <row r="104" spans="1:14" x14ac:dyDescent="0.2">
      <c r="C104" s="6"/>
      <c r="D104" s="6"/>
      <c r="E104" s="14"/>
      <c r="F104" s="6"/>
      <c r="G104" s="16"/>
      <c r="H104" s="16"/>
      <c r="J104" s="16"/>
      <c r="K104" s="16"/>
      <c r="L104" s="22"/>
      <c r="M104" s="23"/>
      <c r="N104" s="22"/>
    </row>
    <row r="105" spans="1:14" x14ac:dyDescent="0.2">
      <c r="C105" s="6"/>
      <c r="D105" s="6"/>
      <c r="E105" s="14"/>
      <c r="F105" s="6"/>
      <c r="G105" s="1"/>
      <c r="H105" s="1"/>
      <c r="J105" s="16"/>
      <c r="K105" s="16"/>
      <c r="L105" s="22"/>
      <c r="M105" s="23"/>
      <c r="N105" s="22"/>
    </row>
    <row r="106" spans="1:14" x14ac:dyDescent="0.2">
      <c r="C106" s="6"/>
      <c r="D106" s="6"/>
      <c r="E106" s="14"/>
      <c r="F106" s="6"/>
      <c r="G106" s="1"/>
      <c r="H106" s="1"/>
      <c r="J106" s="16"/>
      <c r="K106" s="16"/>
      <c r="L106" s="22"/>
      <c r="M106" s="23"/>
      <c r="N106" s="22"/>
    </row>
    <row r="107" spans="1:14" x14ac:dyDescent="0.2">
      <c r="B107" s="41"/>
      <c r="C107" s="6"/>
      <c r="D107" s="6"/>
      <c r="E107" s="39"/>
      <c r="F107" s="6"/>
      <c r="G107" s="1"/>
      <c r="H107" s="1"/>
      <c r="J107" s="16"/>
      <c r="K107" s="16"/>
      <c r="L107" s="22"/>
      <c r="M107" s="23"/>
      <c r="N107" s="22"/>
    </row>
    <row r="108" spans="1:14" x14ac:dyDescent="0.2">
      <c r="B108" s="41"/>
      <c r="C108" s="6"/>
      <c r="D108" s="6"/>
      <c r="E108" s="14"/>
      <c r="F108" s="6"/>
      <c r="G108" s="1"/>
      <c r="H108" s="1"/>
      <c r="J108" s="16"/>
      <c r="K108" s="16"/>
      <c r="L108" s="22"/>
      <c r="M108" s="23"/>
      <c r="N108" s="22"/>
    </row>
    <row r="109" spans="1:14" x14ac:dyDescent="0.2">
      <c r="B109" s="41"/>
      <c r="C109" s="6"/>
      <c r="D109" s="6"/>
      <c r="E109" s="14"/>
      <c r="F109" s="6"/>
      <c r="G109" s="1"/>
      <c r="H109" s="1"/>
      <c r="J109" s="16"/>
      <c r="K109" s="16"/>
      <c r="L109" s="22"/>
      <c r="M109" s="23"/>
      <c r="N109" s="22"/>
    </row>
    <row r="110" spans="1:14" x14ac:dyDescent="0.2">
      <c r="A110" s="16"/>
      <c r="B110" s="16"/>
      <c r="C110" s="22"/>
      <c r="D110" s="22"/>
      <c r="E110" s="86"/>
      <c r="F110" s="22"/>
      <c r="G110" s="16"/>
      <c r="H110" s="16"/>
      <c r="I110" s="22"/>
      <c r="J110" s="16"/>
      <c r="K110" s="16"/>
      <c r="L110" s="22"/>
      <c r="M110" s="23"/>
      <c r="N110" s="22"/>
    </row>
    <row r="111" spans="1:14" x14ac:dyDescent="0.2">
      <c r="A111" s="16"/>
      <c r="B111" s="16"/>
      <c r="C111" s="22"/>
      <c r="D111" s="22"/>
      <c r="E111" s="16"/>
      <c r="F111" s="22"/>
      <c r="G111" s="16"/>
      <c r="H111" s="16"/>
      <c r="I111" s="22"/>
      <c r="J111" s="16"/>
      <c r="K111" s="16"/>
      <c r="L111" s="22"/>
      <c r="M111" s="23"/>
      <c r="N111" s="22"/>
    </row>
    <row r="112" spans="1:14" x14ac:dyDescent="0.2">
      <c r="A112" s="16"/>
      <c r="B112" s="16"/>
      <c r="C112" s="22"/>
      <c r="D112" s="22"/>
      <c r="E112" s="16"/>
      <c r="F112" s="22"/>
      <c r="G112" s="16"/>
      <c r="H112" s="16"/>
      <c r="I112" s="22"/>
      <c r="J112" s="16"/>
      <c r="K112" s="16"/>
      <c r="L112" s="22"/>
      <c r="M112" s="23"/>
      <c r="N112" s="22"/>
    </row>
    <row r="113" spans="1:14" x14ac:dyDescent="0.2">
      <c r="A113" s="16"/>
      <c r="B113" s="16"/>
      <c r="C113" s="22"/>
      <c r="D113" s="22"/>
      <c r="E113" s="27"/>
      <c r="F113" s="22"/>
      <c r="G113" s="16"/>
      <c r="H113" s="16"/>
      <c r="J113" s="16"/>
      <c r="K113" s="16"/>
      <c r="L113" s="22"/>
      <c r="M113" s="23"/>
      <c r="N113" s="22"/>
    </row>
    <row r="114" spans="1:14" x14ac:dyDescent="0.2">
      <c r="A114" s="16"/>
      <c r="B114" s="16"/>
      <c r="C114" s="37"/>
      <c r="D114" s="30"/>
      <c r="E114" s="53"/>
      <c r="F114" s="30"/>
      <c r="G114" s="16"/>
      <c r="H114" s="16"/>
      <c r="J114" s="16"/>
      <c r="K114" s="16"/>
      <c r="L114" s="22"/>
      <c r="M114" s="23"/>
      <c r="N114" s="22"/>
    </row>
    <row r="115" spans="1:14" x14ac:dyDescent="0.2">
      <c r="A115" s="16"/>
      <c r="B115" s="16"/>
      <c r="C115" s="37"/>
      <c r="D115" s="37"/>
      <c r="E115" s="16"/>
      <c r="F115" s="38"/>
      <c r="G115" s="16"/>
      <c r="H115" s="16"/>
      <c r="I115" s="15"/>
      <c r="J115" s="16"/>
      <c r="K115" s="16"/>
      <c r="L115" s="22"/>
      <c r="M115" s="23"/>
      <c r="N115" s="22"/>
    </row>
    <row r="116" spans="1:14" x14ac:dyDescent="0.2">
      <c r="A116" s="16"/>
      <c r="B116" s="16"/>
      <c r="C116" s="16"/>
      <c r="D116" s="22"/>
      <c r="E116" s="16"/>
      <c r="F116" s="22"/>
      <c r="G116" s="16"/>
      <c r="H116" s="16"/>
      <c r="J116" s="16"/>
      <c r="K116" s="16"/>
      <c r="L116" s="22"/>
      <c r="M116" s="23"/>
      <c r="N116" s="22"/>
    </row>
    <row r="117" spans="1:14" x14ac:dyDescent="0.2">
      <c r="A117" s="16"/>
      <c r="B117" s="16"/>
      <c r="C117" s="22"/>
      <c r="D117" s="22"/>
      <c r="E117" s="16"/>
      <c r="F117" s="22"/>
      <c r="G117" s="16"/>
      <c r="H117" s="16"/>
      <c r="J117" s="16"/>
      <c r="K117" s="16"/>
      <c r="L117" s="22"/>
      <c r="M117" s="23"/>
      <c r="N117" s="22"/>
    </row>
    <row r="118" spans="1:14" x14ac:dyDescent="0.2">
      <c r="A118" s="16"/>
      <c r="B118" s="16"/>
      <c r="C118" s="22"/>
      <c r="D118" s="22"/>
      <c r="E118" s="16"/>
      <c r="F118" s="16"/>
      <c r="G118" s="16"/>
      <c r="H118" s="16"/>
      <c r="J118" s="16"/>
      <c r="K118" s="16"/>
      <c r="L118" s="22"/>
      <c r="M118" s="23"/>
      <c r="N118" s="22"/>
    </row>
    <row r="119" spans="1:14" x14ac:dyDescent="0.2">
      <c r="A119" s="16"/>
      <c r="B119" s="54"/>
      <c r="C119" s="22"/>
      <c r="D119" s="22"/>
      <c r="E119" s="55"/>
      <c r="F119" s="21"/>
      <c r="G119" s="16"/>
      <c r="H119" s="16"/>
      <c r="J119" s="16"/>
      <c r="K119" s="16"/>
      <c r="L119" s="22"/>
      <c r="M119" s="23"/>
      <c r="N119" s="22"/>
    </row>
    <row r="120" spans="1:14" x14ac:dyDescent="0.2">
      <c r="A120" s="16"/>
      <c r="B120" s="16"/>
      <c r="C120" s="22"/>
      <c r="D120" s="22"/>
      <c r="E120" s="55"/>
      <c r="F120" s="21"/>
      <c r="G120" s="16"/>
      <c r="H120" s="16"/>
      <c r="J120" s="16"/>
      <c r="K120" s="16"/>
      <c r="L120" s="22"/>
      <c r="M120" s="23"/>
      <c r="N120" s="22"/>
    </row>
    <row r="121" spans="1:14" x14ac:dyDescent="0.2">
      <c r="A121" s="16"/>
      <c r="B121" s="16"/>
      <c r="C121" s="22"/>
      <c r="D121" s="22"/>
      <c r="E121" s="56"/>
      <c r="F121" s="22"/>
      <c r="G121" s="16"/>
      <c r="H121" s="16"/>
      <c r="J121" s="16"/>
      <c r="K121" s="16"/>
      <c r="L121" s="22"/>
      <c r="M121" s="23"/>
      <c r="N121" s="22"/>
    </row>
    <row r="122" spans="1:14" x14ac:dyDescent="0.2">
      <c r="A122" s="16"/>
      <c r="B122" s="16"/>
      <c r="C122" s="16"/>
      <c r="D122" s="22"/>
      <c r="E122" s="16"/>
      <c r="F122" s="22"/>
      <c r="G122" s="16"/>
      <c r="H122" s="16"/>
      <c r="J122" s="16"/>
      <c r="K122" s="16"/>
      <c r="L122" s="22"/>
      <c r="M122" s="23"/>
      <c r="N122" s="22"/>
    </row>
    <row r="123" spans="1:14" x14ac:dyDescent="0.2">
      <c r="A123" s="16"/>
      <c r="B123" s="16"/>
      <c r="C123" s="16"/>
      <c r="D123" s="22"/>
      <c r="E123" s="16"/>
      <c r="F123" s="22"/>
      <c r="G123" s="16"/>
      <c r="H123" s="16"/>
      <c r="J123" s="16"/>
      <c r="K123" s="16"/>
      <c r="L123" s="22"/>
      <c r="M123" s="23"/>
      <c r="N123" s="22"/>
    </row>
    <row r="124" spans="1:14" x14ac:dyDescent="0.2">
      <c r="A124" s="16"/>
      <c r="B124" s="16"/>
      <c r="C124" s="16"/>
      <c r="D124" s="22"/>
      <c r="E124" s="16"/>
      <c r="F124" s="22"/>
      <c r="G124" s="29"/>
      <c r="H124" s="29"/>
      <c r="J124" s="16"/>
      <c r="K124" s="16"/>
      <c r="L124" s="22"/>
      <c r="M124" s="23"/>
      <c r="N124" s="22"/>
    </row>
    <row r="125" spans="1:14" x14ac:dyDescent="0.2">
      <c r="A125" s="16"/>
      <c r="B125" s="16"/>
      <c r="C125" s="16"/>
      <c r="D125" s="22"/>
      <c r="E125" s="16"/>
      <c r="F125" s="22"/>
      <c r="G125" s="29"/>
      <c r="H125" s="29"/>
      <c r="J125" s="16"/>
      <c r="K125" s="16"/>
      <c r="L125" s="22"/>
      <c r="M125" s="23"/>
      <c r="N125" s="22"/>
    </row>
    <row r="126" spans="1:14" x14ac:dyDescent="0.2">
      <c r="A126" s="16"/>
      <c r="B126" s="16"/>
      <c r="C126" s="16"/>
      <c r="D126" s="22"/>
      <c r="E126" s="16"/>
      <c r="F126" s="22"/>
      <c r="G126" s="29"/>
      <c r="H126" s="29"/>
      <c r="J126" s="16"/>
      <c r="K126" s="16"/>
      <c r="L126" s="22"/>
      <c r="M126" s="23"/>
      <c r="N126" s="22"/>
    </row>
    <row r="127" spans="1:14" x14ac:dyDescent="0.2">
      <c r="A127" s="16"/>
      <c r="B127" s="16"/>
      <c r="C127" s="16"/>
      <c r="D127" s="22"/>
      <c r="E127" s="16"/>
      <c r="F127" s="22"/>
      <c r="G127" s="22"/>
      <c r="H127" s="22"/>
      <c r="J127" s="16"/>
      <c r="K127" s="16"/>
      <c r="L127" s="22"/>
      <c r="M127" s="23"/>
      <c r="N127" s="22"/>
    </row>
    <row r="128" spans="1:14" x14ac:dyDescent="0.2">
      <c r="A128" s="16"/>
      <c r="B128" s="16"/>
      <c r="C128" s="16"/>
      <c r="D128" s="22"/>
      <c r="E128" s="16"/>
      <c r="F128" s="22"/>
      <c r="G128" s="16"/>
      <c r="H128" s="16"/>
      <c r="J128" s="16"/>
      <c r="K128" s="16"/>
      <c r="L128" s="22"/>
      <c r="M128" s="23"/>
      <c r="N128" s="22"/>
    </row>
    <row r="129" spans="1:14" x14ac:dyDescent="0.2">
      <c r="A129" s="16"/>
      <c r="B129" s="16"/>
      <c r="C129" s="16"/>
      <c r="D129" s="22"/>
      <c r="E129" s="16"/>
      <c r="F129" s="22"/>
      <c r="G129" s="16"/>
      <c r="H129" s="16"/>
      <c r="J129" s="16"/>
      <c r="K129" s="16"/>
      <c r="L129" s="22"/>
      <c r="M129" s="23"/>
      <c r="N129" s="22"/>
    </row>
    <row r="130" spans="1:14" x14ac:dyDescent="0.2">
      <c r="A130" s="16"/>
      <c r="B130" s="16"/>
      <c r="C130" s="16"/>
      <c r="D130" s="22"/>
      <c r="E130" s="16"/>
      <c r="F130" s="22"/>
      <c r="G130" s="16"/>
      <c r="H130" s="16"/>
      <c r="J130" s="16"/>
      <c r="K130" s="16"/>
      <c r="L130" s="22"/>
      <c r="M130" s="23"/>
      <c r="N130" s="22"/>
    </row>
    <row r="131" spans="1:14" x14ac:dyDescent="0.2">
      <c r="A131" s="16"/>
      <c r="B131" s="16"/>
      <c r="C131" s="16"/>
      <c r="D131" s="22"/>
      <c r="E131" s="16"/>
      <c r="F131" s="22"/>
      <c r="G131" s="16"/>
      <c r="H131" s="16"/>
      <c r="J131" s="16"/>
      <c r="K131" s="16"/>
      <c r="L131" s="22"/>
      <c r="M131" s="23"/>
      <c r="N131" s="22"/>
    </row>
    <row r="132" spans="1:14" x14ac:dyDescent="0.2">
      <c r="A132" s="16"/>
      <c r="B132" s="16"/>
      <c r="C132" s="16"/>
      <c r="D132" s="22"/>
      <c r="E132" s="16"/>
      <c r="F132" s="22"/>
      <c r="G132" s="16"/>
      <c r="H132" s="16"/>
      <c r="J132" s="16"/>
      <c r="K132" s="16"/>
      <c r="L132" s="22"/>
      <c r="M132" s="23"/>
      <c r="N132" s="22"/>
    </row>
    <row r="133" spans="1:14" x14ac:dyDescent="0.2">
      <c r="A133" s="16"/>
      <c r="B133" s="16"/>
      <c r="C133" s="16"/>
      <c r="D133" s="22"/>
      <c r="E133" s="16"/>
      <c r="F133" s="22"/>
      <c r="G133" s="16"/>
      <c r="H133" s="16"/>
      <c r="J133" s="16"/>
      <c r="K133" s="16"/>
      <c r="L133" s="22"/>
      <c r="M133" s="23"/>
      <c r="N133" s="22"/>
    </row>
    <row r="134" spans="1:14" x14ac:dyDescent="0.2">
      <c r="A134" s="16"/>
      <c r="B134" s="16"/>
      <c r="C134" s="16"/>
      <c r="D134" s="22"/>
      <c r="E134" s="16"/>
      <c r="F134" s="22"/>
      <c r="G134" s="16"/>
      <c r="H134" s="16"/>
      <c r="J134" s="16"/>
      <c r="K134" s="16"/>
      <c r="L134" s="22"/>
      <c r="M134" s="23"/>
      <c r="N134" s="22"/>
    </row>
    <row r="135" spans="1:14" x14ac:dyDescent="0.2">
      <c r="A135" s="16"/>
      <c r="B135" s="16"/>
      <c r="C135" s="16"/>
      <c r="D135" s="22"/>
      <c r="E135" s="16"/>
      <c r="F135" s="22"/>
      <c r="G135" s="16"/>
      <c r="H135" s="16"/>
      <c r="J135" s="16"/>
      <c r="K135" s="16"/>
      <c r="L135" s="22"/>
      <c r="M135" s="23"/>
      <c r="N135" s="22"/>
    </row>
    <row r="136" spans="1:14" x14ac:dyDescent="0.2">
      <c r="A136" s="16"/>
      <c r="B136" s="16"/>
      <c r="C136" s="16"/>
      <c r="D136" s="22"/>
      <c r="E136" s="16"/>
      <c r="F136" s="22"/>
      <c r="G136" s="16"/>
      <c r="H136" s="16"/>
      <c r="J136" s="16"/>
      <c r="K136" s="16"/>
      <c r="L136" s="22"/>
      <c r="M136" s="23"/>
      <c r="N136" s="22"/>
    </row>
    <row r="137" spans="1:14" x14ac:dyDescent="0.2">
      <c r="A137" s="16"/>
      <c r="B137" s="16"/>
      <c r="C137" s="16"/>
      <c r="D137" s="22"/>
      <c r="E137" s="16"/>
      <c r="F137" s="22"/>
      <c r="G137" s="16"/>
      <c r="H137" s="16"/>
      <c r="J137" s="16"/>
      <c r="K137" s="16"/>
      <c r="L137" s="22"/>
      <c r="M137" s="23"/>
      <c r="N137" s="22"/>
    </row>
    <row r="138" spans="1:14" x14ac:dyDescent="0.2">
      <c r="A138" s="16"/>
      <c r="B138" s="16"/>
      <c r="C138" s="16"/>
      <c r="D138" s="22"/>
      <c r="E138" s="16"/>
      <c r="F138" s="22"/>
      <c r="G138" s="16"/>
      <c r="H138" s="16"/>
      <c r="J138" s="16"/>
      <c r="K138" s="16"/>
      <c r="L138" s="22"/>
      <c r="M138" s="23"/>
      <c r="N138" s="22"/>
    </row>
    <row r="139" spans="1:14" x14ac:dyDescent="0.2">
      <c r="A139" s="16"/>
      <c r="B139" s="16"/>
      <c r="C139" s="16"/>
      <c r="D139" s="22"/>
      <c r="E139" s="16"/>
      <c r="F139" s="22"/>
      <c r="G139" s="16"/>
      <c r="H139" s="16"/>
      <c r="J139" s="16"/>
      <c r="K139" s="16"/>
      <c r="L139" s="22"/>
      <c r="M139" s="23"/>
      <c r="N139" s="22"/>
    </row>
    <row r="140" spans="1:14" x14ac:dyDescent="0.2">
      <c r="A140" s="16"/>
      <c r="B140" s="16"/>
      <c r="C140" s="16"/>
      <c r="D140" s="22"/>
      <c r="E140" s="16"/>
      <c r="F140" s="22"/>
      <c r="G140" s="16"/>
      <c r="H140" s="16"/>
      <c r="J140" s="16"/>
      <c r="K140" s="16"/>
      <c r="L140" s="22"/>
      <c r="M140" s="23"/>
      <c r="N140" s="22"/>
    </row>
    <row r="141" spans="1:14" x14ac:dyDescent="0.2">
      <c r="A141" s="16"/>
      <c r="B141" s="16"/>
      <c r="C141" s="16"/>
      <c r="D141" s="22"/>
      <c r="E141" s="16"/>
      <c r="F141" s="22"/>
      <c r="G141" s="16"/>
      <c r="H141" s="16"/>
      <c r="J141" s="16"/>
      <c r="K141" s="16"/>
      <c r="L141" s="22"/>
      <c r="M141" s="23"/>
      <c r="N141" s="22"/>
    </row>
    <row r="142" spans="1:14" x14ac:dyDescent="0.2">
      <c r="A142" s="16"/>
      <c r="B142" s="16"/>
      <c r="C142" s="16"/>
      <c r="D142" s="22"/>
      <c r="E142" s="16"/>
      <c r="F142" s="22"/>
      <c r="G142" s="16"/>
      <c r="H142" s="16"/>
      <c r="J142" s="16"/>
      <c r="K142" s="16"/>
      <c r="L142" s="22"/>
      <c r="M142" s="23"/>
      <c r="N142" s="22"/>
    </row>
    <row r="143" spans="1:14" x14ac:dyDescent="0.2">
      <c r="A143" s="16"/>
      <c r="B143" s="16"/>
      <c r="C143" s="16"/>
      <c r="D143" s="22"/>
      <c r="E143" s="16"/>
      <c r="F143" s="22"/>
      <c r="G143" s="16"/>
      <c r="H143" s="16"/>
      <c r="I143" s="22"/>
      <c r="J143" s="16"/>
      <c r="K143" s="16"/>
      <c r="L143" s="22"/>
      <c r="M143" s="23"/>
      <c r="N143" s="22"/>
    </row>
    <row r="144" spans="1:14" x14ac:dyDescent="0.2">
      <c r="A144" s="16"/>
      <c r="B144" s="16"/>
      <c r="C144" s="16"/>
      <c r="D144" s="22"/>
      <c r="E144" s="27"/>
      <c r="F144" s="22"/>
      <c r="G144" s="16"/>
      <c r="H144" s="16"/>
      <c r="I144" s="22"/>
      <c r="J144" s="16"/>
      <c r="K144" s="16"/>
      <c r="L144" s="22"/>
      <c r="M144" s="23"/>
      <c r="N144" s="22"/>
    </row>
    <row r="145" spans="1:14" x14ac:dyDescent="0.2">
      <c r="A145" s="16"/>
      <c r="B145" s="16"/>
      <c r="C145" s="16"/>
      <c r="D145" s="30"/>
      <c r="E145" s="53"/>
      <c r="F145" s="30"/>
      <c r="G145" s="16"/>
      <c r="H145" s="16"/>
      <c r="I145" s="22"/>
      <c r="J145" s="16"/>
      <c r="K145" s="16"/>
      <c r="L145" s="22"/>
      <c r="M145" s="23"/>
      <c r="N145" s="22"/>
    </row>
    <row r="146" spans="1:14" x14ac:dyDescent="0.2">
      <c r="A146" s="16"/>
      <c r="B146" s="16"/>
      <c r="C146" s="37"/>
      <c r="D146" s="37"/>
      <c r="E146" s="16"/>
      <c r="F146" s="38"/>
      <c r="G146" s="16"/>
      <c r="H146" s="16"/>
      <c r="J146" s="16"/>
      <c r="K146" s="16"/>
      <c r="L146" s="22"/>
      <c r="M146" s="23"/>
      <c r="N146" s="22"/>
    </row>
    <row r="147" spans="1:14" x14ac:dyDescent="0.2">
      <c r="A147" s="16"/>
      <c r="B147" s="16"/>
      <c r="C147" s="29"/>
      <c r="D147" s="22"/>
      <c r="E147" s="28"/>
      <c r="F147" s="21"/>
      <c r="G147" s="16"/>
      <c r="H147" s="16"/>
      <c r="J147" s="16"/>
      <c r="K147" s="16"/>
      <c r="L147" s="22"/>
      <c r="M147" s="23"/>
      <c r="N147" s="22"/>
    </row>
    <row r="148" spans="1:14" x14ac:dyDescent="0.2">
      <c r="A148" s="16"/>
      <c r="B148" s="16"/>
      <c r="C148" s="16"/>
      <c r="D148" s="16"/>
      <c r="E148" s="16"/>
      <c r="F148" s="16"/>
      <c r="G148" s="16"/>
      <c r="H148" s="16"/>
      <c r="I148" s="30"/>
      <c r="J148" s="16"/>
      <c r="K148" s="16"/>
      <c r="L148" s="22"/>
      <c r="M148" s="23"/>
      <c r="N148" s="22"/>
    </row>
    <row r="149" spans="1:14" x14ac:dyDescent="0.2">
      <c r="A149" s="16"/>
      <c r="B149" s="16"/>
      <c r="C149" s="16"/>
      <c r="D149" s="16"/>
      <c r="E149" s="16"/>
      <c r="F149" s="16"/>
      <c r="G149" s="16"/>
      <c r="H149" s="16"/>
      <c r="I149" s="30"/>
      <c r="J149" s="22"/>
      <c r="K149" s="22"/>
      <c r="L149" s="22"/>
      <c r="M149" s="23"/>
      <c r="N149" s="22"/>
    </row>
    <row r="150" spans="1:14" x14ac:dyDescent="0.2">
      <c r="A150" s="16"/>
      <c r="B150" s="54"/>
      <c r="C150" s="16"/>
      <c r="D150" s="16"/>
      <c r="E150" s="16"/>
      <c r="F150" s="16"/>
      <c r="G150" s="16"/>
      <c r="H150" s="16"/>
      <c r="J150" s="21"/>
      <c r="K150" s="22"/>
      <c r="L150" s="22"/>
      <c r="M150" s="24"/>
      <c r="N150" s="21"/>
    </row>
    <row r="151" spans="1:14" x14ac:dyDescent="0.2">
      <c r="A151" s="16"/>
      <c r="B151" s="16"/>
      <c r="C151" s="16"/>
      <c r="D151" s="16"/>
      <c r="E151" s="16"/>
      <c r="F151" s="16"/>
      <c r="G151" s="16"/>
      <c r="H151" s="16"/>
      <c r="J151" s="22"/>
      <c r="K151" s="22"/>
      <c r="L151" s="22"/>
      <c r="M151" s="23"/>
      <c r="N151" s="22"/>
    </row>
    <row r="152" spans="1:14" x14ac:dyDescent="0.2">
      <c r="A152" s="16"/>
      <c r="B152" s="16"/>
      <c r="C152" s="16"/>
      <c r="D152" s="16"/>
      <c r="E152" s="16"/>
      <c r="F152" s="16"/>
      <c r="G152" s="16"/>
      <c r="H152" s="16"/>
      <c r="J152" s="25"/>
      <c r="L152" s="25"/>
      <c r="M152" s="16"/>
      <c r="N152" s="16"/>
    </row>
    <row r="153" spans="1:14" x14ac:dyDescent="0.2">
      <c r="A153" s="16"/>
      <c r="B153" s="16"/>
      <c r="C153" s="16"/>
      <c r="D153" s="16"/>
      <c r="E153" s="16"/>
      <c r="F153" s="16"/>
      <c r="G153" s="16"/>
      <c r="H153" s="16"/>
      <c r="J153" s="15"/>
      <c r="K153" s="15"/>
      <c r="L153" s="16"/>
      <c r="M153" s="16"/>
      <c r="N153" s="15"/>
    </row>
    <row r="154" spans="1:14" x14ac:dyDescent="0.2">
      <c r="A154" s="16"/>
      <c r="B154" s="16"/>
      <c r="C154" s="16"/>
      <c r="D154" s="16"/>
      <c r="E154" s="16"/>
      <c r="F154" s="16"/>
      <c r="G154" s="16"/>
      <c r="H154" s="16"/>
      <c r="J154" s="15"/>
      <c r="K154" s="15"/>
      <c r="L154" s="15"/>
      <c r="M154" s="15"/>
      <c r="N154" s="15"/>
    </row>
    <row r="155" spans="1:14" x14ac:dyDescent="0.2">
      <c r="A155" s="16"/>
      <c r="B155" s="16"/>
      <c r="C155" s="16"/>
      <c r="D155" s="16"/>
      <c r="E155" s="16"/>
      <c r="F155" s="16"/>
      <c r="G155" s="16"/>
      <c r="H155" s="16"/>
    </row>
    <row r="156" spans="1:14" x14ac:dyDescent="0.2">
      <c r="A156" s="16"/>
      <c r="B156" s="16"/>
      <c r="C156" s="16"/>
      <c r="D156" s="16"/>
      <c r="E156" s="16"/>
      <c r="F156" s="16"/>
      <c r="G156" s="16"/>
      <c r="H156" s="16"/>
    </row>
    <row r="157" spans="1:14" x14ac:dyDescent="0.2">
      <c r="A157" s="16"/>
      <c r="B157" s="16"/>
      <c r="C157" s="16"/>
      <c r="D157" s="16"/>
      <c r="E157" s="16"/>
      <c r="F157" s="16"/>
      <c r="G157" s="16"/>
      <c r="H157" s="16"/>
    </row>
    <row r="158" spans="1:14" x14ac:dyDescent="0.2">
      <c r="A158" s="16"/>
      <c r="B158" s="16"/>
      <c r="C158" s="16"/>
      <c r="D158" s="16"/>
      <c r="E158" s="16"/>
      <c r="F158" s="16"/>
      <c r="G158" s="16"/>
      <c r="H158" s="16"/>
    </row>
    <row r="159" spans="1:14" x14ac:dyDescent="0.2">
      <c r="A159" s="16"/>
      <c r="B159" s="16"/>
      <c r="C159" s="16"/>
      <c r="D159" s="16"/>
      <c r="E159" s="16"/>
      <c r="F159" s="16"/>
      <c r="G159" s="16"/>
      <c r="H159" s="16"/>
    </row>
    <row r="160" spans="1:14" x14ac:dyDescent="0.2">
      <c r="A160" s="16"/>
      <c r="B160" s="16"/>
      <c r="C160" s="16"/>
      <c r="D160" s="16"/>
      <c r="E160" s="16"/>
      <c r="F160" s="16"/>
      <c r="G160" s="16"/>
      <c r="H160" s="16"/>
    </row>
    <row r="161" spans="1:15" x14ac:dyDescent="0.2">
      <c r="A161" s="16"/>
      <c r="B161" s="16"/>
      <c r="C161" s="16"/>
      <c r="D161" s="16"/>
      <c r="E161" s="16"/>
      <c r="F161" s="16"/>
      <c r="G161" s="16"/>
      <c r="H161" s="16"/>
    </row>
    <row r="162" spans="1:15" x14ac:dyDescent="0.2">
      <c r="A162" s="16"/>
      <c r="B162" s="16"/>
      <c r="C162" s="16"/>
      <c r="D162" s="16"/>
      <c r="E162" s="16"/>
      <c r="F162" s="16"/>
      <c r="G162" s="16"/>
      <c r="H162" s="16"/>
    </row>
    <row r="163" spans="1:15" x14ac:dyDescent="0.2">
      <c r="A163" s="16"/>
      <c r="B163" s="16"/>
      <c r="C163" s="16"/>
      <c r="D163" s="16"/>
      <c r="E163" s="16"/>
      <c r="F163" s="16"/>
      <c r="G163" s="16"/>
      <c r="H163" s="16"/>
    </row>
    <row r="164" spans="1:15" x14ac:dyDescent="0.2">
      <c r="A164" s="16"/>
      <c r="B164" s="16"/>
      <c r="C164" s="16"/>
      <c r="D164" s="16"/>
      <c r="E164" s="16"/>
      <c r="F164" s="16"/>
      <c r="G164" s="16"/>
      <c r="H164" s="16"/>
      <c r="O164" s="26"/>
    </row>
    <row r="165" spans="1:15" x14ac:dyDescent="0.2">
      <c r="A165" s="16"/>
      <c r="B165" s="16"/>
      <c r="C165" s="16"/>
      <c r="D165" s="16"/>
      <c r="E165" s="16"/>
      <c r="F165" s="16"/>
      <c r="G165" s="16"/>
      <c r="H165" s="16"/>
      <c r="O165" s="26"/>
    </row>
    <row r="166" spans="1:15" x14ac:dyDescent="0.2">
      <c r="A166" s="16"/>
      <c r="B166" s="16"/>
      <c r="C166" s="16"/>
      <c r="D166" s="16"/>
      <c r="E166" s="16"/>
      <c r="F166" s="16"/>
      <c r="G166" s="16"/>
      <c r="H166" s="16"/>
      <c r="O166" s="26"/>
    </row>
    <row r="167" spans="1:15" x14ac:dyDescent="0.2">
      <c r="A167" s="16"/>
      <c r="B167" s="16"/>
      <c r="C167" s="16"/>
      <c r="D167" s="16"/>
      <c r="E167" s="16"/>
      <c r="F167" s="16"/>
      <c r="G167" s="16"/>
      <c r="H167" s="16"/>
    </row>
    <row r="168" spans="1:15" x14ac:dyDescent="0.2">
      <c r="A168" s="16"/>
      <c r="B168" s="16"/>
      <c r="C168" s="16"/>
      <c r="D168" s="16"/>
      <c r="E168" s="16"/>
      <c r="F168" s="16"/>
      <c r="G168" s="16"/>
      <c r="H168" s="16"/>
    </row>
    <row r="169" spans="1:15" x14ac:dyDescent="0.2">
      <c r="A169" s="16"/>
      <c r="B169" s="16"/>
      <c r="C169" s="16"/>
      <c r="D169" s="16"/>
      <c r="E169" s="16"/>
      <c r="F169" s="16"/>
      <c r="G169" s="16"/>
      <c r="H169" s="16"/>
    </row>
    <row r="170" spans="1:15" x14ac:dyDescent="0.2">
      <c r="A170" s="16"/>
      <c r="B170" s="16"/>
      <c r="C170" s="16"/>
      <c r="D170" s="16"/>
      <c r="E170" s="16"/>
      <c r="F170" s="16"/>
      <c r="G170" s="16"/>
      <c r="H170" s="16"/>
    </row>
    <row r="171" spans="1:15" x14ac:dyDescent="0.2">
      <c r="A171" s="16"/>
      <c r="B171" s="16"/>
      <c r="C171" s="16"/>
      <c r="D171" s="16"/>
      <c r="E171" s="16"/>
      <c r="F171" s="16"/>
      <c r="G171" s="16"/>
      <c r="H171" s="16"/>
    </row>
    <row r="172" spans="1:15" x14ac:dyDescent="0.2">
      <c r="A172" s="16"/>
      <c r="B172" s="16"/>
      <c r="C172" s="16"/>
      <c r="D172" s="16"/>
      <c r="E172" s="16"/>
      <c r="F172" s="16"/>
      <c r="G172" s="16"/>
      <c r="H172" s="16"/>
    </row>
    <row r="173" spans="1:15" x14ac:dyDescent="0.2">
      <c r="A173" s="16"/>
      <c r="B173" s="16"/>
      <c r="C173" s="16"/>
      <c r="D173" s="16"/>
      <c r="E173" s="16"/>
      <c r="F173" s="16"/>
      <c r="G173" s="16"/>
      <c r="H173" s="16"/>
    </row>
    <row r="174" spans="1:15" x14ac:dyDescent="0.2">
      <c r="A174" s="16"/>
      <c r="B174" s="16"/>
      <c r="C174" s="16"/>
      <c r="D174" s="16"/>
      <c r="E174" s="16"/>
      <c r="F174" s="16"/>
      <c r="G174" s="16"/>
      <c r="H174" s="16"/>
    </row>
    <row r="175" spans="1:15" x14ac:dyDescent="0.2">
      <c r="A175" s="16"/>
      <c r="B175" s="16"/>
      <c r="C175" s="16"/>
      <c r="D175" s="16"/>
      <c r="E175" s="16"/>
      <c r="F175" s="16"/>
      <c r="G175" s="16"/>
      <c r="H175" s="16"/>
    </row>
    <row r="176" spans="1:15" x14ac:dyDescent="0.2">
      <c r="A176" s="16"/>
      <c r="B176" s="16"/>
      <c r="C176" s="16"/>
      <c r="D176" s="16"/>
      <c r="E176" s="16"/>
      <c r="F176" s="16"/>
      <c r="G176" s="16"/>
      <c r="H176" s="16"/>
    </row>
    <row r="177" spans="1:14" x14ac:dyDescent="0.2">
      <c r="A177" s="16"/>
      <c r="B177" s="16"/>
      <c r="C177" s="16"/>
      <c r="D177" s="16"/>
      <c r="E177" s="16"/>
      <c r="F177" s="16"/>
      <c r="G177" s="16"/>
      <c r="H177" s="16"/>
    </row>
    <row r="178" spans="1:14" x14ac:dyDescent="0.2">
      <c r="A178" s="16"/>
      <c r="B178" s="16"/>
      <c r="C178" s="16"/>
      <c r="D178" s="16"/>
      <c r="E178" s="16"/>
      <c r="F178" s="16"/>
      <c r="G178" s="16"/>
      <c r="H178" s="16"/>
    </row>
    <row r="179" spans="1:14" x14ac:dyDescent="0.2">
      <c r="A179" s="16"/>
      <c r="B179" s="16"/>
      <c r="C179" s="16"/>
      <c r="D179" s="16"/>
      <c r="E179" s="16"/>
      <c r="F179" s="16"/>
      <c r="G179" s="16"/>
      <c r="H179" s="16"/>
    </row>
    <row r="180" spans="1:14" x14ac:dyDescent="0.2">
      <c r="A180" s="16"/>
      <c r="B180" s="16"/>
      <c r="C180" s="16"/>
      <c r="D180" s="16"/>
      <c r="E180" s="16"/>
      <c r="F180" s="16"/>
      <c r="G180" s="16"/>
      <c r="H180" s="16"/>
    </row>
    <row r="181" spans="1:14" x14ac:dyDescent="0.2">
      <c r="A181" s="16"/>
      <c r="B181" s="16"/>
      <c r="C181" s="16"/>
      <c r="D181" s="16"/>
      <c r="E181" s="16"/>
      <c r="F181" s="16"/>
      <c r="G181" s="16"/>
      <c r="H181" s="16"/>
    </row>
    <row r="182" spans="1:14" x14ac:dyDescent="0.2">
      <c r="A182" s="16"/>
      <c r="B182" s="16"/>
      <c r="C182" s="16"/>
      <c r="D182" s="16"/>
      <c r="E182" s="16"/>
      <c r="F182" s="16"/>
      <c r="G182" s="16"/>
      <c r="H182" s="16"/>
      <c r="J182" s="22"/>
    </row>
    <row r="183" spans="1:14" x14ac:dyDescent="0.2">
      <c r="A183" s="16"/>
      <c r="B183" s="16"/>
      <c r="C183" s="16"/>
      <c r="D183" s="16"/>
      <c r="E183" s="16"/>
      <c r="F183" s="16"/>
      <c r="G183" s="16"/>
      <c r="H183" s="16"/>
      <c r="J183" s="21"/>
    </row>
    <row r="184" spans="1:14" x14ac:dyDescent="0.2">
      <c r="A184" s="16"/>
      <c r="B184" s="16"/>
      <c r="C184" s="16"/>
      <c r="D184" s="16"/>
      <c r="E184" s="16"/>
      <c r="F184" s="16"/>
      <c r="G184" s="16"/>
      <c r="H184" s="16"/>
      <c r="J184" s="22"/>
      <c r="K184" s="22"/>
      <c r="L184" s="22"/>
      <c r="M184" s="22"/>
      <c r="N184" s="21"/>
    </row>
    <row r="185" spans="1:14" x14ac:dyDescent="0.2">
      <c r="A185" s="16"/>
      <c r="B185" s="16"/>
      <c r="C185" s="16"/>
      <c r="D185" s="16"/>
      <c r="E185" s="16"/>
      <c r="F185" s="16"/>
      <c r="G185" s="16"/>
      <c r="H185" s="16"/>
      <c r="J185" s="29"/>
      <c r="K185" s="22"/>
      <c r="L185" s="22"/>
      <c r="M185" s="16"/>
      <c r="N185" s="21"/>
    </row>
    <row r="186" spans="1:14" x14ac:dyDescent="0.2">
      <c r="A186" s="16"/>
      <c r="B186" s="16"/>
      <c r="C186" s="16"/>
      <c r="D186" s="16"/>
      <c r="E186" s="16"/>
      <c r="F186" s="16"/>
      <c r="G186" s="16"/>
      <c r="H186" s="16"/>
      <c r="J186" s="16"/>
      <c r="K186" s="16"/>
      <c r="L186" s="22"/>
      <c r="M186" s="22"/>
      <c r="N186" s="22"/>
    </row>
    <row r="187" spans="1:14" x14ac:dyDescent="0.2">
      <c r="A187" s="16"/>
      <c r="B187" s="16"/>
      <c r="C187" s="16"/>
      <c r="D187" s="16"/>
      <c r="E187" s="16"/>
      <c r="F187" s="16"/>
      <c r="G187" s="16"/>
      <c r="H187" s="16"/>
      <c r="J187" s="30"/>
      <c r="L187" s="30"/>
      <c r="N187" s="30"/>
    </row>
    <row r="188" spans="1:14" x14ac:dyDescent="0.2">
      <c r="A188" s="16"/>
      <c r="B188" s="16"/>
      <c r="C188" s="16"/>
      <c r="D188" s="16"/>
      <c r="E188" s="16"/>
      <c r="F188" s="16"/>
      <c r="G188" s="16"/>
      <c r="H188" s="16"/>
      <c r="J188" s="30"/>
      <c r="L188" s="30"/>
      <c r="N188" s="30"/>
    </row>
    <row r="189" spans="1:14" x14ac:dyDescent="0.2">
      <c r="A189" s="16"/>
      <c r="B189" s="16"/>
      <c r="C189" s="16"/>
      <c r="D189" s="16"/>
      <c r="E189" s="16"/>
      <c r="F189" s="16"/>
      <c r="G189" s="16"/>
      <c r="H189" s="16"/>
    </row>
    <row r="190" spans="1:14" x14ac:dyDescent="0.2">
      <c r="A190" s="16"/>
      <c r="B190" s="16"/>
      <c r="C190" s="16"/>
      <c r="D190" s="16"/>
      <c r="E190" s="16"/>
      <c r="F190" s="16"/>
      <c r="G190" s="16"/>
      <c r="H190" s="16"/>
    </row>
    <row r="191" spans="1:14" x14ac:dyDescent="0.2">
      <c r="A191" s="16"/>
      <c r="B191" s="16"/>
      <c r="C191" s="16"/>
      <c r="D191" s="16"/>
      <c r="E191" s="16"/>
      <c r="F191" s="16"/>
      <c r="G191" s="16"/>
      <c r="H191" s="16"/>
    </row>
    <row r="192" spans="1:14" x14ac:dyDescent="0.2">
      <c r="A192" s="16"/>
      <c r="B192" s="16"/>
      <c r="C192" s="16"/>
      <c r="D192" s="16"/>
      <c r="E192" s="16"/>
      <c r="F192" s="16"/>
      <c r="G192" s="16"/>
      <c r="H192" s="16"/>
    </row>
    <row r="193" spans="1:8" x14ac:dyDescent="0.2">
      <c r="A193" s="16"/>
      <c r="B193" s="16"/>
      <c r="C193" s="16"/>
      <c r="D193" s="16"/>
      <c r="E193" s="16"/>
      <c r="F193" s="16"/>
      <c r="G193" s="16"/>
      <c r="H193" s="16"/>
    </row>
    <row r="194" spans="1:8" x14ac:dyDescent="0.2">
      <c r="A194" s="16"/>
      <c r="B194" s="16"/>
      <c r="C194" s="16"/>
      <c r="D194" s="16"/>
      <c r="E194" s="16"/>
      <c r="F194" s="16"/>
      <c r="G194" s="16"/>
      <c r="H194" s="16"/>
    </row>
    <row r="195" spans="1:8" x14ac:dyDescent="0.2">
      <c r="A195" s="16"/>
      <c r="B195" s="16"/>
      <c r="C195" s="16"/>
      <c r="D195" s="16"/>
      <c r="E195" s="16"/>
      <c r="F195" s="16"/>
      <c r="G195" s="16"/>
      <c r="H195" s="16"/>
    </row>
    <row r="196" spans="1:8" x14ac:dyDescent="0.2">
      <c r="A196" s="16"/>
      <c r="B196" s="16"/>
      <c r="C196" s="16"/>
      <c r="D196" s="16"/>
      <c r="E196" s="16"/>
      <c r="F196" s="16"/>
      <c r="G196" s="16"/>
      <c r="H196" s="16"/>
    </row>
    <row r="197" spans="1:8" x14ac:dyDescent="0.2">
      <c r="A197" s="16"/>
      <c r="B197" s="16"/>
      <c r="C197" s="16"/>
      <c r="D197" s="16"/>
      <c r="E197" s="16"/>
      <c r="F197" s="16"/>
      <c r="G197" s="16"/>
      <c r="H197" s="16"/>
    </row>
    <row r="198" spans="1:8" x14ac:dyDescent="0.2">
      <c r="A198" s="16"/>
      <c r="B198" s="16"/>
      <c r="C198" s="16"/>
      <c r="D198" s="16"/>
      <c r="E198" s="16"/>
      <c r="F198" s="16"/>
      <c r="G198" s="16"/>
      <c r="H198" s="16"/>
    </row>
    <row r="199" spans="1:8" x14ac:dyDescent="0.2">
      <c r="A199" s="16"/>
      <c r="B199" s="16"/>
      <c r="C199" s="16"/>
      <c r="D199" s="16"/>
      <c r="E199" s="16"/>
      <c r="F199" s="16"/>
      <c r="G199" s="16"/>
      <c r="H199" s="16"/>
    </row>
    <row r="200" spans="1:8" x14ac:dyDescent="0.2">
      <c r="A200" s="16"/>
      <c r="B200" s="16"/>
      <c r="C200" s="16"/>
      <c r="D200" s="16"/>
      <c r="E200" s="16"/>
      <c r="F200" s="16"/>
      <c r="G200" s="16"/>
      <c r="H200" s="16"/>
    </row>
    <row r="201" spans="1:8" x14ac:dyDescent="0.2">
      <c r="A201" s="16"/>
      <c r="B201" s="16"/>
      <c r="C201" s="16"/>
      <c r="D201" s="16"/>
      <c r="E201" s="16"/>
      <c r="F201" s="16"/>
      <c r="G201" s="16"/>
      <c r="H201" s="16"/>
    </row>
    <row r="202" spans="1:8" x14ac:dyDescent="0.2">
      <c r="A202" s="16"/>
      <c r="B202" s="16"/>
      <c r="C202" s="16"/>
      <c r="D202" s="16"/>
      <c r="E202" s="16"/>
      <c r="F202" s="16"/>
      <c r="G202" s="16"/>
      <c r="H202" s="16"/>
    </row>
    <row r="203" spans="1:8" x14ac:dyDescent="0.2">
      <c r="A203" s="16"/>
      <c r="B203" s="16"/>
      <c r="C203" s="16"/>
      <c r="D203" s="16"/>
      <c r="E203" s="16"/>
      <c r="F203" s="16"/>
      <c r="G203" s="16"/>
      <c r="H203" s="16"/>
    </row>
    <row r="204" spans="1:8" x14ac:dyDescent="0.2">
      <c r="A204" s="16"/>
      <c r="B204" s="16"/>
      <c r="C204" s="16"/>
      <c r="D204" s="16"/>
      <c r="E204" s="16"/>
      <c r="F204" s="16"/>
      <c r="G204" s="16"/>
      <c r="H204" s="16"/>
    </row>
    <row r="205" spans="1:8" x14ac:dyDescent="0.2">
      <c r="A205" s="16"/>
      <c r="B205" s="16"/>
      <c r="C205" s="16"/>
      <c r="D205" s="16"/>
      <c r="E205" s="16"/>
      <c r="F205" s="16"/>
      <c r="G205" s="16"/>
      <c r="H205" s="16"/>
    </row>
    <row r="206" spans="1:8" x14ac:dyDescent="0.2">
      <c r="A206" s="16"/>
      <c r="B206" s="16"/>
      <c r="C206" s="16"/>
      <c r="D206" s="16"/>
      <c r="E206" s="16"/>
      <c r="F206" s="16"/>
      <c r="G206" s="16"/>
      <c r="H206" s="16"/>
    </row>
    <row r="207" spans="1:8" x14ac:dyDescent="0.2">
      <c r="A207" s="16"/>
      <c r="B207" s="16"/>
      <c r="C207" s="16"/>
      <c r="D207" s="16"/>
      <c r="E207" s="16"/>
      <c r="F207" s="16"/>
      <c r="G207" s="16"/>
      <c r="H207" s="16"/>
    </row>
    <row r="208" spans="1:8" x14ac:dyDescent="0.2">
      <c r="A208" s="16"/>
      <c r="B208" s="16"/>
      <c r="C208" s="16"/>
      <c r="D208" s="16"/>
      <c r="E208" s="16"/>
      <c r="F208" s="16"/>
      <c r="G208" s="16"/>
      <c r="H208" s="16"/>
    </row>
    <row r="209" spans="1:8" x14ac:dyDescent="0.2">
      <c r="A209" s="16"/>
      <c r="B209" s="16"/>
      <c r="C209" s="16"/>
      <c r="D209" s="16"/>
      <c r="E209" s="16"/>
      <c r="F209" s="16"/>
      <c r="G209" s="16"/>
      <c r="H209" s="16"/>
    </row>
    <row r="210" spans="1:8" x14ac:dyDescent="0.2">
      <c r="A210" s="16"/>
      <c r="B210" s="16"/>
      <c r="C210" s="16"/>
      <c r="D210" s="16"/>
      <c r="E210" s="16"/>
      <c r="F210" s="16"/>
      <c r="G210" s="16"/>
      <c r="H210" s="16"/>
    </row>
    <row r="211" spans="1:8" x14ac:dyDescent="0.2">
      <c r="A211" s="16"/>
      <c r="B211" s="16"/>
      <c r="C211" s="16"/>
      <c r="D211" s="16"/>
      <c r="E211" s="16"/>
      <c r="F211" s="16"/>
      <c r="G211" s="16"/>
      <c r="H211" s="16"/>
    </row>
    <row r="212" spans="1:8" x14ac:dyDescent="0.2">
      <c r="A212" s="16"/>
      <c r="B212" s="16"/>
      <c r="C212" s="16"/>
      <c r="D212" s="16"/>
      <c r="E212" s="16"/>
      <c r="F212" s="16"/>
      <c r="G212" s="16"/>
      <c r="H212" s="16"/>
    </row>
    <row r="213" spans="1:8" x14ac:dyDescent="0.2">
      <c r="A213" s="16"/>
      <c r="B213" s="16"/>
      <c r="C213" s="16"/>
      <c r="D213" s="16"/>
      <c r="E213" s="16"/>
      <c r="F213" s="16"/>
      <c r="G213" s="16"/>
      <c r="H213" s="16"/>
    </row>
    <row r="214" spans="1:8" x14ac:dyDescent="0.2">
      <c r="A214" s="16"/>
      <c r="B214" s="16"/>
      <c r="C214" s="16"/>
      <c r="D214" s="16"/>
      <c r="E214" s="16"/>
      <c r="F214" s="16"/>
      <c r="G214" s="16"/>
      <c r="H214" s="16"/>
    </row>
    <row r="215" spans="1:8" x14ac:dyDescent="0.2">
      <c r="A215" s="16"/>
      <c r="B215" s="16"/>
      <c r="C215" s="16"/>
      <c r="D215" s="16"/>
      <c r="E215" s="16"/>
      <c r="F215" s="16"/>
      <c r="G215" s="16"/>
      <c r="H215" s="16"/>
    </row>
    <row r="216" spans="1:8" x14ac:dyDescent="0.2">
      <c r="A216" s="16"/>
      <c r="B216" s="16"/>
      <c r="C216" s="16"/>
      <c r="D216" s="16"/>
      <c r="E216" s="16"/>
      <c r="F216" s="16"/>
      <c r="G216" s="16"/>
      <c r="H216" s="16"/>
    </row>
    <row r="217" spans="1:8" x14ac:dyDescent="0.2">
      <c r="A217" s="16"/>
      <c r="B217" s="16"/>
      <c r="C217" s="16"/>
      <c r="D217" s="16"/>
      <c r="E217" s="16"/>
      <c r="F217" s="16"/>
      <c r="G217" s="16"/>
      <c r="H217" s="16"/>
    </row>
    <row r="218" spans="1:8" x14ac:dyDescent="0.2">
      <c r="A218" s="16"/>
      <c r="B218" s="16"/>
      <c r="C218" s="16"/>
      <c r="D218" s="16"/>
      <c r="E218" s="16"/>
      <c r="F218" s="16"/>
      <c r="G218" s="16"/>
      <c r="H218" s="16"/>
    </row>
    <row r="219" spans="1:8" x14ac:dyDescent="0.2">
      <c r="A219" s="16"/>
      <c r="B219" s="16"/>
      <c r="C219" s="16"/>
      <c r="D219" s="16"/>
      <c r="E219" s="16"/>
      <c r="F219" s="16"/>
      <c r="G219" s="16"/>
      <c r="H219" s="16"/>
    </row>
    <row r="220" spans="1:8" x14ac:dyDescent="0.2">
      <c r="A220" s="16"/>
      <c r="B220" s="16"/>
      <c r="C220" s="16"/>
      <c r="D220" s="16"/>
      <c r="E220" s="16"/>
      <c r="F220" s="16"/>
      <c r="G220" s="16"/>
      <c r="H220" s="16"/>
    </row>
    <row r="221" spans="1:8" x14ac:dyDescent="0.2">
      <c r="A221" s="16"/>
      <c r="B221" s="16"/>
      <c r="C221" s="16"/>
      <c r="D221" s="16"/>
      <c r="E221" s="16"/>
      <c r="F221" s="16"/>
      <c r="G221" s="16"/>
      <c r="H221" s="16"/>
    </row>
    <row r="222" spans="1:8" x14ac:dyDescent="0.2">
      <c r="A222" s="16"/>
      <c r="B222" s="16"/>
      <c r="C222" s="16"/>
      <c r="D222" s="16"/>
      <c r="E222" s="16"/>
      <c r="F222" s="16"/>
      <c r="G222" s="16"/>
      <c r="H222" s="16"/>
    </row>
    <row r="223" spans="1:8" x14ac:dyDescent="0.2">
      <c r="A223" s="16"/>
      <c r="B223" s="16"/>
      <c r="C223" s="16"/>
      <c r="D223" s="16"/>
      <c r="E223" s="16"/>
      <c r="F223" s="16"/>
      <c r="G223" s="16"/>
      <c r="H223" s="16"/>
    </row>
    <row r="224" spans="1:8" x14ac:dyDescent="0.2">
      <c r="A224" s="16"/>
      <c r="B224" s="16"/>
      <c r="C224" s="16"/>
      <c r="D224" s="16"/>
      <c r="E224" s="16"/>
      <c r="F224" s="16"/>
      <c r="G224" s="16"/>
      <c r="H224" s="16"/>
    </row>
    <row r="225" spans="1:8" x14ac:dyDescent="0.2">
      <c r="A225" s="16"/>
      <c r="B225" s="16"/>
      <c r="C225" s="16"/>
      <c r="D225" s="16"/>
      <c r="E225" s="16"/>
      <c r="F225" s="16"/>
      <c r="G225" s="16"/>
      <c r="H225" s="16"/>
    </row>
    <row r="226" spans="1:8" x14ac:dyDescent="0.2">
      <c r="A226" s="16"/>
      <c r="B226" s="16"/>
      <c r="C226" s="16"/>
      <c r="D226" s="16"/>
      <c r="E226" s="16"/>
      <c r="F226" s="16"/>
      <c r="G226" s="16"/>
      <c r="H226" s="16"/>
    </row>
    <row r="227" spans="1:8" x14ac:dyDescent="0.2">
      <c r="A227" s="16"/>
      <c r="B227" s="16"/>
      <c r="C227" s="16"/>
      <c r="D227" s="16"/>
      <c r="E227" s="16"/>
      <c r="F227" s="16"/>
      <c r="G227" s="16"/>
      <c r="H227" s="16"/>
    </row>
    <row r="228" spans="1:8" x14ac:dyDescent="0.2">
      <c r="A228" s="16"/>
      <c r="B228" s="16"/>
      <c r="C228" s="16"/>
      <c r="D228" s="16"/>
      <c r="E228" s="16"/>
      <c r="F228" s="16"/>
      <c r="G228" s="16"/>
      <c r="H228" s="16"/>
    </row>
    <row r="229" spans="1:8" x14ac:dyDescent="0.2">
      <c r="A229" s="16"/>
      <c r="B229" s="16"/>
      <c r="C229" s="16"/>
      <c r="D229" s="16"/>
      <c r="E229" s="16"/>
      <c r="F229" s="16"/>
      <c r="G229" s="16"/>
      <c r="H229" s="16"/>
    </row>
    <row r="230" spans="1:8" x14ac:dyDescent="0.2">
      <c r="A230" s="16"/>
      <c r="B230" s="16"/>
      <c r="C230" s="16"/>
      <c r="D230" s="16"/>
      <c r="E230" s="16"/>
      <c r="F230" s="16"/>
      <c r="G230" s="16"/>
      <c r="H230" s="16"/>
    </row>
    <row r="231" spans="1:8" x14ac:dyDescent="0.2">
      <c r="A231" s="16"/>
      <c r="B231" s="16"/>
      <c r="C231" s="16"/>
      <c r="D231" s="16"/>
      <c r="E231" s="16"/>
      <c r="F231" s="16"/>
      <c r="G231" s="16"/>
      <c r="H231" s="16"/>
    </row>
    <row r="232" spans="1:8" x14ac:dyDescent="0.2">
      <c r="A232" s="16"/>
      <c r="B232" s="16"/>
      <c r="C232" s="16"/>
      <c r="D232" s="16"/>
      <c r="E232" s="16"/>
      <c r="F232" s="16"/>
      <c r="G232" s="16"/>
      <c r="H232" s="16"/>
    </row>
    <row r="233" spans="1:8" x14ac:dyDescent="0.2">
      <c r="A233" s="16"/>
      <c r="B233" s="16"/>
      <c r="C233" s="16"/>
      <c r="D233" s="16"/>
      <c r="E233" s="16"/>
      <c r="F233" s="16"/>
      <c r="G233" s="16"/>
      <c r="H233" s="16"/>
    </row>
    <row r="234" spans="1:8" x14ac:dyDescent="0.2">
      <c r="A234" s="16"/>
      <c r="B234" s="16"/>
      <c r="C234" s="16"/>
      <c r="D234" s="16"/>
      <c r="E234" s="16"/>
      <c r="F234" s="16"/>
      <c r="G234" s="16"/>
      <c r="H234" s="16"/>
    </row>
    <row r="235" spans="1:8" x14ac:dyDescent="0.2">
      <c r="A235" s="16"/>
      <c r="B235" s="16"/>
      <c r="C235" s="16"/>
      <c r="D235" s="16"/>
      <c r="E235" s="16"/>
      <c r="F235" s="16"/>
      <c r="G235" s="16"/>
      <c r="H235" s="16"/>
    </row>
    <row r="236" spans="1:8" x14ac:dyDescent="0.2">
      <c r="A236" s="16"/>
      <c r="B236" s="16"/>
      <c r="C236" s="16"/>
      <c r="D236" s="16"/>
      <c r="E236" s="16"/>
      <c r="F236" s="16"/>
      <c r="G236" s="16"/>
      <c r="H236" s="16"/>
    </row>
    <row r="237" spans="1:8" x14ac:dyDescent="0.2">
      <c r="A237" s="16"/>
      <c r="B237" s="16"/>
      <c r="C237" s="16"/>
      <c r="D237" s="16"/>
      <c r="E237" s="16"/>
      <c r="F237" s="16"/>
      <c r="G237" s="16"/>
      <c r="H237" s="16"/>
    </row>
    <row r="238" spans="1:8" x14ac:dyDescent="0.2">
      <c r="A238" s="16"/>
      <c r="B238" s="16"/>
      <c r="C238" s="16"/>
      <c r="D238" s="16"/>
      <c r="E238" s="16"/>
      <c r="F238" s="16"/>
      <c r="G238" s="16"/>
      <c r="H238" s="16"/>
    </row>
    <row r="239" spans="1:8" x14ac:dyDescent="0.2">
      <c r="A239" s="16"/>
      <c r="B239" s="16"/>
      <c r="C239" s="16"/>
      <c r="D239" s="16"/>
      <c r="E239" s="16"/>
      <c r="F239" s="16"/>
      <c r="G239" s="16"/>
      <c r="H239" s="16"/>
    </row>
    <row r="240" spans="1:8" x14ac:dyDescent="0.2">
      <c r="A240" s="16"/>
      <c r="B240" s="16"/>
      <c r="C240" s="16"/>
      <c r="D240" s="16"/>
      <c r="E240" s="16"/>
      <c r="F240" s="16"/>
      <c r="G240" s="16"/>
      <c r="H240" s="16"/>
    </row>
    <row r="241" spans="1:8" x14ac:dyDescent="0.2">
      <c r="A241" s="16"/>
      <c r="B241" s="16"/>
      <c r="C241" s="16"/>
      <c r="D241" s="16"/>
      <c r="E241" s="16"/>
      <c r="F241" s="16"/>
      <c r="G241" s="16"/>
      <c r="H241" s="16"/>
    </row>
    <row r="242" spans="1:8" x14ac:dyDescent="0.2">
      <c r="A242" s="16"/>
      <c r="B242" s="16"/>
      <c r="C242" s="16"/>
      <c r="D242" s="16"/>
      <c r="E242" s="16"/>
      <c r="F242" s="16"/>
      <c r="G242" s="16"/>
      <c r="H242" s="16"/>
    </row>
    <row r="243" spans="1:8" x14ac:dyDescent="0.2">
      <c r="A243" s="16"/>
      <c r="B243" s="16"/>
      <c r="C243" s="16"/>
      <c r="D243" s="16"/>
      <c r="E243" s="16"/>
      <c r="F243" s="16"/>
      <c r="G243" s="16"/>
      <c r="H243" s="16"/>
    </row>
    <row r="244" spans="1:8" x14ac:dyDescent="0.2">
      <c r="A244" s="16"/>
      <c r="B244" s="16"/>
      <c r="C244" s="16"/>
      <c r="D244" s="16"/>
      <c r="E244" s="16"/>
      <c r="F244" s="16"/>
      <c r="G244" s="16"/>
      <c r="H244" s="16"/>
    </row>
    <row r="245" spans="1:8" x14ac:dyDescent="0.2">
      <c r="A245" s="16"/>
      <c r="B245" s="16"/>
      <c r="C245" s="16"/>
      <c r="D245" s="16"/>
      <c r="E245" s="16"/>
      <c r="F245" s="16"/>
      <c r="G245" s="16"/>
      <c r="H245" s="16"/>
    </row>
    <row r="246" spans="1:8" x14ac:dyDescent="0.2">
      <c r="A246" s="16"/>
      <c r="B246" s="16"/>
      <c r="C246" s="16"/>
      <c r="D246" s="16"/>
      <c r="E246" s="16"/>
      <c r="F246" s="16"/>
      <c r="G246" s="16"/>
      <c r="H246" s="16"/>
    </row>
    <row r="247" spans="1:8" x14ac:dyDescent="0.2">
      <c r="A247" s="16"/>
      <c r="B247" s="16"/>
      <c r="C247" s="16"/>
      <c r="D247" s="16"/>
      <c r="E247" s="16"/>
      <c r="F247" s="16"/>
      <c r="G247" s="16"/>
      <c r="H247" s="16"/>
    </row>
    <row r="248" spans="1:8" x14ac:dyDescent="0.2">
      <c r="A248" s="16"/>
      <c r="B248" s="16"/>
      <c r="C248" s="16"/>
      <c r="D248" s="16"/>
      <c r="E248" s="16"/>
      <c r="F248" s="16"/>
      <c r="G248" s="16"/>
      <c r="H248" s="16"/>
    </row>
    <row r="249" spans="1:8" x14ac:dyDescent="0.2">
      <c r="A249" s="16"/>
      <c r="B249" s="16"/>
      <c r="C249" s="16"/>
      <c r="D249" s="16"/>
      <c r="E249" s="16"/>
      <c r="F249" s="16"/>
      <c r="G249" s="16"/>
      <c r="H249" s="16"/>
    </row>
    <row r="250" spans="1:8" x14ac:dyDescent="0.2">
      <c r="A250" s="16"/>
      <c r="B250" s="16"/>
      <c r="C250" s="16"/>
      <c r="D250" s="16"/>
      <c r="E250" s="16"/>
      <c r="F250" s="16"/>
      <c r="G250" s="16"/>
      <c r="H250" s="16"/>
    </row>
    <row r="251" spans="1:8" x14ac:dyDescent="0.2">
      <c r="A251" s="16"/>
      <c r="B251" s="16"/>
      <c r="C251" s="16"/>
      <c r="D251" s="16"/>
      <c r="E251" s="16"/>
      <c r="F251" s="16"/>
      <c r="G251" s="16"/>
      <c r="H251" s="16"/>
    </row>
    <row r="252" spans="1:8" x14ac:dyDescent="0.2">
      <c r="A252" s="16"/>
      <c r="B252" s="16"/>
      <c r="C252" s="16"/>
      <c r="D252" s="16"/>
      <c r="E252" s="16"/>
      <c r="F252" s="16"/>
      <c r="G252" s="16"/>
      <c r="H252" s="16"/>
    </row>
    <row r="253" spans="1:8" x14ac:dyDescent="0.2">
      <c r="A253" s="16"/>
      <c r="B253" s="16"/>
      <c r="C253" s="16"/>
      <c r="D253" s="16"/>
      <c r="E253" s="16"/>
      <c r="F253" s="16"/>
      <c r="G253" s="16"/>
      <c r="H253" s="16"/>
    </row>
    <row r="254" spans="1:8" x14ac:dyDescent="0.2">
      <c r="A254" s="16"/>
      <c r="B254" s="16"/>
      <c r="C254" s="16"/>
      <c r="D254" s="16"/>
      <c r="E254" s="16"/>
      <c r="F254" s="16"/>
      <c r="G254" s="16"/>
      <c r="H254" s="16"/>
    </row>
    <row r="255" spans="1:8" x14ac:dyDescent="0.2">
      <c r="A255" s="16"/>
      <c r="B255" s="16"/>
      <c r="C255" s="16"/>
      <c r="D255" s="16"/>
      <c r="E255" s="16"/>
      <c r="F255" s="16"/>
      <c r="G255" s="16"/>
      <c r="H255" s="16"/>
    </row>
    <row r="256" spans="1:8" x14ac:dyDescent="0.2">
      <c r="A256" s="16"/>
      <c r="B256" s="16"/>
      <c r="C256" s="16"/>
      <c r="D256" s="16"/>
      <c r="E256" s="16"/>
      <c r="F256" s="16"/>
      <c r="G256" s="16"/>
      <c r="H256" s="16"/>
    </row>
    <row r="257" spans="1:8" x14ac:dyDescent="0.2">
      <c r="A257" s="16"/>
      <c r="B257" s="16"/>
      <c r="C257" s="16"/>
      <c r="D257" s="16"/>
      <c r="E257" s="16"/>
      <c r="F257" s="16"/>
      <c r="G257" s="16"/>
      <c r="H257" s="16"/>
    </row>
    <row r="258" spans="1:8" x14ac:dyDescent="0.2">
      <c r="A258" s="16"/>
      <c r="B258" s="16"/>
      <c r="C258" s="16"/>
      <c r="D258" s="16"/>
      <c r="E258" s="16"/>
      <c r="F258" s="16"/>
      <c r="G258" s="16"/>
      <c r="H258" s="16"/>
    </row>
    <row r="259" spans="1:8" x14ac:dyDescent="0.2">
      <c r="A259" s="16"/>
      <c r="B259" s="16"/>
      <c r="C259" s="16"/>
      <c r="D259" s="16"/>
      <c r="E259" s="16"/>
      <c r="F259" s="16"/>
      <c r="G259" s="16"/>
      <c r="H259" s="16"/>
    </row>
    <row r="260" spans="1:8" x14ac:dyDescent="0.2">
      <c r="A260" s="16"/>
      <c r="B260" s="16"/>
      <c r="C260" s="16"/>
      <c r="D260" s="16"/>
      <c r="E260" s="16"/>
      <c r="F260" s="16"/>
      <c r="G260" s="16"/>
      <c r="H260" s="16"/>
    </row>
    <row r="261" spans="1:8" x14ac:dyDescent="0.2">
      <c r="A261" s="16"/>
      <c r="B261" s="16"/>
      <c r="C261" s="16"/>
      <c r="D261" s="16"/>
      <c r="E261" s="16"/>
      <c r="F261" s="16"/>
      <c r="G261" s="16"/>
      <c r="H261" s="16"/>
    </row>
    <row r="262" spans="1:8" x14ac:dyDescent="0.2">
      <c r="A262" s="16"/>
      <c r="B262" s="16"/>
      <c r="C262" s="16"/>
      <c r="D262" s="16"/>
      <c r="E262" s="16"/>
      <c r="F262" s="16"/>
      <c r="G262" s="16"/>
      <c r="H262" s="16"/>
    </row>
    <row r="263" spans="1:8" x14ac:dyDescent="0.2">
      <c r="A263" s="16"/>
      <c r="B263" s="16"/>
      <c r="C263" s="16"/>
      <c r="D263" s="16"/>
      <c r="E263" s="16"/>
      <c r="F263" s="16"/>
      <c r="G263" s="16"/>
      <c r="H263" s="16"/>
    </row>
    <row r="264" spans="1:8" x14ac:dyDescent="0.2">
      <c r="A264" s="16"/>
      <c r="B264" s="16"/>
      <c r="C264" s="16"/>
      <c r="D264" s="16"/>
      <c r="E264" s="16"/>
      <c r="F264" s="16"/>
      <c r="G264" s="16"/>
      <c r="H264" s="16"/>
    </row>
    <row r="265" spans="1:8" x14ac:dyDescent="0.2">
      <c r="A265" s="16"/>
      <c r="B265" s="16"/>
      <c r="C265" s="16"/>
      <c r="D265" s="16"/>
      <c r="E265" s="16"/>
      <c r="F265" s="16"/>
      <c r="G265" s="16"/>
      <c r="H265" s="16"/>
    </row>
    <row r="266" spans="1:8" x14ac:dyDescent="0.2">
      <c r="A266" s="16"/>
      <c r="B266" s="16"/>
      <c r="C266" s="16"/>
      <c r="D266" s="16"/>
      <c r="E266" s="16"/>
      <c r="F266" s="16"/>
      <c r="G266" s="16"/>
      <c r="H266" s="16"/>
    </row>
    <row r="267" spans="1:8" x14ac:dyDescent="0.2">
      <c r="A267" s="16"/>
      <c r="B267" s="16"/>
      <c r="C267" s="16"/>
      <c r="D267" s="16"/>
      <c r="E267" s="16"/>
      <c r="F267" s="16"/>
      <c r="G267" s="16"/>
      <c r="H267" s="16"/>
    </row>
    <row r="268" spans="1:8" x14ac:dyDescent="0.2">
      <c r="A268" s="16"/>
      <c r="B268" s="16"/>
      <c r="C268" s="16"/>
      <c r="D268" s="16"/>
      <c r="E268" s="16"/>
      <c r="F268" s="16"/>
      <c r="G268" s="16"/>
      <c r="H268" s="16"/>
    </row>
    <row r="269" spans="1:8" x14ac:dyDescent="0.2">
      <c r="A269" s="16"/>
      <c r="B269" s="16"/>
      <c r="C269" s="16"/>
      <c r="D269" s="16"/>
      <c r="E269" s="16"/>
      <c r="F269" s="16"/>
      <c r="G269" s="16"/>
      <c r="H269" s="16"/>
    </row>
    <row r="270" spans="1:8" x14ac:dyDescent="0.2">
      <c r="A270" s="16"/>
      <c r="B270" s="16"/>
      <c r="C270" s="16"/>
      <c r="D270" s="16"/>
      <c r="E270" s="16"/>
      <c r="F270" s="16"/>
      <c r="G270" s="16"/>
      <c r="H270" s="16"/>
    </row>
    <row r="271" spans="1:8" x14ac:dyDescent="0.2">
      <c r="A271" s="16"/>
      <c r="B271" s="16"/>
      <c r="C271" s="16"/>
      <c r="D271" s="16"/>
      <c r="E271" s="16"/>
      <c r="F271" s="16"/>
      <c r="G271" s="16"/>
      <c r="H271" s="16"/>
    </row>
    <row r="272" spans="1:8" x14ac:dyDescent="0.2">
      <c r="A272" s="16"/>
      <c r="B272" s="16"/>
      <c r="C272" s="16"/>
      <c r="D272" s="16"/>
      <c r="E272" s="16"/>
      <c r="F272" s="16"/>
      <c r="G272" s="16"/>
      <c r="H272" s="16"/>
    </row>
    <row r="273" spans="1:8" x14ac:dyDescent="0.2">
      <c r="A273" s="16"/>
      <c r="B273" s="16"/>
      <c r="C273" s="16"/>
      <c r="D273" s="16"/>
      <c r="E273" s="16"/>
      <c r="F273" s="16"/>
      <c r="G273" s="16"/>
      <c r="H273" s="16"/>
    </row>
    <row r="274" spans="1:8" x14ac:dyDescent="0.2">
      <c r="A274" s="16"/>
      <c r="B274" s="16"/>
      <c r="C274" s="16"/>
      <c r="D274" s="16"/>
      <c r="E274" s="16"/>
      <c r="F274" s="16"/>
      <c r="G274" s="16"/>
      <c r="H274" s="16"/>
    </row>
    <row r="275" spans="1:8" x14ac:dyDescent="0.2">
      <c r="A275" s="16"/>
      <c r="B275" s="16"/>
      <c r="C275" s="16"/>
      <c r="D275" s="16"/>
      <c r="E275" s="16"/>
      <c r="F275" s="16"/>
      <c r="G275" s="16"/>
      <c r="H275" s="16"/>
    </row>
    <row r="276" spans="1:8" x14ac:dyDescent="0.2">
      <c r="A276" s="16"/>
      <c r="B276" s="16"/>
      <c r="C276" s="16"/>
      <c r="D276" s="16"/>
      <c r="E276" s="16"/>
      <c r="F276" s="16"/>
      <c r="G276" s="16"/>
      <c r="H276" s="16"/>
    </row>
    <row r="277" spans="1:8" x14ac:dyDescent="0.2">
      <c r="A277" s="16"/>
      <c r="B277" s="16"/>
      <c r="C277" s="16"/>
      <c r="D277" s="16"/>
      <c r="E277" s="16"/>
      <c r="F277" s="16"/>
      <c r="G277" s="16"/>
      <c r="H277" s="16"/>
    </row>
    <row r="278" spans="1:8" x14ac:dyDescent="0.2">
      <c r="A278" s="16"/>
      <c r="B278" s="16"/>
      <c r="C278" s="16"/>
      <c r="D278" s="16"/>
      <c r="E278" s="16"/>
      <c r="F278" s="16"/>
      <c r="G278" s="16"/>
      <c r="H278" s="16"/>
    </row>
    <row r="279" spans="1:8" x14ac:dyDescent="0.2">
      <c r="A279" s="16"/>
      <c r="B279" s="16"/>
      <c r="C279" s="16"/>
      <c r="D279" s="16"/>
      <c r="E279" s="16"/>
      <c r="F279" s="16"/>
      <c r="G279" s="16"/>
      <c r="H279" s="16"/>
    </row>
    <row r="280" spans="1:8" x14ac:dyDescent="0.2">
      <c r="A280" s="16"/>
      <c r="B280" s="16"/>
      <c r="C280" s="16"/>
      <c r="D280" s="16"/>
      <c r="E280" s="16"/>
      <c r="F280" s="16"/>
      <c r="G280" s="16"/>
      <c r="H280" s="16"/>
    </row>
    <row r="281" spans="1:8" x14ac:dyDescent="0.2">
      <c r="A281" s="16"/>
      <c r="B281" s="16"/>
      <c r="C281" s="16"/>
      <c r="D281" s="16"/>
      <c r="E281" s="16"/>
      <c r="F281" s="16"/>
      <c r="G281" s="16"/>
      <c r="H281" s="16"/>
    </row>
    <row r="282" spans="1:8" x14ac:dyDescent="0.2">
      <c r="A282" s="16"/>
      <c r="B282" s="16"/>
      <c r="C282" s="16"/>
      <c r="D282" s="16"/>
      <c r="E282" s="16"/>
      <c r="F282" s="16"/>
      <c r="G282" s="16"/>
      <c r="H282" s="16"/>
    </row>
    <row r="283" spans="1:8" x14ac:dyDescent="0.2">
      <c r="A283" s="16"/>
      <c r="B283" s="16"/>
      <c r="C283" s="16"/>
      <c r="D283" s="16"/>
      <c r="E283" s="16"/>
      <c r="F283" s="16"/>
      <c r="G283" s="16"/>
      <c r="H283" s="16"/>
    </row>
    <row r="284" spans="1:8" x14ac:dyDescent="0.2">
      <c r="A284" s="16"/>
      <c r="B284" s="16"/>
      <c r="C284" s="16"/>
      <c r="D284" s="16"/>
      <c r="E284" s="16"/>
      <c r="F284" s="16"/>
      <c r="G284" s="16"/>
      <c r="H284" s="16"/>
    </row>
    <row r="285" spans="1:8" x14ac:dyDescent="0.2">
      <c r="A285" s="16"/>
      <c r="B285" s="16"/>
      <c r="C285" s="16"/>
      <c r="D285" s="16"/>
      <c r="E285" s="16"/>
      <c r="F285" s="16"/>
      <c r="G285" s="16"/>
      <c r="H285" s="16"/>
    </row>
    <row r="286" spans="1:8" x14ac:dyDescent="0.2">
      <c r="A286" s="16"/>
      <c r="B286" s="16"/>
      <c r="C286" s="16"/>
      <c r="D286" s="16"/>
      <c r="E286" s="16"/>
      <c r="F286" s="16"/>
      <c r="G286" s="16"/>
      <c r="H286" s="16"/>
    </row>
    <row r="287" spans="1:8" x14ac:dyDescent="0.2">
      <c r="A287" s="16"/>
      <c r="B287" s="16"/>
      <c r="C287" s="16"/>
      <c r="D287" s="16"/>
      <c r="E287" s="16"/>
      <c r="F287" s="16"/>
      <c r="G287" s="16"/>
      <c r="H287" s="16"/>
    </row>
    <row r="288" spans="1:8" x14ac:dyDescent="0.2">
      <c r="A288" s="16"/>
      <c r="B288" s="16"/>
      <c r="C288" s="16"/>
      <c r="D288" s="16"/>
      <c r="E288" s="16"/>
      <c r="F288" s="16"/>
      <c r="G288" s="16"/>
      <c r="H288" s="16"/>
    </row>
    <row r="289" spans="1:8" x14ac:dyDescent="0.2">
      <c r="A289" s="16"/>
      <c r="B289" s="16"/>
      <c r="C289" s="16"/>
      <c r="D289" s="16"/>
      <c r="E289" s="16"/>
      <c r="F289" s="16"/>
      <c r="G289" s="16"/>
      <c r="H289" s="16"/>
    </row>
    <row r="290" spans="1:8" x14ac:dyDescent="0.2">
      <c r="A290" s="16"/>
      <c r="B290" s="16"/>
      <c r="C290" s="16"/>
      <c r="D290" s="16"/>
      <c r="E290" s="16"/>
      <c r="F290" s="16"/>
      <c r="G290" s="16"/>
      <c r="H290" s="16"/>
    </row>
    <row r="291" spans="1:8" x14ac:dyDescent="0.2">
      <c r="A291" s="16"/>
      <c r="B291" s="16"/>
      <c r="C291" s="16"/>
      <c r="D291" s="16"/>
      <c r="E291" s="16"/>
      <c r="F291" s="16"/>
      <c r="G291" s="16"/>
      <c r="H291" s="16"/>
    </row>
    <row r="292" spans="1:8" x14ac:dyDescent="0.2">
      <c r="A292" s="16"/>
      <c r="B292" s="16"/>
      <c r="C292" s="16"/>
      <c r="D292" s="16"/>
      <c r="E292" s="16"/>
      <c r="F292" s="16"/>
      <c r="G292" s="16"/>
      <c r="H292" s="16"/>
    </row>
    <row r="293" spans="1:8" x14ac:dyDescent="0.2">
      <c r="A293" s="16"/>
      <c r="B293" s="16"/>
      <c r="C293" s="16"/>
      <c r="D293" s="16"/>
      <c r="E293" s="16"/>
      <c r="F293" s="16"/>
      <c r="G293" s="16"/>
      <c r="H293" s="16"/>
    </row>
    <row r="294" spans="1:8" x14ac:dyDescent="0.2">
      <c r="A294" s="16"/>
      <c r="B294" s="16"/>
      <c r="C294" s="16"/>
      <c r="D294" s="16"/>
      <c r="E294" s="16"/>
      <c r="F294" s="16"/>
      <c r="G294" s="16"/>
      <c r="H294" s="16"/>
    </row>
    <row r="295" spans="1:8" x14ac:dyDescent="0.2">
      <c r="A295" s="16"/>
      <c r="B295" s="16"/>
      <c r="C295" s="16"/>
      <c r="D295" s="16"/>
      <c r="E295" s="16"/>
      <c r="F295" s="16"/>
      <c r="G295" s="16"/>
      <c r="H295" s="16"/>
    </row>
    <row r="296" spans="1:8" x14ac:dyDescent="0.2">
      <c r="A296" s="16"/>
      <c r="B296" s="16"/>
      <c r="C296" s="16"/>
      <c r="D296" s="16"/>
      <c r="E296" s="16"/>
      <c r="F296" s="16"/>
      <c r="G296" s="16"/>
      <c r="H296" s="16"/>
    </row>
    <row r="297" spans="1:8" x14ac:dyDescent="0.2">
      <c r="A297" s="16"/>
      <c r="B297" s="16"/>
      <c r="C297" s="16"/>
      <c r="D297" s="16"/>
      <c r="E297" s="16"/>
      <c r="F297" s="16"/>
      <c r="G297" s="16"/>
      <c r="H297" s="16"/>
    </row>
    <row r="298" spans="1:8" x14ac:dyDescent="0.2">
      <c r="A298" s="16"/>
      <c r="B298" s="16"/>
      <c r="C298" s="16"/>
      <c r="D298" s="16"/>
      <c r="E298" s="16"/>
      <c r="F298" s="16"/>
      <c r="G298" s="16"/>
      <c r="H298" s="16"/>
    </row>
    <row r="299" spans="1:8" x14ac:dyDescent="0.2">
      <c r="A299" s="16"/>
      <c r="B299" s="16"/>
      <c r="C299" s="16"/>
      <c r="D299" s="16"/>
      <c r="E299" s="16"/>
      <c r="F299" s="16"/>
      <c r="G299" s="16"/>
      <c r="H299" s="16"/>
    </row>
    <row r="300" spans="1:8" x14ac:dyDescent="0.2">
      <c r="A300" s="16"/>
      <c r="B300" s="16"/>
      <c r="C300" s="16"/>
      <c r="D300" s="16"/>
      <c r="E300" s="16"/>
      <c r="F300" s="16"/>
      <c r="G300" s="16"/>
      <c r="H300" s="16"/>
    </row>
    <row r="301" spans="1:8" x14ac:dyDescent="0.2">
      <c r="A301" s="16"/>
      <c r="B301" s="16"/>
      <c r="C301" s="16"/>
      <c r="D301" s="16"/>
      <c r="E301" s="16"/>
      <c r="F301" s="16"/>
      <c r="G301" s="16"/>
      <c r="H301" s="16"/>
    </row>
    <row r="302" spans="1:8" x14ac:dyDescent="0.2">
      <c r="A302" s="16"/>
      <c r="B302" s="16"/>
      <c r="C302" s="16"/>
      <c r="D302" s="16"/>
      <c r="E302" s="16"/>
      <c r="F302" s="16"/>
      <c r="G302" s="16"/>
      <c r="H302" s="16"/>
    </row>
    <row r="303" spans="1:8" x14ac:dyDescent="0.2">
      <c r="A303" s="16"/>
      <c r="B303" s="16"/>
      <c r="C303" s="16"/>
      <c r="D303" s="16"/>
      <c r="E303" s="16"/>
      <c r="F303" s="16"/>
      <c r="G303" s="16"/>
      <c r="H303" s="16"/>
    </row>
    <row r="304" spans="1:8" x14ac:dyDescent="0.2">
      <c r="A304" s="16"/>
      <c r="B304" s="16"/>
      <c r="C304" s="16"/>
      <c r="D304" s="16"/>
      <c r="E304" s="16"/>
      <c r="F304" s="16"/>
      <c r="G304" s="16"/>
      <c r="H304" s="16"/>
    </row>
    <row r="305" spans="1:8" x14ac:dyDescent="0.2">
      <c r="A305" s="16"/>
      <c r="B305" s="16"/>
      <c r="C305" s="16"/>
      <c r="D305" s="16"/>
      <c r="E305" s="16"/>
      <c r="F305" s="16"/>
      <c r="G305" s="16"/>
      <c r="H305" s="16"/>
    </row>
    <row r="306" spans="1:8" x14ac:dyDescent="0.2">
      <c r="A306" s="16"/>
      <c r="B306" s="16"/>
      <c r="C306" s="16"/>
      <c r="D306" s="16"/>
      <c r="E306" s="16"/>
      <c r="F306" s="16"/>
      <c r="G306" s="16"/>
      <c r="H306" s="16"/>
    </row>
    <row r="307" spans="1:8" x14ac:dyDescent="0.2">
      <c r="A307" s="16"/>
      <c r="B307" s="16"/>
      <c r="C307" s="16"/>
      <c r="D307" s="16"/>
      <c r="E307" s="16"/>
      <c r="F307" s="16"/>
      <c r="G307" s="16"/>
      <c r="H307" s="16"/>
    </row>
    <row r="308" spans="1:8" x14ac:dyDescent="0.2">
      <c r="A308" s="16"/>
      <c r="B308" s="16"/>
      <c r="C308" s="16"/>
      <c r="D308" s="16"/>
      <c r="E308" s="16"/>
      <c r="F308" s="16"/>
      <c r="G308" s="16"/>
      <c r="H308" s="16"/>
    </row>
    <row r="309" spans="1:8" x14ac:dyDescent="0.2">
      <c r="A309" s="16"/>
      <c r="B309" s="16"/>
      <c r="C309" s="16"/>
      <c r="D309" s="16"/>
      <c r="E309" s="16"/>
      <c r="F309" s="16"/>
      <c r="G309" s="16"/>
      <c r="H309" s="16"/>
    </row>
    <row r="310" spans="1:8" x14ac:dyDescent="0.2">
      <c r="A310" s="16"/>
      <c r="B310" s="16"/>
      <c r="C310" s="16"/>
      <c r="D310" s="16"/>
      <c r="E310" s="16"/>
      <c r="F310" s="16"/>
      <c r="G310" s="16"/>
      <c r="H310" s="16"/>
    </row>
    <row r="311" spans="1:8" x14ac:dyDescent="0.2">
      <c r="A311" s="16"/>
      <c r="B311" s="16"/>
      <c r="C311" s="16"/>
      <c r="D311" s="16"/>
      <c r="E311" s="16"/>
      <c r="F311" s="16"/>
      <c r="G311" s="16"/>
      <c r="H311" s="16"/>
    </row>
    <row r="312" spans="1:8" x14ac:dyDescent="0.2">
      <c r="A312" s="16"/>
      <c r="B312" s="16"/>
      <c r="C312" s="16"/>
      <c r="D312" s="16"/>
      <c r="E312" s="16"/>
      <c r="F312" s="16"/>
      <c r="G312" s="16"/>
      <c r="H312" s="16"/>
    </row>
    <row r="313" spans="1:8" x14ac:dyDescent="0.2">
      <c r="A313" s="16"/>
      <c r="B313" s="16"/>
      <c r="C313" s="16"/>
      <c r="D313" s="16"/>
      <c r="E313" s="16"/>
      <c r="F313" s="16"/>
      <c r="G313" s="16"/>
      <c r="H313" s="16"/>
    </row>
    <row r="314" spans="1:8" x14ac:dyDescent="0.2">
      <c r="A314" s="16"/>
      <c r="B314" s="16"/>
      <c r="C314" s="16"/>
      <c r="D314" s="16"/>
      <c r="E314" s="16"/>
      <c r="F314" s="16"/>
      <c r="G314" s="16"/>
      <c r="H314" s="16"/>
    </row>
    <row r="315" spans="1:8" x14ac:dyDescent="0.2">
      <c r="A315" s="16"/>
      <c r="B315" s="16"/>
      <c r="C315" s="16"/>
      <c r="D315" s="16"/>
      <c r="E315" s="16"/>
      <c r="F315" s="16"/>
      <c r="G315" s="16"/>
      <c r="H315" s="16"/>
    </row>
    <row r="316" spans="1:8" x14ac:dyDescent="0.2">
      <c r="A316" s="16"/>
      <c r="B316" s="16"/>
      <c r="C316" s="16"/>
      <c r="D316" s="16"/>
      <c r="E316" s="16"/>
      <c r="F316" s="16"/>
      <c r="G316" s="16"/>
      <c r="H316" s="16"/>
    </row>
    <row r="317" spans="1:8" x14ac:dyDescent="0.2">
      <c r="A317" s="16"/>
      <c r="B317" s="16"/>
      <c r="C317" s="16"/>
      <c r="D317" s="16"/>
      <c r="E317" s="16"/>
      <c r="F317" s="16"/>
      <c r="G317" s="16"/>
      <c r="H317" s="16"/>
    </row>
    <row r="318" spans="1:8" x14ac:dyDescent="0.2">
      <c r="A318" s="16"/>
      <c r="B318" s="16"/>
      <c r="C318" s="16"/>
      <c r="D318" s="16"/>
      <c r="E318" s="16"/>
      <c r="F318" s="16"/>
      <c r="G318" s="16"/>
      <c r="H318" s="16"/>
    </row>
    <row r="319" spans="1:8" x14ac:dyDescent="0.2">
      <c r="A319" s="16"/>
      <c r="B319" s="16"/>
      <c r="C319" s="16"/>
      <c r="D319" s="16"/>
      <c r="E319" s="16"/>
      <c r="F319" s="16"/>
      <c r="G319" s="16"/>
      <c r="H319" s="16"/>
    </row>
    <row r="320" spans="1:8" x14ac:dyDescent="0.2">
      <c r="A320" s="16"/>
      <c r="B320" s="16"/>
      <c r="C320" s="16"/>
      <c r="D320" s="16"/>
      <c r="E320" s="16"/>
      <c r="F320" s="16"/>
      <c r="G320" s="16"/>
      <c r="H320" s="16"/>
    </row>
    <row r="321" spans="1:8" x14ac:dyDescent="0.2">
      <c r="A321" s="16"/>
      <c r="B321" s="16"/>
      <c r="C321" s="16"/>
      <c r="D321" s="16"/>
      <c r="E321" s="16"/>
      <c r="F321" s="16"/>
      <c r="G321" s="16"/>
      <c r="H321" s="16"/>
    </row>
    <row r="322" spans="1:8" x14ac:dyDescent="0.2">
      <c r="A322" s="16"/>
      <c r="B322" s="16"/>
      <c r="C322" s="16"/>
      <c r="D322" s="16"/>
      <c r="E322" s="16"/>
      <c r="F322" s="16"/>
      <c r="G322" s="16"/>
      <c r="H322" s="16"/>
    </row>
    <row r="323" spans="1:8" x14ac:dyDescent="0.2">
      <c r="A323" s="16"/>
      <c r="B323" s="16"/>
      <c r="C323" s="16"/>
      <c r="D323" s="16"/>
      <c r="E323" s="16"/>
      <c r="F323" s="16"/>
      <c r="G323" s="16"/>
      <c r="H323" s="16"/>
    </row>
    <row r="324" spans="1:8" x14ac:dyDescent="0.2">
      <c r="A324" s="16"/>
      <c r="B324" s="16"/>
      <c r="C324" s="16"/>
      <c r="D324" s="16"/>
      <c r="E324" s="16"/>
      <c r="F324" s="16"/>
      <c r="G324" s="16"/>
      <c r="H324" s="16"/>
    </row>
    <row r="325" spans="1:8" x14ac:dyDescent="0.2">
      <c r="A325" s="16"/>
      <c r="B325" s="16"/>
      <c r="C325" s="16"/>
      <c r="D325" s="16"/>
      <c r="E325" s="16"/>
      <c r="F325" s="16"/>
      <c r="G325" s="16"/>
      <c r="H325" s="16"/>
    </row>
    <row r="326" spans="1:8" x14ac:dyDescent="0.2">
      <c r="A326" s="16"/>
      <c r="B326" s="16"/>
      <c r="C326" s="16"/>
      <c r="D326" s="16"/>
      <c r="E326" s="16"/>
      <c r="F326" s="16"/>
      <c r="G326" s="16"/>
      <c r="H326" s="16"/>
    </row>
    <row r="327" spans="1:8" x14ac:dyDescent="0.2">
      <c r="A327" s="16"/>
      <c r="B327" s="16"/>
      <c r="C327" s="16"/>
      <c r="D327" s="16"/>
      <c r="E327" s="16"/>
      <c r="F327" s="16"/>
      <c r="G327" s="16"/>
      <c r="H327" s="16"/>
    </row>
    <row r="328" spans="1:8" x14ac:dyDescent="0.2">
      <c r="A328" s="16"/>
      <c r="B328" s="16"/>
      <c r="C328" s="16"/>
      <c r="D328" s="16"/>
      <c r="E328" s="16"/>
      <c r="F328" s="16"/>
      <c r="G328" s="16"/>
      <c r="H328" s="16"/>
    </row>
    <row r="329" spans="1:8" x14ac:dyDescent="0.2">
      <c r="A329" s="16"/>
      <c r="B329" s="16"/>
      <c r="C329" s="16"/>
      <c r="D329" s="16"/>
      <c r="E329" s="16"/>
      <c r="F329" s="16"/>
      <c r="G329" s="16"/>
      <c r="H329" s="16"/>
    </row>
    <row r="330" spans="1:8" x14ac:dyDescent="0.2">
      <c r="A330" s="16"/>
      <c r="B330" s="16"/>
      <c r="C330" s="16"/>
      <c r="D330" s="16"/>
      <c r="E330" s="16"/>
      <c r="F330" s="16"/>
      <c r="G330" s="16"/>
      <c r="H330" s="16"/>
    </row>
    <row r="331" spans="1:8" x14ac:dyDescent="0.2">
      <c r="A331" s="16"/>
      <c r="B331" s="16"/>
      <c r="C331" s="16"/>
      <c r="D331" s="16"/>
      <c r="E331" s="16"/>
      <c r="F331" s="16"/>
      <c r="G331" s="16"/>
      <c r="H331" s="16"/>
    </row>
    <row r="332" spans="1:8" x14ac:dyDescent="0.2">
      <c r="A332" s="16"/>
      <c r="B332" s="16"/>
      <c r="C332" s="16"/>
      <c r="D332" s="16"/>
      <c r="E332" s="16"/>
      <c r="F332" s="16"/>
      <c r="G332" s="16"/>
      <c r="H332" s="16"/>
    </row>
    <row r="333" spans="1:8" x14ac:dyDescent="0.2">
      <c r="A333" s="16"/>
      <c r="B333" s="16"/>
      <c r="C333" s="16"/>
      <c r="D333" s="16"/>
      <c r="E333" s="16"/>
      <c r="F333" s="16"/>
      <c r="G333" s="16"/>
      <c r="H333" s="16"/>
    </row>
    <row r="334" spans="1:8" x14ac:dyDescent="0.2">
      <c r="A334" s="16"/>
      <c r="B334" s="16"/>
      <c r="C334" s="16"/>
      <c r="D334" s="16"/>
      <c r="E334" s="16"/>
      <c r="F334" s="16"/>
      <c r="G334" s="16"/>
      <c r="H334" s="16"/>
    </row>
    <row r="335" spans="1:8" x14ac:dyDescent="0.2">
      <c r="A335" s="16"/>
      <c r="B335" s="16"/>
      <c r="C335" s="16"/>
      <c r="D335" s="16"/>
      <c r="E335" s="16"/>
      <c r="F335" s="16"/>
      <c r="G335" s="16"/>
      <c r="H335" s="16"/>
    </row>
    <row r="336" spans="1:8" x14ac:dyDescent="0.2">
      <c r="A336" s="16"/>
      <c r="B336" s="16"/>
      <c r="C336" s="16"/>
      <c r="D336" s="16"/>
      <c r="E336" s="16"/>
      <c r="F336" s="16"/>
      <c r="G336" s="16"/>
      <c r="H336" s="16"/>
    </row>
    <row r="337" spans="1:8" x14ac:dyDescent="0.2">
      <c r="A337" s="16"/>
      <c r="B337" s="16"/>
      <c r="C337" s="16"/>
      <c r="D337" s="16"/>
      <c r="E337" s="16"/>
      <c r="F337" s="16"/>
      <c r="G337" s="16"/>
      <c r="H337" s="16"/>
    </row>
    <row r="338" spans="1:8" x14ac:dyDescent="0.2">
      <c r="A338" s="16"/>
      <c r="B338" s="16"/>
      <c r="C338" s="16"/>
      <c r="D338" s="16"/>
      <c r="E338" s="16"/>
      <c r="F338" s="16"/>
      <c r="G338" s="16"/>
      <c r="H338" s="16"/>
    </row>
    <row r="339" spans="1:8" x14ac:dyDescent="0.2">
      <c r="A339" s="16"/>
      <c r="B339" s="16"/>
      <c r="C339" s="16"/>
      <c r="D339" s="16"/>
      <c r="E339" s="16"/>
      <c r="F339" s="16"/>
      <c r="G339" s="16"/>
      <c r="H339" s="16"/>
    </row>
    <row r="340" spans="1:8" x14ac:dyDescent="0.2">
      <c r="A340" s="16"/>
      <c r="B340" s="16"/>
      <c r="C340" s="16"/>
      <c r="D340" s="16"/>
      <c r="E340" s="16"/>
      <c r="F340" s="16"/>
      <c r="G340" s="16"/>
      <c r="H340" s="16"/>
    </row>
    <row r="341" spans="1:8" x14ac:dyDescent="0.2">
      <c r="A341" s="16"/>
      <c r="B341" s="16"/>
      <c r="C341" s="16"/>
      <c r="D341" s="16"/>
      <c r="E341" s="16"/>
      <c r="F341" s="16"/>
      <c r="G341" s="16"/>
      <c r="H341" s="16"/>
    </row>
    <row r="342" spans="1:8" x14ac:dyDescent="0.2">
      <c r="A342" s="16"/>
      <c r="B342" s="16"/>
      <c r="C342" s="16"/>
      <c r="D342" s="16"/>
      <c r="E342" s="16"/>
      <c r="F342" s="16"/>
      <c r="G342" s="16"/>
      <c r="H342" s="16"/>
    </row>
    <row r="343" spans="1:8" x14ac:dyDescent="0.2">
      <c r="A343" s="16"/>
      <c r="B343" s="16"/>
      <c r="C343" s="16"/>
      <c r="D343" s="16"/>
      <c r="E343" s="16"/>
      <c r="F343" s="16"/>
      <c r="G343" s="16"/>
      <c r="H343" s="16"/>
    </row>
    <row r="344" spans="1:8" x14ac:dyDescent="0.2">
      <c r="A344" s="16"/>
      <c r="B344" s="16"/>
      <c r="C344" s="16"/>
      <c r="D344" s="16"/>
      <c r="E344" s="16"/>
      <c r="F344" s="16"/>
      <c r="G344" s="16"/>
      <c r="H344" s="16"/>
    </row>
    <row r="345" spans="1:8" x14ac:dyDescent="0.2">
      <c r="A345" s="16"/>
      <c r="B345" s="16"/>
      <c r="C345" s="16"/>
      <c r="D345" s="16"/>
      <c r="E345" s="16"/>
      <c r="F345" s="16"/>
      <c r="G345" s="16"/>
      <c r="H345" s="16"/>
    </row>
    <row r="346" spans="1:8" x14ac:dyDescent="0.2">
      <c r="A346" s="16"/>
      <c r="B346" s="16"/>
      <c r="C346" s="16"/>
      <c r="D346" s="16"/>
      <c r="E346" s="16"/>
      <c r="F346" s="16"/>
      <c r="G346" s="16"/>
      <c r="H346" s="16"/>
    </row>
    <row r="347" spans="1:8" x14ac:dyDescent="0.2">
      <c r="A347" s="16"/>
      <c r="B347" s="16"/>
      <c r="C347" s="16"/>
      <c r="D347" s="16"/>
      <c r="E347" s="16"/>
      <c r="F347" s="16"/>
      <c r="G347" s="16"/>
      <c r="H347" s="16"/>
    </row>
    <row r="348" spans="1:8" x14ac:dyDescent="0.2">
      <c r="A348" s="16"/>
      <c r="B348" s="16"/>
      <c r="C348" s="16"/>
      <c r="D348" s="16"/>
      <c r="E348" s="16"/>
      <c r="F348" s="16"/>
      <c r="G348" s="16"/>
      <c r="H348" s="16"/>
    </row>
    <row r="349" spans="1:8" x14ac:dyDescent="0.2">
      <c r="A349" s="16"/>
      <c r="B349" s="16"/>
      <c r="C349" s="16"/>
      <c r="D349" s="16"/>
      <c r="E349" s="16"/>
      <c r="F349" s="16"/>
      <c r="G349" s="16"/>
      <c r="H349" s="16"/>
    </row>
    <row r="350" spans="1:8" x14ac:dyDescent="0.2">
      <c r="A350" s="16"/>
      <c r="B350" s="16"/>
      <c r="C350" s="16"/>
      <c r="D350" s="16"/>
      <c r="E350" s="16"/>
      <c r="F350" s="16"/>
      <c r="G350" s="16"/>
      <c r="H350" s="16"/>
    </row>
    <row r="351" spans="1:8" x14ac:dyDescent="0.2">
      <c r="A351" s="16"/>
      <c r="B351" s="16"/>
      <c r="C351" s="16"/>
      <c r="D351" s="16"/>
      <c r="E351" s="16"/>
      <c r="F351" s="16"/>
      <c r="G351" s="16"/>
      <c r="H351" s="16"/>
    </row>
    <row r="352" spans="1:8" x14ac:dyDescent="0.2">
      <c r="A352" s="16"/>
      <c r="B352" s="16"/>
      <c r="C352" s="16"/>
      <c r="D352" s="16"/>
      <c r="E352" s="16"/>
      <c r="F352" s="16"/>
      <c r="G352" s="16"/>
      <c r="H352" s="16"/>
    </row>
    <row r="353" spans="1:8" x14ac:dyDescent="0.2">
      <c r="A353" s="16"/>
      <c r="B353" s="16"/>
      <c r="C353" s="16"/>
      <c r="D353" s="16"/>
      <c r="E353" s="16"/>
      <c r="F353" s="16"/>
      <c r="G353" s="16"/>
      <c r="H353" s="16"/>
    </row>
    <row r="354" spans="1:8" x14ac:dyDescent="0.2">
      <c r="A354" s="16"/>
      <c r="B354" s="16"/>
      <c r="C354" s="16"/>
      <c r="D354" s="16"/>
      <c r="E354" s="16"/>
      <c r="F354" s="16"/>
      <c r="G354" s="16"/>
      <c r="H354" s="16"/>
    </row>
    <row r="355" spans="1:8" x14ac:dyDescent="0.2">
      <c r="A355" s="16"/>
      <c r="B355" s="16"/>
      <c r="C355" s="16"/>
      <c r="D355" s="16"/>
      <c r="E355" s="16"/>
      <c r="F355" s="16"/>
      <c r="G355" s="16"/>
      <c r="H355" s="16"/>
    </row>
    <row r="356" spans="1:8" x14ac:dyDescent="0.2">
      <c r="A356" s="16"/>
      <c r="B356" s="16"/>
      <c r="C356" s="16"/>
      <c r="D356" s="16"/>
      <c r="E356" s="16"/>
      <c r="F356" s="16"/>
      <c r="G356" s="16"/>
      <c r="H356" s="16"/>
    </row>
    <row r="357" spans="1:8" x14ac:dyDescent="0.2">
      <c r="A357" s="16"/>
      <c r="B357" s="16"/>
      <c r="C357" s="16"/>
      <c r="D357" s="16"/>
      <c r="E357" s="16"/>
      <c r="F357" s="16"/>
      <c r="G357" s="16"/>
      <c r="H357" s="16"/>
    </row>
    <row r="358" spans="1:8" x14ac:dyDescent="0.2">
      <c r="A358" s="16"/>
      <c r="B358" s="16"/>
      <c r="C358" s="16"/>
      <c r="D358" s="16"/>
      <c r="E358" s="16"/>
      <c r="F358" s="16"/>
      <c r="G358" s="16"/>
      <c r="H358" s="16"/>
    </row>
    <row r="359" spans="1:8" x14ac:dyDescent="0.2">
      <c r="A359" s="16"/>
      <c r="B359" s="16"/>
      <c r="C359" s="16"/>
      <c r="D359" s="16"/>
      <c r="E359" s="16"/>
      <c r="F359" s="16"/>
      <c r="G359" s="16"/>
      <c r="H359" s="16"/>
    </row>
    <row r="360" spans="1:8" x14ac:dyDescent="0.2">
      <c r="A360" s="16"/>
      <c r="B360" s="16"/>
      <c r="C360" s="16"/>
      <c r="D360" s="16"/>
      <c r="E360" s="16"/>
      <c r="F360" s="16"/>
      <c r="G360" s="16"/>
      <c r="H360" s="16"/>
    </row>
    <row r="361" spans="1:8" x14ac:dyDescent="0.2">
      <c r="A361" s="16"/>
      <c r="B361" s="16"/>
      <c r="C361" s="16"/>
      <c r="D361" s="16"/>
      <c r="E361" s="16"/>
      <c r="F361" s="16"/>
      <c r="G361" s="16"/>
      <c r="H361" s="16"/>
    </row>
    <row r="362" spans="1:8" x14ac:dyDescent="0.2">
      <c r="A362" s="16"/>
      <c r="B362" s="16"/>
      <c r="C362" s="16"/>
      <c r="D362" s="16"/>
      <c r="E362" s="16"/>
      <c r="F362" s="16"/>
      <c r="G362" s="16"/>
      <c r="H362" s="16"/>
    </row>
    <row r="363" spans="1:8" x14ac:dyDescent="0.2">
      <c r="A363" s="16"/>
      <c r="B363" s="16"/>
      <c r="C363" s="16"/>
      <c r="D363" s="16"/>
      <c r="E363" s="16"/>
      <c r="F363" s="16"/>
      <c r="G363" s="16"/>
      <c r="H363" s="16"/>
    </row>
    <row r="364" spans="1:8" x14ac:dyDescent="0.2">
      <c r="A364" s="16"/>
      <c r="B364" s="16"/>
      <c r="C364" s="16"/>
      <c r="D364" s="16"/>
      <c r="E364" s="16"/>
      <c r="F364" s="16"/>
      <c r="G364" s="16"/>
      <c r="H364" s="16"/>
    </row>
    <row r="365" spans="1:8" x14ac:dyDescent="0.2">
      <c r="A365" s="16"/>
      <c r="B365" s="16"/>
      <c r="C365" s="16"/>
      <c r="D365" s="16"/>
      <c r="E365" s="16"/>
      <c r="F365" s="16"/>
      <c r="G365" s="16"/>
      <c r="H365" s="16"/>
    </row>
    <row r="366" spans="1:8" x14ac:dyDescent="0.2">
      <c r="A366" s="16"/>
      <c r="B366" s="16"/>
      <c r="C366" s="16"/>
      <c r="D366" s="16"/>
      <c r="E366" s="16"/>
      <c r="F366" s="16"/>
      <c r="G366" s="16"/>
      <c r="H366" s="16"/>
    </row>
    <row r="367" spans="1:8" x14ac:dyDescent="0.2">
      <c r="A367" s="16"/>
      <c r="B367" s="16"/>
      <c r="C367" s="16"/>
      <c r="D367" s="16"/>
      <c r="E367" s="16"/>
      <c r="F367" s="16"/>
      <c r="G367" s="16"/>
      <c r="H367" s="16"/>
    </row>
    <row r="368" spans="1:8" x14ac:dyDescent="0.2">
      <c r="A368" s="16"/>
      <c r="B368" s="16"/>
      <c r="C368" s="16"/>
      <c r="D368" s="16"/>
      <c r="E368" s="16"/>
      <c r="F368" s="16"/>
      <c r="G368" s="16"/>
      <c r="H368" s="16"/>
    </row>
    <row r="369" spans="1:8" x14ac:dyDescent="0.2">
      <c r="A369" s="16"/>
      <c r="B369" s="16"/>
      <c r="C369" s="16"/>
      <c r="D369" s="16"/>
      <c r="E369" s="16"/>
      <c r="F369" s="16"/>
      <c r="G369" s="16"/>
      <c r="H369" s="16"/>
    </row>
    <row r="370" spans="1:8" x14ac:dyDescent="0.2">
      <c r="A370" s="16"/>
      <c r="B370" s="16"/>
      <c r="C370" s="16"/>
      <c r="D370" s="16"/>
      <c r="E370" s="16"/>
      <c r="F370" s="16"/>
      <c r="G370" s="16"/>
      <c r="H370" s="16"/>
    </row>
    <row r="371" spans="1:8" x14ac:dyDescent="0.2">
      <c r="A371" s="16"/>
      <c r="B371" s="16"/>
      <c r="C371" s="16"/>
      <c r="D371" s="16"/>
      <c r="E371" s="16"/>
      <c r="F371" s="16"/>
      <c r="G371" s="16"/>
      <c r="H371" s="16"/>
    </row>
    <row r="372" spans="1:8" x14ac:dyDescent="0.2">
      <c r="A372" s="16"/>
      <c r="B372" s="16"/>
      <c r="C372" s="16"/>
      <c r="D372" s="16"/>
      <c r="E372" s="16"/>
      <c r="F372" s="16"/>
      <c r="G372" s="16"/>
      <c r="H372" s="16"/>
    </row>
    <row r="373" spans="1:8" x14ac:dyDescent="0.2">
      <c r="A373" s="16"/>
      <c r="B373" s="16"/>
      <c r="C373" s="16"/>
      <c r="D373" s="16"/>
      <c r="E373" s="16"/>
      <c r="F373" s="16"/>
      <c r="G373" s="16"/>
      <c r="H373" s="16"/>
    </row>
    <row r="374" spans="1:8" x14ac:dyDescent="0.2">
      <c r="A374" s="16"/>
      <c r="B374" s="16"/>
      <c r="C374" s="16"/>
      <c r="D374" s="16"/>
      <c r="E374" s="16"/>
      <c r="F374" s="16"/>
      <c r="G374" s="16"/>
      <c r="H374" s="16"/>
    </row>
    <row r="375" spans="1:8" x14ac:dyDescent="0.2">
      <c r="A375" s="16"/>
      <c r="B375" s="16"/>
      <c r="C375" s="16"/>
      <c r="D375" s="16"/>
      <c r="E375" s="16"/>
      <c r="F375" s="16"/>
      <c r="G375" s="16"/>
      <c r="H375" s="16"/>
    </row>
    <row r="376" spans="1:8" x14ac:dyDescent="0.2">
      <c r="A376" s="16"/>
      <c r="B376" s="16"/>
      <c r="C376" s="16"/>
      <c r="D376" s="16"/>
      <c r="E376" s="16"/>
      <c r="F376" s="16"/>
      <c r="G376" s="16"/>
      <c r="H376" s="16"/>
    </row>
    <row r="377" spans="1:8" x14ac:dyDescent="0.2">
      <c r="A377" s="16"/>
      <c r="B377" s="16"/>
      <c r="C377" s="16"/>
      <c r="D377" s="16"/>
      <c r="E377" s="16"/>
      <c r="F377" s="16"/>
      <c r="G377" s="16"/>
      <c r="H377" s="16"/>
    </row>
    <row r="378" spans="1:8" x14ac:dyDescent="0.2">
      <c r="A378" s="16"/>
      <c r="B378" s="16"/>
      <c r="C378" s="16"/>
      <c r="D378" s="16"/>
      <c r="E378" s="16"/>
      <c r="F378" s="16"/>
      <c r="G378" s="16"/>
      <c r="H378" s="16"/>
    </row>
    <row r="379" spans="1:8" x14ac:dyDescent="0.2">
      <c r="A379" s="16"/>
      <c r="B379" s="16"/>
      <c r="C379" s="16"/>
      <c r="D379" s="16"/>
      <c r="E379" s="16"/>
      <c r="F379" s="16"/>
      <c r="G379" s="16"/>
      <c r="H379" s="16"/>
    </row>
    <row r="380" spans="1:8" x14ac:dyDescent="0.2">
      <c r="A380" s="16"/>
      <c r="B380" s="16"/>
      <c r="C380" s="16"/>
      <c r="D380" s="16"/>
      <c r="E380" s="16"/>
      <c r="F380" s="16"/>
      <c r="G380" s="16"/>
      <c r="H380" s="16"/>
    </row>
    <row r="381" spans="1:8" x14ac:dyDescent="0.2">
      <c r="A381" s="16"/>
      <c r="B381" s="16"/>
      <c r="C381" s="16"/>
      <c r="D381" s="16"/>
      <c r="E381" s="16"/>
      <c r="F381" s="16"/>
      <c r="G381" s="16"/>
      <c r="H381" s="16"/>
    </row>
    <row r="382" spans="1:8" x14ac:dyDescent="0.2">
      <c r="A382" s="16"/>
      <c r="B382" s="16"/>
      <c r="C382" s="16"/>
      <c r="D382" s="16"/>
      <c r="E382" s="16"/>
      <c r="F382" s="16"/>
      <c r="G382" s="16"/>
      <c r="H382" s="16"/>
    </row>
    <row r="383" spans="1:8" x14ac:dyDescent="0.2">
      <c r="A383" s="16"/>
      <c r="B383" s="16"/>
      <c r="C383" s="16"/>
      <c r="D383" s="16"/>
      <c r="E383" s="16"/>
      <c r="F383" s="16"/>
      <c r="G383" s="16"/>
      <c r="H383" s="16"/>
    </row>
    <row r="384" spans="1:8" x14ac:dyDescent="0.2">
      <c r="A384" s="16"/>
      <c r="B384" s="16"/>
      <c r="C384" s="16"/>
      <c r="D384" s="16"/>
      <c r="E384" s="16"/>
      <c r="F384" s="16"/>
      <c r="G384" s="16"/>
      <c r="H384" s="16"/>
    </row>
    <row r="385" spans="1:8" x14ac:dyDescent="0.2">
      <c r="A385" s="16"/>
      <c r="B385" s="16"/>
      <c r="C385" s="16"/>
      <c r="D385" s="16"/>
      <c r="E385" s="16"/>
      <c r="F385" s="16"/>
      <c r="G385" s="16"/>
      <c r="H385" s="16"/>
    </row>
    <row r="386" spans="1:8" x14ac:dyDescent="0.2">
      <c r="A386" s="16"/>
      <c r="B386" s="16"/>
      <c r="C386" s="16"/>
      <c r="D386" s="16"/>
      <c r="E386" s="16"/>
      <c r="F386" s="16"/>
      <c r="G386" s="16"/>
      <c r="H386" s="16"/>
    </row>
    <row r="387" spans="1:8" x14ac:dyDescent="0.2">
      <c r="A387" s="16"/>
      <c r="B387" s="16"/>
      <c r="C387" s="16"/>
      <c r="D387" s="16"/>
      <c r="E387" s="16"/>
      <c r="F387" s="16"/>
      <c r="G387" s="16"/>
      <c r="H387" s="16"/>
    </row>
    <row r="388" spans="1:8" x14ac:dyDescent="0.2">
      <c r="A388" s="16"/>
      <c r="B388" s="16"/>
      <c r="C388" s="16"/>
      <c r="D388" s="16"/>
      <c r="E388" s="16"/>
      <c r="F388" s="16"/>
      <c r="G388" s="16"/>
      <c r="H388" s="16"/>
    </row>
    <row r="389" spans="1:8" x14ac:dyDescent="0.2">
      <c r="A389" s="16"/>
      <c r="B389" s="16"/>
      <c r="C389" s="16"/>
      <c r="D389" s="16"/>
      <c r="E389" s="16"/>
      <c r="F389" s="16"/>
      <c r="G389" s="16"/>
      <c r="H389" s="16"/>
    </row>
    <row r="390" spans="1:8" x14ac:dyDescent="0.2">
      <c r="A390" s="16"/>
      <c r="B390" s="16"/>
      <c r="C390" s="16"/>
      <c r="D390" s="16"/>
      <c r="E390" s="16"/>
      <c r="F390" s="16"/>
      <c r="G390" s="16"/>
      <c r="H390" s="16"/>
    </row>
    <row r="391" spans="1:8" x14ac:dyDescent="0.2">
      <c r="A391" s="16"/>
      <c r="B391" s="16"/>
      <c r="C391" s="16"/>
      <c r="D391" s="16"/>
      <c r="E391" s="16"/>
      <c r="F391" s="16"/>
      <c r="G391" s="16"/>
      <c r="H391" s="16"/>
    </row>
    <row r="392" spans="1:8" x14ac:dyDescent="0.2">
      <c r="A392" s="16"/>
      <c r="B392" s="16"/>
      <c r="C392" s="16"/>
      <c r="D392" s="16"/>
      <c r="E392" s="16"/>
      <c r="F392" s="16"/>
      <c r="G392" s="16"/>
      <c r="H392" s="16"/>
    </row>
    <row r="393" spans="1:8" x14ac:dyDescent="0.2">
      <c r="A393" s="16"/>
      <c r="B393" s="16"/>
      <c r="C393" s="16"/>
      <c r="D393" s="16"/>
      <c r="E393" s="16"/>
      <c r="F393" s="16"/>
      <c r="G393" s="16"/>
      <c r="H393" s="16"/>
    </row>
    <row r="394" spans="1:8" x14ac:dyDescent="0.2">
      <c r="A394" s="16"/>
      <c r="B394" s="16"/>
      <c r="C394" s="16"/>
      <c r="D394" s="16"/>
      <c r="E394" s="16"/>
      <c r="F394" s="16"/>
      <c r="G394" s="16"/>
      <c r="H394" s="16"/>
    </row>
    <row r="395" spans="1:8" x14ac:dyDescent="0.2">
      <c r="A395" s="16"/>
      <c r="B395" s="16"/>
      <c r="C395" s="16"/>
      <c r="D395" s="16"/>
      <c r="E395" s="16"/>
      <c r="F395" s="16"/>
      <c r="G395" s="16"/>
      <c r="H395" s="16"/>
    </row>
    <row r="396" spans="1:8" x14ac:dyDescent="0.2">
      <c r="A396" s="16"/>
      <c r="B396" s="16"/>
      <c r="C396" s="16"/>
      <c r="D396" s="16"/>
      <c r="E396" s="16"/>
      <c r="F396" s="16"/>
      <c r="G396" s="16"/>
      <c r="H396" s="16"/>
    </row>
    <row r="397" spans="1:8" x14ac:dyDescent="0.2">
      <c r="A397" s="16"/>
      <c r="B397" s="16"/>
      <c r="C397" s="16"/>
      <c r="D397" s="16"/>
      <c r="E397" s="16"/>
      <c r="F397" s="16"/>
      <c r="G397" s="16"/>
      <c r="H397" s="16"/>
    </row>
    <row r="398" spans="1:8" x14ac:dyDescent="0.2">
      <c r="A398" s="16"/>
      <c r="B398" s="16"/>
      <c r="C398" s="16"/>
      <c r="D398" s="16"/>
      <c r="E398" s="16"/>
      <c r="F398" s="16"/>
      <c r="G398" s="16"/>
      <c r="H398" s="16"/>
    </row>
    <row r="399" spans="1:8" x14ac:dyDescent="0.2">
      <c r="A399" s="16"/>
      <c r="B399" s="16"/>
      <c r="C399" s="16"/>
      <c r="D399" s="16"/>
      <c r="E399" s="16"/>
      <c r="F399" s="16"/>
      <c r="G399" s="16"/>
      <c r="H399" s="16"/>
    </row>
    <row r="400" spans="1:8" x14ac:dyDescent="0.2">
      <c r="A400" s="16"/>
      <c r="B400" s="16"/>
      <c r="C400" s="16"/>
      <c r="D400" s="16"/>
      <c r="E400" s="16"/>
      <c r="F400" s="16"/>
      <c r="G400" s="16"/>
      <c r="H400" s="16"/>
    </row>
    <row r="401" spans="1:8" x14ac:dyDescent="0.2">
      <c r="A401" s="16"/>
      <c r="B401" s="16"/>
      <c r="C401" s="16"/>
      <c r="D401" s="16"/>
      <c r="E401" s="16"/>
      <c r="F401" s="16"/>
      <c r="G401" s="16"/>
      <c r="H401" s="16"/>
    </row>
    <row r="402" spans="1:8" x14ac:dyDescent="0.2">
      <c r="A402" s="16"/>
      <c r="B402" s="16"/>
      <c r="C402" s="16"/>
      <c r="D402" s="16"/>
      <c r="E402" s="16"/>
      <c r="F402" s="16"/>
      <c r="G402" s="16"/>
      <c r="H402" s="16"/>
    </row>
    <row r="403" spans="1:8" x14ac:dyDescent="0.2">
      <c r="A403" s="16"/>
      <c r="B403" s="16"/>
      <c r="C403" s="16"/>
      <c r="D403" s="16"/>
      <c r="E403" s="16"/>
      <c r="F403" s="16"/>
      <c r="G403" s="16"/>
      <c r="H403" s="16"/>
    </row>
    <row r="404" spans="1:8" x14ac:dyDescent="0.2">
      <c r="A404" s="16"/>
      <c r="B404" s="16"/>
      <c r="C404" s="16"/>
      <c r="D404" s="16"/>
      <c r="E404" s="16"/>
      <c r="F404" s="16"/>
      <c r="G404" s="16"/>
      <c r="H404" s="16"/>
    </row>
    <row r="405" spans="1:8" x14ac:dyDescent="0.2">
      <c r="A405" s="16"/>
      <c r="B405" s="16"/>
      <c r="C405" s="16"/>
      <c r="D405" s="16"/>
      <c r="E405" s="16"/>
      <c r="F405" s="16"/>
      <c r="G405" s="16"/>
      <c r="H405" s="16"/>
    </row>
    <row r="406" spans="1:8" x14ac:dyDescent="0.2">
      <c r="A406" s="16"/>
      <c r="B406" s="16"/>
      <c r="C406" s="16"/>
      <c r="D406" s="16"/>
      <c r="E406" s="16"/>
      <c r="F406" s="16"/>
      <c r="G406" s="16"/>
      <c r="H406" s="16"/>
    </row>
    <row r="407" spans="1:8" x14ac:dyDescent="0.2">
      <c r="A407" s="16"/>
      <c r="B407" s="16"/>
      <c r="C407" s="16"/>
      <c r="D407" s="16"/>
      <c r="E407" s="16"/>
      <c r="F407" s="16"/>
      <c r="G407" s="16"/>
      <c r="H407" s="16"/>
    </row>
    <row r="408" spans="1:8" x14ac:dyDescent="0.2">
      <c r="A408" s="16"/>
      <c r="B408" s="16"/>
      <c r="C408" s="16"/>
      <c r="D408" s="16"/>
      <c r="E408" s="16"/>
      <c r="F408" s="16"/>
      <c r="G408" s="16"/>
      <c r="H408" s="16"/>
    </row>
    <row r="409" spans="1:8" x14ac:dyDescent="0.2">
      <c r="A409" s="16"/>
      <c r="B409" s="16"/>
      <c r="C409" s="16"/>
      <c r="D409" s="16"/>
      <c r="E409" s="16"/>
      <c r="F409" s="16"/>
      <c r="G409" s="16"/>
      <c r="H409" s="16"/>
    </row>
    <row r="410" spans="1:8" x14ac:dyDescent="0.2">
      <c r="A410" s="16"/>
      <c r="B410" s="16"/>
      <c r="C410" s="16"/>
      <c r="D410" s="16"/>
      <c r="E410" s="16"/>
      <c r="F410" s="16"/>
      <c r="G410" s="16"/>
      <c r="H410" s="16"/>
    </row>
    <row r="411" spans="1:8" x14ac:dyDescent="0.2">
      <c r="A411" s="16"/>
      <c r="B411" s="16"/>
      <c r="C411" s="16"/>
      <c r="D411" s="16"/>
      <c r="E411" s="16"/>
      <c r="F411" s="16"/>
      <c r="G411" s="16"/>
      <c r="H411" s="16"/>
    </row>
    <row r="412" spans="1:8" x14ac:dyDescent="0.2">
      <c r="A412" s="16"/>
      <c r="B412" s="16"/>
      <c r="C412" s="16"/>
      <c r="D412" s="16"/>
      <c r="E412" s="16"/>
      <c r="F412" s="16"/>
      <c r="G412" s="16"/>
      <c r="H412" s="16"/>
    </row>
    <row r="413" spans="1:8" x14ac:dyDescent="0.2">
      <c r="A413" s="16"/>
      <c r="B413" s="16"/>
      <c r="C413" s="16"/>
      <c r="D413" s="16"/>
      <c r="E413" s="16"/>
      <c r="F413" s="16"/>
      <c r="G413" s="16"/>
      <c r="H413" s="16"/>
    </row>
    <row r="414" spans="1:8" x14ac:dyDescent="0.2">
      <c r="A414" s="16"/>
      <c r="B414" s="16"/>
      <c r="C414" s="16"/>
      <c r="D414" s="16"/>
      <c r="E414" s="16"/>
      <c r="F414" s="16"/>
      <c r="G414" s="16"/>
      <c r="H414" s="16"/>
    </row>
    <row r="415" spans="1:8" x14ac:dyDescent="0.2">
      <c r="A415" s="16"/>
      <c r="B415" s="16"/>
      <c r="C415" s="16"/>
      <c r="D415" s="16"/>
      <c r="E415" s="16"/>
      <c r="F415" s="16"/>
      <c r="G415" s="16"/>
      <c r="H415" s="16"/>
    </row>
    <row r="416" spans="1:8" x14ac:dyDescent="0.2">
      <c r="A416" s="16"/>
      <c r="B416" s="16"/>
      <c r="C416" s="16"/>
      <c r="D416" s="16"/>
      <c r="E416" s="16"/>
      <c r="F416" s="16"/>
      <c r="G416" s="16"/>
      <c r="H416" s="16"/>
    </row>
    <row r="417" spans="1:8" x14ac:dyDescent="0.2">
      <c r="A417" s="16"/>
      <c r="B417" s="16"/>
      <c r="C417" s="16"/>
      <c r="D417" s="16"/>
      <c r="E417" s="16"/>
      <c r="F417" s="16"/>
      <c r="G417" s="16"/>
      <c r="H417" s="16"/>
    </row>
    <row r="418" spans="1:8" x14ac:dyDescent="0.2">
      <c r="A418" s="16"/>
      <c r="B418" s="16"/>
      <c r="C418" s="16"/>
      <c r="D418" s="16"/>
      <c r="E418" s="16"/>
      <c r="F418" s="16"/>
      <c r="G418" s="16"/>
      <c r="H418" s="16"/>
    </row>
    <row r="419" spans="1:8" x14ac:dyDescent="0.2">
      <c r="A419" s="16"/>
      <c r="B419" s="16"/>
      <c r="C419" s="16"/>
      <c r="D419" s="16"/>
      <c r="E419" s="16"/>
      <c r="F419" s="16"/>
      <c r="G419" s="16"/>
      <c r="H419" s="16"/>
    </row>
    <row r="420" spans="1:8" x14ac:dyDescent="0.2">
      <c r="A420" s="16"/>
      <c r="B420" s="16"/>
      <c r="C420" s="16"/>
      <c r="D420" s="16"/>
      <c r="E420" s="16"/>
      <c r="F420" s="16"/>
      <c r="G420" s="16"/>
      <c r="H420" s="16"/>
    </row>
    <row r="421" spans="1:8" x14ac:dyDescent="0.2">
      <c r="A421" s="16"/>
      <c r="B421" s="16"/>
      <c r="C421" s="16"/>
      <c r="D421" s="16"/>
      <c r="E421" s="16"/>
      <c r="F421" s="16"/>
      <c r="G421" s="16"/>
      <c r="H421" s="16"/>
    </row>
    <row r="422" spans="1:8" x14ac:dyDescent="0.2">
      <c r="A422" s="16"/>
      <c r="B422" s="16"/>
      <c r="C422" s="16"/>
      <c r="D422" s="16"/>
      <c r="E422" s="16"/>
      <c r="F422" s="16"/>
      <c r="G422" s="16"/>
      <c r="H422" s="16"/>
    </row>
    <row r="423" spans="1:8" x14ac:dyDescent="0.2">
      <c r="A423" s="16"/>
      <c r="B423" s="16"/>
      <c r="C423" s="16"/>
      <c r="D423" s="16"/>
      <c r="E423" s="16"/>
      <c r="F423" s="16"/>
      <c r="G423" s="16"/>
      <c r="H423" s="16"/>
    </row>
    <row r="424" spans="1:8" x14ac:dyDescent="0.2">
      <c r="A424" s="16"/>
      <c r="B424" s="16"/>
      <c r="C424" s="16"/>
      <c r="D424" s="16"/>
      <c r="E424" s="16"/>
      <c r="F424" s="16"/>
      <c r="G424" s="16"/>
      <c r="H424" s="16"/>
    </row>
    <row r="425" spans="1:8" x14ac:dyDescent="0.2">
      <c r="A425" s="16"/>
      <c r="B425" s="16"/>
      <c r="C425" s="16"/>
      <c r="D425" s="16"/>
      <c r="E425" s="16"/>
      <c r="F425" s="16"/>
      <c r="G425" s="16"/>
      <c r="H425" s="16"/>
    </row>
    <row r="426" spans="1:8" x14ac:dyDescent="0.2">
      <c r="A426" s="16"/>
      <c r="B426" s="16"/>
      <c r="C426" s="16"/>
      <c r="D426" s="16"/>
      <c r="E426" s="16"/>
      <c r="F426" s="16"/>
      <c r="G426" s="16"/>
      <c r="H426" s="16"/>
    </row>
    <row r="427" spans="1:8" x14ac:dyDescent="0.2">
      <c r="A427" s="16"/>
      <c r="B427" s="16"/>
      <c r="C427" s="16"/>
      <c r="D427" s="16"/>
      <c r="E427" s="16"/>
      <c r="F427" s="16"/>
      <c r="G427" s="16"/>
      <c r="H427" s="16"/>
    </row>
    <row r="428" spans="1:8" x14ac:dyDescent="0.2">
      <c r="A428" s="16"/>
      <c r="B428" s="16"/>
      <c r="C428" s="16"/>
      <c r="D428" s="16"/>
      <c r="E428" s="16"/>
      <c r="F428" s="16"/>
      <c r="G428" s="16"/>
      <c r="H428" s="16"/>
    </row>
    <row r="429" spans="1:8" x14ac:dyDescent="0.2">
      <c r="A429" s="16"/>
      <c r="B429" s="16"/>
      <c r="C429" s="16"/>
      <c r="D429" s="16"/>
      <c r="E429" s="16"/>
      <c r="F429" s="16"/>
      <c r="G429" s="16"/>
      <c r="H429" s="16"/>
    </row>
    <row r="430" spans="1:8" x14ac:dyDescent="0.2">
      <c r="A430" s="16"/>
      <c r="B430" s="16"/>
      <c r="C430" s="16"/>
      <c r="D430" s="16"/>
      <c r="E430" s="16"/>
      <c r="F430" s="16"/>
      <c r="G430" s="16"/>
      <c r="H430" s="16"/>
    </row>
    <row r="431" spans="1:8" x14ac:dyDescent="0.2">
      <c r="A431" s="16"/>
      <c r="B431" s="16"/>
      <c r="C431" s="16"/>
      <c r="D431" s="16"/>
      <c r="E431" s="16"/>
      <c r="F431" s="16"/>
      <c r="G431" s="16"/>
      <c r="H431" s="16"/>
    </row>
    <row r="432" spans="1:8" x14ac:dyDescent="0.2">
      <c r="A432" s="16"/>
      <c r="B432" s="16"/>
      <c r="C432" s="16"/>
      <c r="D432" s="16"/>
      <c r="E432" s="16"/>
      <c r="F432" s="16"/>
      <c r="G432" s="16"/>
      <c r="H432" s="16"/>
    </row>
    <row r="433" spans="1:8" x14ac:dyDescent="0.2">
      <c r="A433" s="16"/>
      <c r="B433" s="16"/>
      <c r="C433" s="16"/>
      <c r="D433" s="16"/>
      <c r="E433" s="16"/>
      <c r="F433" s="16"/>
      <c r="G433" s="16"/>
      <c r="H433" s="16"/>
    </row>
    <row r="434" spans="1:8" x14ac:dyDescent="0.2">
      <c r="A434" s="16"/>
      <c r="B434" s="16"/>
      <c r="C434" s="16"/>
      <c r="D434" s="16"/>
      <c r="E434" s="16"/>
      <c r="F434" s="16"/>
      <c r="G434" s="16"/>
      <c r="H434" s="16"/>
    </row>
    <row r="435" spans="1:8" x14ac:dyDescent="0.2">
      <c r="A435" s="16"/>
      <c r="B435" s="16"/>
      <c r="C435" s="16"/>
      <c r="D435" s="16"/>
      <c r="E435" s="16"/>
      <c r="F435" s="16"/>
      <c r="G435" s="16"/>
      <c r="H435" s="16"/>
    </row>
    <row r="436" spans="1:8" x14ac:dyDescent="0.2">
      <c r="A436" s="16"/>
      <c r="B436" s="16"/>
      <c r="C436" s="16"/>
      <c r="D436" s="16"/>
      <c r="E436" s="16"/>
      <c r="F436" s="16"/>
      <c r="G436" s="16"/>
      <c r="H436" s="16"/>
    </row>
    <row r="437" spans="1:8" x14ac:dyDescent="0.2">
      <c r="A437" s="16"/>
      <c r="B437" s="16"/>
      <c r="C437" s="16"/>
      <c r="D437" s="16"/>
      <c r="E437" s="16"/>
      <c r="F437" s="16"/>
      <c r="G437" s="16"/>
      <c r="H437" s="16"/>
    </row>
    <row r="438" spans="1:8" x14ac:dyDescent="0.2">
      <c r="A438" s="16"/>
      <c r="B438" s="16"/>
      <c r="C438" s="16"/>
      <c r="D438" s="16"/>
      <c r="E438" s="16"/>
      <c r="F438" s="16"/>
      <c r="G438" s="16"/>
      <c r="H438" s="16"/>
    </row>
    <row r="439" spans="1:8" x14ac:dyDescent="0.2">
      <c r="A439" s="16"/>
      <c r="B439" s="16"/>
      <c r="C439" s="16"/>
      <c r="D439" s="16"/>
      <c r="E439" s="16"/>
      <c r="F439" s="16"/>
      <c r="G439" s="16"/>
      <c r="H439" s="16"/>
    </row>
    <row r="440" spans="1:8" x14ac:dyDescent="0.2">
      <c r="A440" s="16"/>
      <c r="B440" s="16"/>
      <c r="C440" s="16"/>
      <c r="D440" s="16"/>
      <c r="E440" s="16"/>
      <c r="F440" s="16"/>
      <c r="G440" s="16"/>
      <c r="H440" s="16"/>
    </row>
    <row r="441" spans="1:8" x14ac:dyDescent="0.2">
      <c r="A441" s="16"/>
      <c r="B441" s="16"/>
      <c r="C441" s="16"/>
      <c r="D441" s="16"/>
      <c r="E441" s="16"/>
      <c r="F441" s="16"/>
      <c r="G441" s="16"/>
      <c r="H441" s="16"/>
    </row>
    <row r="442" spans="1:8" x14ac:dyDescent="0.2">
      <c r="A442" s="16"/>
      <c r="B442" s="16"/>
      <c r="C442" s="16"/>
      <c r="D442" s="16"/>
      <c r="E442" s="16"/>
      <c r="F442" s="16"/>
      <c r="G442" s="16"/>
      <c r="H442" s="16"/>
    </row>
    <row r="443" spans="1:8" x14ac:dyDescent="0.2">
      <c r="A443" s="16"/>
      <c r="B443" s="16"/>
      <c r="C443" s="16"/>
      <c r="D443" s="16"/>
      <c r="E443" s="16"/>
      <c r="F443" s="16"/>
      <c r="G443" s="16"/>
      <c r="H443" s="16"/>
    </row>
    <row r="444" spans="1:8" x14ac:dyDescent="0.2">
      <c r="A444" s="16"/>
      <c r="B444" s="16"/>
      <c r="C444" s="16"/>
      <c r="D444" s="16"/>
      <c r="E444" s="16"/>
      <c r="F444" s="16"/>
      <c r="G444" s="16"/>
      <c r="H444" s="16"/>
    </row>
    <row r="445" spans="1:8" x14ac:dyDescent="0.2">
      <c r="A445" s="16"/>
      <c r="B445" s="16"/>
      <c r="C445" s="16"/>
      <c r="D445" s="16"/>
      <c r="E445" s="16"/>
      <c r="F445" s="16"/>
      <c r="G445" s="16"/>
      <c r="H445" s="16"/>
    </row>
    <row r="446" spans="1:8" x14ac:dyDescent="0.2">
      <c r="A446" s="16"/>
      <c r="B446" s="16"/>
      <c r="C446" s="16"/>
      <c r="D446" s="16"/>
      <c r="E446" s="16"/>
      <c r="F446" s="16"/>
      <c r="G446" s="16"/>
      <c r="H446" s="16"/>
    </row>
    <row r="447" spans="1:8" x14ac:dyDescent="0.2">
      <c r="A447" s="16"/>
      <c r="B447" s="16"/>
      <c r="C447" s="16"/>
      <c r="D447" s="16"/>
      <c r="E447" s="16"/>
      <c r="F447" s="16"/>
      <c r="G447" s="16"/>
      <c r="H447" s="16"/>
    </row>
    <row r="448" spans="1:8" x14ac:dyDescent="0.2">
      <c r="A448" s="16"/>
      <c r="B448" s="16"/>
      <c r="C448" s="16"/>
      <c r="D448" s="16"/>
      <c r="E448" s="16"/>
      <c r="F448" s="16"/>
      <c r="G448" s="16"/>
      <c r="H448" s="16"/>
    </row>
    <row r="449" spans="1:8" x14ac:dyDescent="0.2">
      <c r="A449" s="16"/>
      <c r="B449" s="16"/>
      <c r="C449" s="16"/>
      <c r="D449" s="16"/>
      <c r="E449" s="16"/>
      <c r="F449" s="16"/>
      <c r="G449" s="16"/>
      <c r="H449" s="16"/>
    </row>
    <row r="450" spans="1:8" x14ac:dyDescent="0.2">
      <c r="A450" s="16"/>
      <c r="B450" s="16"/>
      <c r="C450" s="16"/>
      <c r="D450" s="16"/>
      <c r="E450" s="16"/>
      <c r="F450" s="16"/>
      <c r="G450" s="16"/>
      <c r="H450" s="16"/>
    </row>
    <row r="451" spans="1:8" x14ac:dyDescent="0.2">
      <c r="A451" s="16"/>
      <c r="B451" s="16"/>
      <c r="C451" s="16"/>
      <c r="D451" s="16"/>
      <c r="E451" s="16"/>
      <c r="F451" s="16"/>
      <c r="G451" s="16"/>
      <c r="H451" s="16"/>
    </row>
    <row r="452" spans="1:8" x14ac:dyDescent="0.2">
      <c r="A452" s="16"/>
      <c r="B452" s="16"/>
      <c r="C452" s="16"/>
      <c r="D452" s="16"/>
      <c r="E452" s="16"/>
      <c r="F452" s="16"/>
      <c r="G452" s="16"/>
      <c r="H452" s="16"/>
    </row>
    <row r="453" spans="1:8" x14ac:dyDescent="0.2">
      <c r="A453" s="16"/>
      <c r="B453" s="16"/>
      <c r="C453" s="16"/>
      <c r="D453" s="16"/>
      <c r="E453" s="16"/>
      <c r="F453" s="16"/>
      <c r="G453" s="16"/>
      <c r="H453" s="16"/>
    </row>
    <row r="454" spans="1:8" x14ac:dyDescent="0.2">
      <c r="A454" s="16"/>
      <c r="B454" s="16"/>
      <c r="C454" s="16"/>
      <c r="D454" s="16"/>
      <c r="E454" s="16"/>
      <c r="F454" s="16"/>
      <c r="G454" s="16"/>
      <c r="H454" s="16"/>
    </row>
    <row r="455" spans="1:8" x14ac:dyDescent="0.2">
      <c r="A455" s="16"/>
      <c r="B455" s="16"/>
      <c r="C455" s="16"/>
      <c r="D455" s="16"/>
      <c r="E455" s="16"/>
      <c r="F455" s="16"/>
      <c r="G455" s="16"/>
      <c r="H455" s="16"/>
    </row>
    <row r="456" spans="1:8" x14ac:dyDescent="0.2">
      <c r="A456" s="16"/>
      <c r="B456" s="16"/>
      <c r="C456" s="16"/>
      <c r="D456" s="16"/>
      <c r="E456" s="16"/>
      <c r="F456" s="16"/>
      <c r="G456" s="16"/>
      <c r="H456" s="16"/>
    </row>
    <row r="457" spans="1:8" x14ac:dyDescent="0.2">
      <c r="A457" s="16"/>
      <c r="B457" s="16"/>
      <c r="C457" s="16"/>
      <c r="D457" s="16"/>
      <c r="E457" s="16"/>
      <c r="F457" s="16"/>
      <c r="G457" s="16"/>
      <c r="H457" s="16"/>
    </row>
    <row r="458" spans="1:8" x14ac:dyDescent="0.2">
      <c r="A458" s="16"/>
      <c r="B458" s="16"/>
      <c r="C458" s="16"/>
      <c r="D458" s="16"/>
      <c r="E458" s="16"/>
      <c r="F458" s="16"/>
      <c r="G458" s="16"/>
      <c r="H458" s="16"/>
    </row>
    <row r="459" spans="1:8" x14ac:dyDescent="0.2">
      <c r="A459" s="16"/>
      <c r="B459" s="16"/>
      <c r="C459" s="16"/>
      <c r="D459" s="16"/>
      <c r="E459" s="16"/>
      <c r="F459" s="16"/>
      <c r="G459" s="16"/>
      <c r="H459" s="16"/>
    </row>
    <row r="460" spans="1:8" x14ac:dyDescent="0.2">
      <c r="A460" s="16"/>
      <c r="B460" s="16"/>
      <c r="C460" s="16"/>
      <c r="D460" s="16"/>
      <c r="E460" s="16"/>
      <c r="F460" s="16"/>
      <c r="G460" s="16"/>
      <c r="H460" s="16"/>
    </row>
    <row r="461" spans="1:8" x14ac:dyDescent="0.2">
      <c r="A461" s="16"/>
      <c r="B461" s="16"/>
      <c r="C461" s="16"/>
      <c r="D461" s="16"/>
      <c r="E461" s="16"/>
      <c r="F461" s="16"/>
      <c r="G461" s="16"/>
      <c r="H461" s="16"/>
    </row>
    <row r="462" spans="1:8" x14ac:dyDescent="0.2">
      <c r="A462" s="16"/>
      <c r="B462" s="16"/>
      <c r="C462" s="16"/>
      <c r="D462" s="16"/>
      <c r="E462" s="16"/>
      <c r="F462" s="16"/>
      <c r="G462" s="16"/>
      <c r="H462" s="16"/>
    </row>
    <row r="463" spans="1:8" x14ac:dyDescent="0.2">
      <c r="A463" s="16"/>
      <c r="B463" s="16"/>
      <c r="C463" s="16"/>
      <c r="D463" s="16"/>
      <c r="E463" s="16"/>
      <c r="F463" s="16"/>
      <c r="G463" s="16"/>
      <c r="H463" s="16"/>
    </row>
    <row r="464" spans="1:8" x14ac:dyDescent="0.2">
      <c r="A464" s="16"/>
      <c r="B464" s="16"/>
      <c r="C464" s="16"/>
      <c r="D464" s="16"/>
      <c r="E464" s="16"/>
      <c r="F464" s="16"/>
      <c r="G464" s="16"/>
      <c r="H464" s="16"/>
    </row>
    <row r="465" spans="1:8" x14ac:dyDescent="0.2">
      <c r="A465" s="16"/>
      <c r="B465" s="16"/>
      <c r="C465" s="16"/>
      <c r="D465" s="16"/>
      <c r="E465" s="16"/>
      <c r="F465" s="16"/>
      <c r="G465" s="16"/>
      <c r="H465" s="16"/>
    </row>
    <row r="466" spans="1:8" x14ac:dyDescent="0.2">
      <c r="A466" s="16"/>
      <c r="B466" s="16"/>
      <c r="C466" s="16"/>
      <c r="D466" s="16"/>
      <c r="E466" s="16"/>
      <c r="F466" s="16"/>
      <c r="G466" s="16"/>
      <c r="H466" s="16"/>
    </row>
    <row r="467" spans="1:8" x14ac:dyDescent="0.2">
      <c r="A467" s="16"/>
      <c r="B467" s="16"/>
      <c r="C467" s="16"/>
      <c r="D467" s="16"/>
      <c r="E467" s="16"/>
      <c r="F467" s="16"/>
      <c r="G467" s="16"/>
      <c r="H467" s="16"/>
    </row>
    <row r="468" spans="1:8" x14ac:dyDescent="0.2">
      <c r="A468" s="16"/>
      <c r="B468" s="16"/>
      <c r="C468" s="16"/>
      <c r="D468" s="16"/>
      <c r="E468" s="16"/>
      <c r="F468" s="16"/>
      <c r="G468" s="16"/>
      <c r="H468" s="16"/>
    </row>
    <row r="469" spans="1:8" x14ac:dyDescent="0.2">
      <c r="A469" s="16"/>
      <c r="B469" s="16"/>
      <c r="C469" s="16"/>
      <c r="D469" s="16"/>
      <c r="E469" s="16"/>
      <c r="F469" s="16"/>
      <c r="G469" s="16"/>
      <c r="H469" s="16"/>
    </row>
    <row r="470" spans="1:8" x14ac:dyDescent="0.2">
      <c r="A470" s="16"/>
      <c r="B470" s="16"/>
      <c r="C470" s="16"/>
      <c r="D470" s="16"/>
      <c r="E470" s="16"/>
      <c r="F470" s="16"/>
      <c r="G470" s="16"/>
      <c r="H470" s="16"/>
    </row>
    <row r="471" spans="1:8" x14ac:dyDescent="0.2">
      <c r="A471" s="16"/>
      <c r="B471" s="16"/>
      <c r="C471" s="16"/>
      <c r="D471" s="16"/>
      <c r="E471" s="16"/>
      <c r="F471" s="16"/>
      <c r="G471" s="16"/>
      <c r="H471" s="16"/>
    </row>
    <row r="472" spans="1:8" x14ac:dyDescent="0.2">
      <c r="A472" s="16"/>
      <c r="B472" s="16"/>
      <c r="C472" s="16"/>
      <c r="D472" s="16"/>
      <c r="E472" s="16"/>
      <c r="F472" s="16"/>
      <c r="G472" s="16"/>
      <c r="H472" s="16"/>
    </row>
    <row r="473" spans="1:8" x14ac:dyDescent="0.2">
      <c r="A473" s="16"/>
      <c r="B473" s="16"/>
      <c r="C473" s="16"/>
      <c r="D473" s="16"/>
      <c r="E473" s="16"/>
      <c r="F473" s="16"/>
      <c r="G473" s="16"/>
      <c r="H473" s="16"/>
    </row>
    <row r="474" spans="1:8" x14ac:dyDescent="0.2">
      <c r="A474" s="16"/>
      <c r="B474" s="16"/>
      <c r="C474" s="16"/>
      <c r="D474" s="16"/>
      <c r="E474" s="16"/>
      <c r="F474" s="16"/>
      <c r="G474" s="16"/>
      <c r="H474" s="16"/>
    </row>
    <row r="475" spans="1:8" x14ac:dyDescent="0.2">
      <c r="A475" s="16"/>
      <c r="B475" s="16"/>
      <c r="C475" s="16"/>
      <c r="D475" s="16"/>
      <c r="E475" s="16"/>
      <c r="F475" s="16"/>
      <c r="G475" s="16"/>
      <c r="H475" s="16"/>
    </row>
    <row r="476" spans="1:8" x14ac:dyDescent="0.2">
      <c r="A476" s="16"/>
      <c r="B476" s="16"/>
      <c r="C476" s="16"/>
      <c r="D476" s="16"/>
      <c r="E476" s="16"/>
      <c r="F476" s="16"/>
      <c r="G476" s="16"/>
      <c r="H476" s="16"/>
    </row>
    <row r="477" spans="1:8" x14ac:dyDescent="0.2">
      <c r="A477" s="16"/>
      <c r="B477" s="16"/>
      <c r="C477" s="16"/>
      <c r="D477" s="16"/>
      <c r="E477" s="16"/>
      <c r="F477" s="16"/>
      <c r="G477" s="16"/>
      <c r="H477" s="16"/>
    </row>
    <row r="478" spans="1:8" x14ac:dyDescent="0.2">
      <c r="A478" s="16"/>
      <c r="B478" s="16"/>
      <c r="C478" s="16"/>
      <c r="D478" s="16"/>
      <c r="E478" s="16"/>
      <c r="F478" s="16"/>
      <c r="G478" s="16"/>
      <c r="H478" s="16"/>
    </row>
    <row r="479" spans="1:8" x14ac:dyDescent="0.2">
      <c r="A479" s="16"/>
      <c r="B479" s="16"/>
      <c r="C479" s="16"/>
      <c r="D479" s="16"/>
      <c r="E479" s="16"/>
      <c r="F479" s="16"/>
      <c r="G479" s="16"/>
      <c r="H479" s="16"/>
    </row>
    <row r="480" spans="1:8" x14ac:dyDescent="0.2">
      <c r="A480" s="16"/>
      <c r="B480" s="16"/>
      <c r="C480" s="16"/>
      <c r="D480" s="16"/>
      <c r="E480" s="16"/>
      <c r="F480" s="16"/>
      <c r="G480" s="16"/>
      <c r="H480" s="16"/>
    </row>
    <row r="481" spans="1:8" x14ac:dyDescent="0.2">
      <c r="A481" s="16"/>
      <c r="B481" s="16"/>
      <c r="C481" s="16"/>
      <c r="D481" s="16"/>
      <c r="E481" s="16"/>
      <c r="F481" s="16"/>
      <c r="G481" s="16"/>
      <c r="H481" s="16"/>
    </row>
    <row r="482" spans="1:8" x14ac:dyDescent="0.2">
      <c r="A482" s="16"/>
      <c r="B482" s="16"/>
      <c r="C482" s="16"/>
      <c r="D482" s="16"/>
      <c r="E482" s="16"/>
      <c r="F482" s="16"/>
      <c r="G482" s="16"/>
      <c r="H482" s="16"/>
    </row>
    <row r="483" spans="1:8" x14ac:dyDescent="0.2">
      <c r="A483" s="16"/>
      <c r="B483" s="16"/>
      <c r="C483" s="16"/>
      <c r="D483" s="16"/>
      <c r="E483" s="16"/>
      <c r="F483" s="16"/>
      <c r="G483" s="16"/>
      <c r="H483" s="16"/>
    </row>
    <row r="484" spans="1:8" x14ac:dyDescent="0.2">
      <c r="A484" s="16"/>
      <c r="B484" s="16"/>
      <c r="C484" s="16"/>
      <c r="D484" s="16"/>
      <c r="E484" s="16"/>
      <c r="F484" s="16"/>
      <c r="G484" s="16"/>
      <c r="H484" s="16"/>
    </row>
    <row r="485" spans="1:8" x14ac:dyDescent="0.2">
      <c r="A485" s="16"/>
      <c r="B485" s="16"/>
      <c r="C485" s="16"/>
      <c r="D485" s="16"/>
      <c r="E485" s="16"/>
      <c r="F485" s="16"/>
      <c r="G485" s="16"/>
      <c r="H485" s="16"/>
    </row>
    <row r="486" spans="1:8" x14ac:dyDescent="0.2">
      <c r="A486" s="16"/>
      <c r="B486" s="16"/>
      <c r="C486" s="16"/>
      <c r="D486" s="16"/>
      <c r="E486" s="16"/>
      <c r="F486" s="16"/>
      <c r="G486" s="16"/>
      <c r="H486" s="16"/>
    </row>
    <row r="487" spans="1:8" x14ac:dyDescent="0.2">
      <c r="A487" s="16"/>
      <c r="B487" s="16"/>
      <c r="C487" s="16"/>
      <c r="D487" s="16"/>
      <c r="E487" s="16"/>
      <c r="F487" s="16"/>
      <c r="G487" s="16"/>
      <c r="H487" s="16"/>
    </row>
    <row r="488" spans="1:8" x14ac:dyDescent="0.2">
      <c r="A488" s="16"/>
      <c r="B488" s="16"/>
      <c r="C488" s="16"/>
      <c r="D488" s="16"/>
      <c r="E488" s="16"/>
      <c r="F488" s="16"/>
      <c r="G488" s="16"/>
      <c r="H488" s="16"/>
    </row>
    <row r="489" spans="1:8" x14ac:dyDescent="0.2">
      <c r="A489" s="16"/>
      <c r="B489" s="16"/>
      <c r="C489" s="16"/>
      <c r="D489" s="16"/>
      <c r="E489" s="16"/>
      <c r="F489" s="16"/>
      <c r="G489" s="16"/>
      <c r="H489" s="16"/>
    </row>
    <row r="490" spans="1:8" x14ac:dyDescent="0.2">
      <c r="A490" s="16"/>
      <c r="B490" s="16"/>
      <c r="C490" s="16"/>
      <c r="D490" s="16"/>
      <c r="E490" s="16"/>
      <c r="F490" s="16"/>
      <c r="G490" s="16"/>
      <c r="H490" s="16"/>
    </row>
    <row r="491" spans="1:8" x14ac:dyDescent="0.2">
      <c r="A491" s="16"/>
      <c r="B491" s="16"/>
      <c r="C491" s="16"/>
      <c r="D491" s="16"/>
      <c r="E491" s="16"/>
      <c r="F491" s="16"/>
      <c r="G491" s="16"/>
      <c r="H491" s="16"/>
    </row>
    <row r="492" spans="1:8" x14ac:dyDescent="0.2">
      <c r="A492" s="16"/>
      <c r="B492" s="16"/>
      <c r="C492" s="16"/>
      <c r="D492" s="16"/>
      <c r="E492" s="16"/>
      <c r="F492" s="16"/>
      <c r="G492" s="16"/>
      <c r="H492" s="16"/>
    </row>
    <row r="493" spans="1:8" x14ac:dyDescent="0.2">
      <c r="A493" s="16"/>
      <c r="B493" s="16"/>
      <c r="C493" s="16"/>
      <c r="D493" s="16"/>
      <c r="E493" s="16"/>
      <c r="F493" s="16"/>
      <c r="G493" s="16"/>
      <c r="H493" s="16"/>
    </row>
    <row r="494" spans="1:8" x14ac:dyDescent="0.2">
      <c r="A494" s="16"/>
      <c r="B494" s="16"/>
      <c r="C494" s="16"/>
      <c r="D494" s="16"/>
      <c r="E494" s="16"/>
      <c r="F494" s="16"/>
      <c r="G494" s="16"/>
      <c r="H494" s="16"/>
    </row>
    <row r="495" spans="1:8" x14ac:dyDescent="0.2">
      <c r="A495" s="16"/>
      <c r="B495" s="16"/>
      <c r="C495" s="16"/>
      <c r="D495" s="16"/>
      <c r="E495" s="16"/>
      <c r="F495" s="16"/>
      <c r="G495" s="16"/>
      <c r="H495" s="16"/>
    </row>
    <row r="496" spans="1:8" x14ac:dyDescent="0.2">
      <c r="A496" s="16"/>
      <c r="B496" s="16"/>
      <c r="C496" s="16"/>
      <c r="D496" s="16"/>
      <c r="E496" s="16"/>
      <c r="F496" s="16"/>
      <c r="G496" s="16"/>
      <c r="H496" s="16"/>
    </row>
    <row r="497" spans="1:8" x14ac:dyDescent="0.2">
      <c r="A497" s="16"/>
      <c r="B497" s="16"/>
      <c r="C497" s="16"/>
      <c r="D497" s="16"/>
      <c r="E497" s="16"/>
      <c r="F497" s="16"/>
      <c r="G497" s="16"/>
      <c r="H497" s="16"/>
    </row>
    <row r="498" spans="1:8" x14ac:dyDescent="0.2">
      <c r="A498" s="16"/>
      <c r="B498" s="16"/>
      <c r="C498" s="16"/>
      <c r="D498" s="16"/>
      <c r="E498" s="16"/>
      <c r="F498" s="16"/>
      <c r="G498" s="16"/>
      <c r="H498" s="16"/>
    </row>
    <row r="499" spans="1:8" x14ac:dyDescent="0.2">
      <c r="A499" s="16"/>
      <c r="B499" s="16"/>
      <c r="C499" s="16"/>
      <c r="D499" s="16"/>
      <c r="E499" s="16"/>
      <c r="F499" s="16"/>
      <c r="G499" s="16"/>
      <c r="H499" s="16"/>
    </row>
    <row r="500" spans="1:8" x14ac:dyDescent="0.2">
      <c r="A500" s="16"/>
      <c r="B500" s="16"/>
      <c r="C500" s="16"/>
      <c r="D500" s="16"/>
      <c r="E500" s="16"/>
      <c r="F500" s="16"/>
      <c r="G500" s="16"/>
      <c r="H500" s="16"/>
    </row>
    <row r="501" spans="1:8" x14ac:dyDescent="0.2">
      <c r="A501" s="16"/>
      <c r="B501" s="16"/>
      <c r="C501" s="16"/>
      <c r="D501" s="16"/>
      <c r="E501" s="16"/>
      <c r="F501" s="16"/>
      <c r="G501" s="16"/>
      <c r="H501" s="16"/>
    </row>
    <row r="502" spans="1:8" x14ac:dyDescent="0.2">
      <c r="A502" s="16"/>
      <c r="B502" s="16"/>
      <c r="C502" s="16"/>
      <c r="D502" s="16"/>
      <c r="E502" s="16"/>
      <c r="F502" s="16"/>
      <c r="G502" s="16"/>
      <c r="H502" s="16"/>
    </row>
    <row r="503" spans="1:8" x14ac:dyDescent="0.2">
      <c r="A503" s="16"/>
      <c r="B503" s="16"/>
      <c r="C503" s="16"/>
      <c r="D503" s="16"/>
      <c r="E503" s="16"/>
      <c r="F503" s="16"/>
      <c r="G503" s="16"/>
      <c r="H503" s="16"/>
    </row>
    <row r="504" spans="1:8" x14ac:dyDescent="0.2">
      <c r="A504" s="16"/>
      <c r="B504" s="16"/>
      <c r="C504" s="16"/>
      <c r="D504" s="16"/>
      <c r="E504" s="16"/>
      <c r="F504" s="16"/>
      <c r="G504" s="16"/>
      <c r="H504" s="16"/>
    </row>
    <row r="505" spans="1:8" x14ac:dyDescent="0.2">
      <c r="A505" s="16"/>
      <c r="B505" s="16"/>
      <c r="C505" s="16"/>
      <c r="D505" s="16"/>
      <c r="E505" s="16"/>
      <c r="F505" s="16"/>
      <c r="G505" s="16"/>
      <c r="H505" s="16"/>
    </row>
    <row r="506" spans="1:8" x14ac:dyDescent="0.2">
      <c r="A506" s="16"/>
      <c r="B506" s="16"/>
      <c r="C506" s="16"/>
      <c r="D506" s="16"/>
      <c r="E506" s="16"/>
      <c r="F506" s="16"/>
      <c r="G506" s="16"/>
      <c r="H506" s="16"/>
    </row>
    <row r="507" spans="1:8" x14ac:dyDescent="0.2">
      <c r="A507" s="16"/>
      <c r="B507" s="16"/>
      <c r="C507" s="16"/>
      <c r="D507" s="16"/>
      <c r="E507" s="16"/>
      <c r="F507" s="16"/>
      <c r="G507" s="16"/>
      <c r="H507" s="16"/>
    </row>
    <row r="508" spans="1:8" x14ac:dyDescent="0.2">
      <c r="A508" s="16"/>
      <c r="B508" s="16"/>
      <c r="C508" s="16"/>
      <c r="D508" s="16"/>
      <c r="E508" s="16"/>
      <c r="F508" s="16"/>
      <c r="G508" s="16"/>
      <c r="H508" s="16"/>
    </row>
    <row r="509" spans="1:8" x14ac:dyDescent="0.2">
      <c r="A509" s="16"/>
      <c r="B509" s="16"/>
      <c r="C509" s="16"/>
      <c r="D509" s="16"/>
      <c r="E509" s="16"/>
      <c r="F509" s="16"/>
      <c r="G509" s="16"/>
      <c r="H509" s="16"/>
    </row>
    <row r="510" spans="1:8" x14ac:dyDescent="0.2">
      <c r="A510" s="16"/>
      <c r="B510" s="16"/>
      <c r="C510" s="16"/>
      <c r="D510" s="16"/>
      <c r="E510" s="16"/>
      <c r="F510" s="16"/>
      <c r="G510" s="16"/>
      <c r="H510" s="16"/>
    </row>
    <row r="511" spans="1:8" x14ac:dyDescent="0.2">
      <c r="A511" s="16"/>
      <c r="B511" s="16"/>
      <c r="C511" s="16"/>
      <c r="D511" s="16"/>
      <c r="E511" s="16"/>
      <c r="F511" s="16"/>
      <c r="G511" s="16"/>
      <c r="H511" s="16"/>
    </row>
    <row r="512" spans="1:8" x14ac:dyDescent="0.2">
      <c r="A512" s="16"/>
      <c r="B512" s="16"/>
      <c r="C512" s="16"/>
      <c r="D512" s="16"/>
      <c r="E512" s="16"/>
      <c r="F512" s="16"/>
      <c r="G512" s="16"/>
      <c r="H512" s="16"/>
    </row>
    <row r="513" spans="1:8" x14ac:dyDescent="0.2">
      <c r="A513" s="16"/>
      <c r="B513" s="16"/>
      <c r="C513" s="16"/>
      <c r="D513" s="16"/>
      <c r="E513" s="16"/>
      <c r="F513" s="16"/>
      <c r="G513" s="16"/>
      <c r="H513" s="16"/>
    </row>
    <row r="514" spans="1:8" x14ac:dyDescent="0.2">
      <c r="A514" s="16"/>
      <c r="B514" s="16"/>
      <c r="C514" s="16"/>
      <c r="D514" s="16"/>
      <c r="E514" s="16"/>
      <c r="F514" s="16"/>
      <c r="G514" s="16"/>
      <c r="H514" s="16"/>
    </row>
    <row r="515" spans="1:8" x14ac:dyDescent="0.2">
      <c r="A515" s="16"/>
      <c r="B515" s="16"/>
      <c r="C515" s="16"/>
      <c r="D515" s="16"/>
      <c r="E515" s="16"/>
      <c r="F515" s="16"/>
      <c r="G515" s="16"/>
      <c r="H515" s="16"/>
    </row>
    <row r="516" spans="1:8" x14ac:dyDescent="0.2">
      <c r="A516" s="16"/>
      <c r="B516" s="16"/>
      <c r="C516" s="16"/>
      <c r="D516" s="16"/>
      <c r="E516" s="16"/>
      <c r="F516" s="16"/>
      <c r="G516" s="16"/>
      <c r="H516" s="16"/>
    </row>
    <row r="517" spans="1:8" x14ac:dyDescent="0.2">
      <c r="A517" s="16"/>
      <c r="B517" s="16"/>
      <c r="C517" s="16"/>
      <c r="D517" s="16"/>
      <c r="E517" s="16"/>
      <c r="F517" s="16"/>
      <c r="G517" s="16"/>
      <c r="H517" s="16"/>
    </row>
    <row r="518" spans="1:8" x14ac:dyDescent="0.2">
      <c r="A518" s="16"/>
      <c r="B518" s="16"/>
      <c r="C518" s="16"/>
      <c r="D518" s="16"/>
      <c r="E518" s="16"/>
      <c r="F518" s="16"/>
      <c r="G518" s="16"/>
      <c r="H518" s="16"/>
    </row>
    <row r="519" spans="1:8" x14ac:dyDescent="0.2">
      <c r="A519" s="16"/>
      <c r="B519" s="16"/>
      <c r="C519" s="16"/>
      <c r="D519" s="16"/>
      <c r="E519" s="16"/>
      <c r="F519" s="16"/>
      <c r="G519" s="16"/>
      <c r="H519" s="16"/>
    </row>
    <row r="520" spans="1:8" x14ac:dyDescent="0.2">
      <c r="A520" s="16"/>
      <c r="B520" s="16"/>
      <c r="C520" s="16"/>
      <c r="D520" s="16"/>
      <c r="E520" s="16"/>
      <c r="F520" s="16"/>
      <c r="G520" s="16"/>
      <c r="H520" s="16"/>
    </row>
    <row r="521" spans="1:8" x14ac:dyDescent="0.2">
      <c r="A521" s="16"/>
      <c r="B521" s="16"/>
      <c r="C521" s="16"/>
      <c r="D521" s="16"/>
      <c r="E521" s="16"/>
      <c r="F521" s="16"/>
      <c r="G521" s="16"/>
      <c r="H521" s="16"/>
    </row>
    <row r="522" spans="1:8" x14ac:dyDescent="0.2">
      <c r="A522" s="16"/>
      <c r="B522" s="16"/>
      <c r="C522" s="16"/>
      <c r="D522" s="16"/>
      <c r="E522" s="16"/>
      <c r="F522" s="16"/>
      <c r="G522" s="16"/>
      <c r="H522" s="16"/>
    </row>
    <row r="523" spans="1:8" x14ac:dyDescent="0.2">
      <c r="A523" s="16"/>
      <c r="B523" s="16"/>
      <c r="C523" s="16"/>
      <c r="D523" s="16"/>
      <c r="E523" s="16"/>
      <c r="F523" s="16"/>
      <c r="G523" s="16"/>
      <c r="H523" s="16"/>
    </row>
    <row r="524" spans="1:8" x14ac:dyDescent="0.2">
      <c r="A524" s="16"/>
      <c r="B524" s="16"/>
      <c r="C524" s="16"/>
      <c r="D524" s="16"/>
      <c r="E524" s="16"/>
      <c r="F524" s="16"/>
      <c r="G524" s="16"/>
      <c r="H524" s="16"/>
    </row>
    <row r="525" spans="1:8" x14ac:dyDescent="0.2">
      <c r="A525" s="16"/>
      <c r="B525" s="16"/>
      <c r="C525" s="16"/>
      <c r="D525" s="16"/>
      <c r="E525" s="16"/>
      <c r="F525" s="16"/>
      <c r="G525" s="16"/>
      <c r="H525" s="16"/>
    </row>
    <row r="526" spans="1:8" x14ac:dyDescent="0.2">
      <c r="A526" s="16"/>
      <c r="B526" s="16"/>
      <c r="C526" s="16"/>
      <c r="D526" s="16"/>
      <c r="E526" s="16"/>
      <c r="F526" s="16"/>
      <c r="G526" s="16"/>
      <c r="H526" s="16"/>
    </row>
    <row r="527" spans="1:8" x14ac:dyDescent="0.2">
      <c r="A527" s="16"/>
      <c r="B527" s="16"/>
      <c r="C527" s="16"/>
      <c r="D527" s="16"/>
      <c r="E527" s="16"/>
      <c r="F527" s="16"/>
      <c r="G527" s="16"/>
      <c r="H527" s="16"/>
    </row>
    <row r="528" spans="1:8" x14ac:dyDescent="0.2">
      <c r="A528" s="16"/>
      <c r="B528" s="16"/>
      <c r="C528" s="16"/>
      <c r="D528" s="16"/>
      <c r="E528" s="16"/>
      <c r="F528" s="16"/>
      <c r="G528" s="16"/>
      <c r="H528" s="16"/>
    </row>
    <row r="529" spans="1:8" x14ac:dyDescent="0.2">
      <c r="A529" s="16"/>
      <c r="B529" s="16"/>
      <c r="C529" s="16"/>
      <c r="D529" s="16"/>
      <c r="E529" s="16"/>
      <c r="F529" s="16"/>
      <c r="G529" s="16"/>
      <c r="H529" s="16"/>
    </row>
    <row r="530" spans="1:8" x14ac:dyDescent="0.2">
      <c r="A530" s="16"/>
      <c r="B530" s="16"/>
      <c r="C530" s="16"/>
      <c r="D530" s="16"/>
      <c r="E530" s="16"/>
      <c r="F530" s="16"/>
      <c r="G530" s="16"/>
      <c r="H530" s="16"/>
    </row>
    <row r="531" spans="1:8" x14ac:dyDescent="0.2">
      <c r="A531" s="16"/>
      <c r="B531" s="16"/>
      <c r="C531" s="16"/>
      <c r="D531" s="16"/>
      <c r="E531" s="16"/>
      <c r="F531" s="16"/>
      <c r="G531" s="16"/>
      <c r="H531" s="16"/>
    </row>
    <row r="532" spans="1:8" x14ac:dyDescent="0.2">
      <c r="A532" s="16"/>
      <c r="B532" s="16"/>
      <c r="C532" s="16"/>
      <c r="D532" s="16"/>
      <c r="E532" s="16"/>
      <c r="F532" s="16"/>
      <c r="G532" s="16"/>
      <c r="H532" s="16"/>
    </row>
    <row r="533" spans="1:8" x14ac:dyDescent="0.2">
      <c r="A533" s="16"/>
      <c r="B533" s="16"/>
      <c r="C533" s="16"/>
      <c r="D533" s="16"/>
      <c r="E533" s="16"/>
      <c r="F533" s="16"/>
      <c r="G533" s="16"/>
      <c r="H533" s="16"/>
    </row>
    <row r="534" spans="1:8" x14ac:dyDescent="0.2">
      <c r="A534" s="16"/>
      <c r="B534" s="16"/>
      <c r="C534" s="16"/>
      <c r="D534" s="16"/>
      <c r="E534" s="16"/>
      <c r="F534" s="16"/>
      <c r="G534" s="16"/>
      <c r="H534" s="16"/>
    </row>
    <row r="535" spans="1:8" x14ac:dyDescent="0.2">
      <c r="A535" s="16"/>
      <c r="B535" s="16"/>
      <c r="C535" s="16"/>
      <c r="D535" s="16"/>
      <c r="E535" s="16"/>
      <c r="F535" s="16"/>
      <c r="G535" s="16"/>
      <c r="H535" s="16"/>
    </row>
    <row r="536" spans="1:8" x14ac:dyDescent="0.2">
      <c r="A536" s="16"/>
      <c r="B536" s="16"/>
      <c r="C536" s="16"/>
      <c r="D536" s="16"/>
      <c r="E536" s="16"/>
      <c r="F536" s="16"/>
      <c r="G536" s="16"/>
      <c r="H536" s="16"/>
    </row>
    <row r="537" spans="1:8" x14ac:dyDescent="0.2">
      <c r="A537" s="16"/>
      <c r="B537" s="16"/>
      <c r="C537" s="16"/>
      <c r="D537" s="16"/>
      <c r="E537" s="16"/>
      <c r="F537" s="16"/>
      <c r="G537" s="16"/>
      <c r="H537" s="16"/>
    </row>
    <row r="538" spans="1:8" x14ac:dyDescent="0.2">
      <c r="A538" s="16"/>
      <c r="B538" s="16"/>
      <c r="C538" s="16"/>
      <c r="D538" s="16"/>
      <c r="E538" s="16"/>
      <c r="F538" s="16"/>
      <c r="G538" s="16"/>
      <c r="H538" s="16"/>
    </row>
    <row r="539" spans="1:8" x14ac:dyDescent="0.2">
      <c r="A539" s="16"/>
      <c r="B539" s="16"/>
      <c r="C539" s="16"/>
      <c r="D539" s="16"/>
      <c r="E539" s="16"/>
      <c r="F539" s="16"/>
      <c r="G539" s="16"/>
      <c r="H539" s="16"/>
    </row>
    <row r="540" spans="1:8" x14ac:dyDescent="0.2">
      <c r="A540" s="16"/>
      <c r="B540" s="16"/>
      <c r="C540" s="16"/>
      <c r="D540" s="16"/>
      <c r="E540" s="16"/>
      <c r="F540" s="16"/>
      <c r="G540" s="16"/>
      <c r="H540" s="16"/>
    </row>
    <row r="541" spans="1:8" x14ac:dyDescent="0.2">
      <c r="A541" s="16"/>
      <c r="B541" s="16"/>
      <c r="C541" s="16"/>
      <c r="D541" s="16"/>
      <c r="E541" s="16"/>
      <c r="F541" s="16"/>
      <c r="G541" s="16"/>
      <c r="H541" s="16"/>
    </row>
    <row r="542" spans="1:8" x14ac:dyDescent="0.2">
      <c r="A542" s="16"/>
      <c r="B542" s="16"/>
      <c r="C542" s="16"/>
      <c r="D542" s="16"/>
      <c r="E542" s="16"/>
      <c r="F542" s="16"/>
      <c r="G542" s="16"/>
      <c r="H542" s="16"/>
    </row>
    <row r="543" spans="1:8" x14ac:dyDescent="0.2">
      <c r="A543" s="16"/>
      <c r="B543" s="16"/>
      <c r="C543" s="16"/>
      <c r="D543" s="16"/>
      <c r="E543" s="16"/>
      <c r="F543" s="16"/>
      <c r="G543" s="16"/>
      <c r="H543" s="16"/>
    </row>
    <row r="544" spans="1:8" x14ac:dyDescent="0.2">
      <c r="A544" s="16"/>
      <c r="B544" s="16"/>
      <c r="C544" s="16"/>
      <c r="D544" s="16"/>
      <c r="E544" s="16"/>
      <c r="F544" s="16"/>
      <c r="G544" s="16"/>
      <c r="H544" s="16"/>
    </row>
    <row r="545" spans="1:8" x14ac:dyDescent="0.2">
      <c r="A545" s="16"/>
      <c r="B545" s="16"/>
      <c r="C545" s="16"/>
      <c r="D545" s="16"/>
      <c r="E545" s="16"/>
      <c r="F545" s="16"/>
      <c r="G545" s="16"/>
      <c r="H545" s="16"/>
    </row>
    <row r="546" spans="1:8" x14ac:dyDescent="0.2">
      <c r="A546" s="16"/>
      <c r="B546" s="16"/>
      <c r="C546" s="16"/>
      <c r="D546" s="16"/>
      <c r="E546" s="16"/>
      <c r="F546" s="16"/>
      <c r="G546" s="16"/>
      <c r="H546" s="16"/>
    </row>
    <row r="547" spans="1:8" x14ac:dyDescent="0.2">
      <c r="A547" s="16"/>
      <c r="B547" s="16"/>
      <c r="C547" s="16"/>
      <c r="D547" s="16"/>
      <c r="E547" s="16"/>
      <c r="F547" s="16"/>
      <c r="G547" s="16"/>
      <c r="H547" s="16"/>
    </row>
    <row r="548" spans="1:8" x14ac:dyDescent="0.2">
      <c r="A548" s="16"/>
      <c r="B548" s="16"/>
      <c r="C548" s="16"/>
      <c r="D548" s="16"/>
      <c r="E548" s="16"/>
      <c r="F548" s="16"/>
      <c r="G548" s="16"/>
      <c r="H548" s="16"/>
    </row>
    <row r="549" spans="1:8" x14ac:dyDescent="0.2">
      <c r="A549" s="16"/>
      <c r="B549" s="16"/>
      <c r="C549" s="16"/>
      <c r="D549" s="16"/>
      <c r="E549" s="16"/>
      <c r="F549" s="16"/>
      <c r="G549" s="16"/>
      <c r="H549" s="16"/>
    </row>
    <row r="550" spans="1:8" x14ac:dyDescent="0.2">
      <c r="A550" s="16"/>
      <c r="B550" s="16"/>
      <c r="C550" s="16"/>
      <c r="D550" s="16"/>
      <c r="E550" s="16"/>
      <c r="F550" s="16"/>
      <c r="G550" s="16"/>
      <c r="H550" s="16"/>
    </row>
    <row r="551" spans="1:8" x14ac:dyDescent="0.2">
      <c r="A551" s="16"/>
      <c r="B551" s="16"/>
      <c r="C551" s="16"/>
      <c r="D551" s="16"/>
      <c r="E551" s="16"/>
      <c r="F551" s="16"/>
      <c r="G551" s="16"/>
      <c r="H551" s="16"/>
    </row>
    <row r="552" spans="1:8" x14ac:dyDescent="0.2">
      <c r="A552" s="16"/>
      <c r="B552" s="16"/>
      <c r="C552" s="16"/>
      <c r="D552" s="16"/>
      <c r="E552" s="16"/>
      <c r="F552" s="16"/>
      <c r="G552" s="16"/>
      <c r="H552" s="16"/>
    </row>
    <row r="553" spans="1:8" x14ac:dyDescent="0.2">
      <c r="A553" s="16"/>
      <c r="B553" s="16"/>
      <c r="C553" s="16"/>
      <c r="D553" s="16"/>
      <c r="E553" s="16"/>
      <c r="F553" s="16"/>
      <c r="G553" s="16"/>
      <c r="H553" s="16"/>
    </row>
    <row r="554" spans="1:8" x14ac:dyDescent="0.2">
      <c r="A554" s="16"/>
      <c r="B554" s="16"/>
      <c r="C554" s="16"/>
      <c r="D554" s="16"/>
      <c r="E554" s="16"/>
      <c r="F554" s="16"/>
      <c r="G554" s="16"/>
      <c r="H554" s="16"/>
    </row>
    <row r="555" spans="1:8" x14ac:dyDescent="0.2">
      <c r="A555" s="16"/>
      <c r="B555" s="16"/>
      <c r="C555" s="16"/>
      <c r="D555" s="16"/>
      <c r="E555" s="16"/>
      <c r="F555" s="16"/>
      <c r="G555" s="16"/>
      <c r="H555" s="16"/>
    </row>
    <row r="556" spans="1:8" x14ac:dyDescent="0.2">
      <c r="A556" s="16"/>
      <c r="B556" s="16"/>
      <c r="C556" s="16"/>
      <c r="D556" s="16"/>
      <c r="E556" s="16"/>
      <c r="F556" s="16"/>
      <c r="G556" s="16"/>
      <c r="H556" s="16"/>
    </row>
    <row r="557" spans="1:8" x14ac:dyDescent="0.2">
      <c r="A557" s="16"/>
      <c r="B557" s="16"/>
      <c r="C557" s="16"/>
      <c r="D557" s="16"/>
      <c r="E557" s="16"/>
      <c r="F557" s="16"/>
      <c r="G557" s="16"/>
      <c r="H557" s="16"/>
    </row>
    <row r="558" spans="1:8" x14ac:dyDescent="0.2">
      <c r="A558" s="16"/>
      <c r="B558" s="16"/>
      <c r="C558" s="16"/>
      <c r="D558" s="16"/>
      <c r="E558" s="16"/>
      <c r="F558" s="16"/>
      <c r="G558" s="16"/>
      <c r="H558" s="16"/>
    </row>
    <row r="559" spans="1:8" x14ac:dyDescent="0.2">
      <c r="A559" s="16"/>
      <c r="B559" s="16"/>
      <c r="C559" s="16"/>
      <c r="D559" s="16"/>
      <c r="E559" s="16"/>
      <c r="F559" s="16"/>
      <c r="G559" s="16"/>
      <c r="H559" s="16"/>
    </row>
    <row r="560" spans="1:8" x14ac:dyDescent="0.2">
      <c r="A560" s="16"/>
      <c r="B560" s="16"/>
      <c r="C560" s="16"/>
      <c r="D560" s="16"/>
      <c r="E560" s="16"/>
      <c r="F560" s="16"/>
      <c r="G560" s="16"/>
      <c r="H560" s="16"/>
    </row>
    <row r="561" spans="1:8" x14ac:dyDescent="0.2">
      <c r="A561" s="16"/>
      <c r="B561" s="16"/>
      <c r="C561" s="16"/>
      <c r="D561" s="16"/>
      <c r="E561" s="16"/>
      <c r="F561" s="16"/>
      <c r="G561" s="16"/>
      <c r="H561" s="16"/>
    </row>
    <row r="562" spans="1:8" x14ac:dyDescent="0.2">
      <c r="A562" s="16"/>
      <c r="B562" s="16"/>
      <c r="C562" s="16"/>
      <c r="D562" s="16"/>
      <c r="E562" s="16"/>
      <c r="F562" s="16"/>
      <c r="G562" s="16"/>
      <c r="H562" s="16"/>
    </row>
    <row r="563" spans="1:8" x14ac:dyDescent="0.2">
      <c r="A563" s="16"/>
      <c r="B563" s="16"/>
      <c r="C563" s="16"/>
      <c r="D563" s="16"/>
      <c r="E563" s="16"/>
      <c r="F563" s="16"/>
      <c r="G563" s="16"/>
      <c r="H563" s="16"/>
    </row>
    <row r="564" spans="1:8" x14ac:dyDescent="0.2">
      <c r="A564" s="16"/>
      <c r="B564" s="16"/>
      <c r="C564" s="16"/>
      <c r="D564" s="16"/>
      <c r="E564" s="16"/>
      <c r="F564" s="16"/>
      <c r="G564" s="16"/>
      <c r="H564" s="16"/>
    </row>
    <row r="565" spans="1:8" x14ac:dyDescent="0.2">
      <c r="A565" s="16"/>
      <c r="B565" s="16"/>
      <c r="C565" s="16"/>
      <c r="D565" s="16"/>
      <c r="E565" s="16"/>
      <c r="F565" s="16"/>
      <c r="G565" s="16"/>
      <c r="H565" s="16"/>
    </row>
    <row r="566" spans="1:8" x14ac:dyDescent="0.2">
      <c r="A566" s="16"/>
      <c r="B566" s="16"/>
      <c r="C566" s="16"/>
      <c r="D566" s="16"/>
      <c r="E566" s="16"/>
      <c r="F566" s="16"/>
      <c r="G566" s="16"/>
      <c r="H566" s="16"/>
    </row>
    <row r="567" spans="1:8" x14ac:dyDescent="0.2">
      <c r="A567" s="16"/>
      <c r="B567" s="16"/>
      <c r="C567" s="16"/>
      <c r="D567" s="16"/>
      <c r="E567" s="16"/>
      <c r="F567" s="16"/>
      <c r="G567" s="16"/>
      <c r="H567" s="16"/>
    </row>
    <row r="568" spans="1:8" x14ac:dyDescent="0.2">
      <c r="A568" s="16"/>
      <c r="B568" s="16"/>
      <c r="C568" s="16"/>
      <c r="D568" s="16"/>
      <c r="E568" s="16"/>
      <c r="F568" s="16"/>
      <c r="G568" s="16"/>
      <c r="H568" s="16"/>
    </row>
    <row r="569" spans="1:8" x14ac:dyDescent="0.2">
      <c r="A569" s="16"/>
      <c r="B569" s="16"/>
      <c r="C569" s="16"/>
      <c r="D569" s="16"/>
      <c r="E569" s="16"/>
      <c r="F569" s="16"/>
      <c r="G569" s="16"/>
      <c r="H569" s="16"/>
    </row>
    <row r="570" spans="1:8" x14ac:dyDescent="0.2">
      <c r="A570" s="16"/>
      <c r="B570" s="16"/>
      <c r="C570" s="16"/>
      <c r="D570" s="16"/>
      <c r="E570" s="16"/>
      <c r="F570" s="16"/>
      <c r="G570" s="16"/>
      <c r="H570" s="16"/>
    </row>
    <row r="571" spans="1:8" x14ac:dyDescent="0.2">
      <c r="A571" s="16"/>
      <c r="B571" s="16"/>
      <c r="C571" s="16"/>
      <c r="D571" s="16"/>
      <c r="E571" s="16"/>
      <c r="F571" s="16"/>
      <c r="G571" s="16"/>
      <c r="H571" s="16"/>
    </row>
    <row r="572" spans="1:8" x14ac:dyDescent="0.2">
      <c r="A572" s="16"/>
      <c r="B572" s="16"/>
      <c r="C572" s="16"/>
      <c r="D572" s="16"/>
      <c r="E572" s="16"/>
      <c r="F572" s="16"/>
      <c r="G572" s="16"/>
      <c r="H572" s="16"/>
    </row>
    <row r="573" spans="1:8" x14ac:dyDescent="0.2">
      <c r="A573" s="16"/>
      <c r="B573" s="16"/>
      <c r="C573" s="16"/>
      <c r="D573" s="16"/>
      <c r="E573" s="16"/>
      <c r="F573" s="16"/>
      <c r="G573" s="16"/>
      <c r="H573" s="16"/>
    </row>
    <row r="574" spans="1:8" x14ac:dyDescent="0.2">
      <c r="A574" s="16"/>
      <c r="B574" s="16"/>
      <c r="C574" s="16"/>
      <c r="D574" s="16"/>
      <c r="E574" s="16"/>
      <c r="F574" s="16"/>
      <c r="G574" s="16"/>
      <c r="H574" s="16"/>
    </row>
    <row r="575" spans="1:8" x14ac:dyDescent="0.2">
      <c r="A575" s="16"/>
      <c r="B575" s="16"/>
      <c r="C575" s="16"/>
      <c r="D575" s="16"/>
      <c r="E575" s="16"/>
      <c r="F575" s="16"/>
      <c r="G575" s="16"/>
      <c r="H575" s="16"/>
    </row>
    <row r="576" spans="1:8" x14ac:dyDescent="0.2">
      <c r="A576" s="16"/>
      <c r="B576" s="16"/>
      <c r="C576" s="16"/>
      <c r="D576" s="16"/>
      <c r="E576" s="16"/>
      <c r="F576" s="16"/>
      <c r="G576" s="16"/>
      <c r="H576" s="16"/>
    </row>
    <row r="577" spans="1:8" x14ac:dyDescent="0.2">
      <c r="A577" s="16"/>
      <c r="B577" s="16"/>
      <c r="C577" s="16"/>
      <c r="D577" s="16"/>
      <c r="E577" s="16"/>
      <c r="F577" s="16"/>
      <c r="G577" s="16"/>
      <c r="H577" s="16"/>
    </row>
    <row r="578" spans="1:8" x14ac:dyDescent="0.2">
      <c r="A578" s="16"/>
      <c r="B578" s="16"/>
      <c r="C578" s="16"/>
      <c r="D578" s="16"/>
      <c r="E578" s="16"/>
      <c r="F578" s="16"/>
      <c r="G578" s="16"/>
      <c r="H578" s="16"/>
    </row>
    <row r="579" spans="1:8" x14ac:dyDescent="0.2">
      <c r="A579" s="16"/>
      <c r="B579" s="16"/>
      <c r="C579" s="16"/>
      <c r="D579" s="16"/>
      <c r="E579" s="16"/>
      <c r="F579" s="16"/>
      <c r="G579" s="16"/>
      <c r="H579" s="16"/>
    </row>
    <row r="580" spans="1:8" x14ac:dyDescent="0.2">
      <c r="A580" s="16"/>
      <c r="B580" s="16"/>
      <c r="C580" s="16"/>
      <c r="D580" s="16"/>
      <c r="E580" s="16"/>
      <c r="F580" s="16"/>
      <c r="G580" s="16"/>
      <c r="H580" s="16"/>
    </row>
    <row r="581" spans="1:8" x14ac:dyDescent="0.2">
      <c r="A581" s="16"/>
      <c r="B581" s="16"/>
      <c r="C581" s="16"/>
      <c r="D581" s="16"/>
      <c r="E581" s="16"/>
      <c r="F581" s="16"/>
      <c r="G581" s="16"/>
      <c r="H581" s="16"/>
    </row>
    <row r="582" spans="1:8" x14ac:dyDescent="0.2">
      <c r="A582" s="16"/>
      <c r="B582" s="16"/>
      <c r="C582" s="16"/>
      <c r="D582" s="16"/>
      <c r="E582" s="16"/>
      <c r="F582" s="16"/>
      <c r="G582" s="16"/>
      <c r="H582" s="16"/>
    </row>
    <row r="583" spans="1:8" x14ac:dyDescent="0.2">
      <c r="A583" s="16"/>
      <c r="B583" s="16"/>
      <c r="C583" s="16"/>
      <c r="D583" s="16"/>
      <c r="E583" s="16"/>
      <c r="F583" s="16"/>
      <c r="G583" s="16"/>
      <c r="H583" s="16"/>
    </row>
    <row r="584" spans="1:8" x14ac:dyDescent="0.2">
      <c r="A584" s="16"/>
      <c r="B584" s="16"/>
      <c r="C584" s="16"/>
      <c r="D584" s="16"/>
      <c r="E584" s="16"/>
      <c r="F584" s="16"/>
      <c r="G584" s="16"/>
      <c r="H584" s="16"/>
    </row>
    <row r="585" spans="1:8" x14ac:dyDescent="0.2">
      <c r="A585" s="16"/>
      <c r="B585" s="16"/>
      <c r="C585" s="16"/>
      <c r="D585" s="16"/>
      <c r="E585" s="16"/>
      <c r="F585" s="16"/>
      <c r="G585" s="16"/>
      <c r="H585" s="16"/>
    </row>
    <row r="586" spans="1:8" x14ac:dyDescent="0.2">
      <c r="A586" s="16"/>
      <c r="B586" s="16"/>
      <c r="C586" s="16"/>
      <c r="D586" s="16"/>
      <c r="E586" s="16"/>
      <c r="F586" s="16"/>
      <c r="G586" s="16"/>
      <c r="H586" s="16"/>
    </row>
    <row r="587" spans="1:8" x14ac:dyDescent="0.2">
      <c r="A587" s="16"/>
      <c r="B587" s="16"/>
      <c r="C587" s="16"/>
      <c r="D587" s="16"/>
      <c r="E587" s="16"/>
      <c r="F587" s="16"/>
      <c r="G587" s="16"/>
      <c r="H587" s="16"/>
    </row>
    <row r="588" spans="1:8" x14ac:dyDescent="0.2">
      <c r="A588" s="16"/>
      <c r="B588" s="16"/>
      <c r="C588" s="16"/>
      <c r="D588" s="16"/>
      <c r="E588" s="16"/>
      <c r="F588" s="16"/>
      <c r="G588" s="16"/>
      <c r="H588" s="16"/>
    </row>
    <row r="589" spans="1:8" x14ac:dyDescent="0.2">
      <c r="A589" s="16"/>
      <c r="B589" s="16"/>
      <c r="C589" s="16"/>
      <c r="D589" s="16"/>
      <c r="E589" s="16"/>
      <c r="F589" s="16"/>
      <c r="G589" s="16"/>
      <c r="H589" s="16"/>
    </row>
    <row r="590" spans="1:8" x14ac:dyDescent="0.2">
      <c r="A590" s="16"/>
      <c r="B590" s="16"/>
      <c r="C590" s="16"/>
      <c r="D590" s="16"/>
      <c r="E590" s="16"/>
      <c r="F590" s="16"/>
      <c r="G590" s="16"/>
      <c r="H590" s="16"/>
    </row>
    <row r="591" spans="1:8" x14ac:dyDescent="0.2">
      <c r="A591" s="16"/>
      <c r="B591" s="16"/>
      <c r="C591" s="16"/>
      <c r="D591" s="16"/>
      <c r="E591" s="16"/>
      <c r="F591" s="16"/>
      <c r="G591" s="16"/>
      <c r="H591" s="16"/>
    </row>
    <row r="592" spans="1:8" x14ac:dyDescent="0.2">
      <c r="A592" s="16"/>
      <c r="B592" s="16"/>
      <c r="C592" s="16"/>
      <c r="D592" s="16"/>
      <c r="E592" s="16"/>
      <c r="F592" s="16"/>
      <c r="G592" s="16"/>
      <c r="H592" s="16"/>
    </row>
    <row r="593" spans="1:8" x14ac:dyDescent="0.2">
      <c r="A593" s="16"/>
      <c r="B593" s="16"/>
      <c r="C593" s="16"/>
      <c r="D593" s="16"/>
      <c r="E593" s="16"/>
      <c r="F593" s="16"/>
      <c r="G593" s="16"/>
      <c r="H593" s="16"/>
    </row>
    <row r="594" spans="1:8" x14ac:dyDescent="0.2">
      <c r="A594" s="16"/>
      <c r="B594" s="16"/>
      <c r="C594" s="16"/>
      <c r="D594" s="16"/>
      <c r="E594" s="16"/>
      <c r="F594" s="16"/>
      <c r="G594" s="16"/>
      <c r="H594" s="16"/>
    </row>
    <row r="595" spans="1:8" x14ac:dyDescent="0.2">
      <c r="A595" s="16"/>
      <c r="B595" s="16"/>
      <c r="C595" s="16"/>
      <c r="D595" s="16"/>
      <c r="E595" s="16"/>
      <c r="F595" s="16"/>
      <c r="G595" s="16"/>
      <c r="H595" s="16"/>
    </row>
    <row r="596" spans="1:8" x14ac:dyDescent="0.2">
      <c r="A596" s="16"/>
      <c r="B596" s="16"/>
      <c r="C596" s="16"/>
      <c r="D596" s="16"/>
      <c r="E596" s="16"/>
      <c r="F596" s="16"/>
      <c r="G596" s="16"/>
      <c r="H596" s="16"/>
    </row>
    <row r="597" spans="1:8" x14ac:dyDescent="0.2">
      <c r="A597" s="16"/>
      <c r="B597" s="16"/>
      <c r="C597" s="16"/>
      <c r="D597" s="16"/>
      <c r="E597" s="16"/>
      <c r="F597" s="16"/>
      <c r="G597" s="16"/>
      <c r="H597" s="16"/>
    </row>
    <row r="598" spans="1:8" x14ac:dyDescent="0.2">
      <c r="A598" s="16"/>
      <c r="B598" s="16"/>
      <c r="C598" s="16"/>
      <c r="D598" s="16"/>
      <c r="E598" s="16"/>
      <c r="F598" s="16"/>
      <c r="G598" s="16"/>
      <c r="H598" s="16"/>
    </row>
    <row r="599" spans="1:8" x14ac:dyDescent="0.2">
      <c r="A599" s="16"/>
      <c r="B599" s="16"/>
      <c r="C599" s="16"/>
      <c r="D599" s="16"/>
      <c r="E599" s="16"/>
      <c r="F599" s="16"/>
      <c r="G599" s="16"/>
      <c r="H599" s="16"/>
    </row>
    <row r="600" spans="1:8" x14ac:dyDescent="0.2">
      <c r="A600" s="16"/>
      <c r="B600" s="16"/>
      <c r="C600" s="16"/>
      <c r="D600" s="16"/>
      <c r="E600" s="16"/>
      <c r="F600" s="16"/>
      <c r="G600" s="16"/>
      <c r="H600" s="16"/>
    </row>
    <row r="601" spans="1:8" x14ac:dyDescent="0.2">
      <c r="A601" s="16"/>
      <c r="B601" s="16"/>
      <c r="C601" s="16"/>
      <c r="D601" s="16"/>
      <c r="E601" s="16"/>
      <c r="F601" s="16"/>
      <c r="G601" s="16"/>
      <c r="H601" s="16"/>
    </row>
    <row r="602" spans="1:8" x14ac:dyDescent="0.2">
      <c r="A602" s="16"/>
      <c r="B602" s="16"/>
      <c r="C602" s="16"/>
      <c r="D602" s="16"/>
      <c r="E602" s="16"/>
      <c r="F602" s="16"/>
      <c r="G602" s="16"/>
      <c r="H602" s="16"/>
    </row>
    <row r="603" spans="1:8" x14ac:dyDescent="0.2">
      <c r="A603" s="16"/>
      <c r="B603" s="16"/>
      <c r="C603" s="16"/>
      <c r="D603" s="16"/>
      <c r="E603" s="16"/>
      <c r="F603" s="16"/>
      <c r="G603" s="16"/>
      <c r="H603" s="16"/>
    </row>
    <row r="604" spans="1:8" x14ac:dyDescent="0.2">
      <c r="A604" s="16"/>
      <c r="B604" s="16"/>
      <c r="C604" s="16"/>
      <c r="D604" s="16"/>
      <c r="E604" s="16"/>
      <c r="F604" s="16"/>
      <c r="G604" s="16"/>
      <c r="H604" s="16"/>
    </row>
    <row r="605" spans="1:8" x14ac:dyDescent="0.2">
      <c r="A605" s="16"/>
      <c r="B605" s="16"/>
      <c r="C605" s="16"/>
      <c r="D605" s="16"/>
      <c r="E605" s="16"/>
      <c r="F605" s="16"/>
      <c r="G605" s="16"/>
      <c r="H605" s="16"/>
    </row>
    <row r="606" spans="1:8" x14ac:dyDescent="0.2">
      <c r="A606" s="16"/>
      <c r="B606" s="16"/>
      <c r="C606" s="16"/>
      <c r="D606" s="16"/>
      <c r="E606" s="16"/>
      <c r="F606" s="16"/>
      <c r="G606" s="16"/>
      <c r="H606" s="16"/>
    </row>
    <row r="607" spans="1:8" x14ac:dyDescent="0.2">
      <c r="A607" s="16"/>
      <c r="B607" s="16"/>
      <c r="C607" s="16"/>
      <c r="D607" s="16"/>
      <c r="E607" s="16"/>
      <c r="F607" s="16"/>
      <c r="G607" s="16"/>
      <c r="H607" s="16"/>
    </row>
    <row r="608" spans="1:8" x14ac:dyDescent="0.2">
      <c r="A608" s="16"/>
      <c r="B608" s="16"/>
      <c r="C608" s="16"/>
      <c r="D608" s="16"/>
      <c r="E608" s="16"/>
      <c r="F608" s="16"/>
      <c r="G608" s="16"/>
      <c r="H608" s="16"/>
    </row>
    <row r="609" spans="1:8" x14ac:dyDescent="0.2">
      <c r="A609" s="16"/>
      <c r="B609" s="16"/>
      <c r="C609" s="16"/>
      <c r="D609" s="16"/>
      <c r="E609" s="16"/>
      <c r="F609" s="16"/>
      <c r="G609" s="16"/>
      <c r="H609" s="16"/>
    </row>
    <row r="610" spans="1:8" x14ac:dyDescent="0.2">
      <c r="A610" s="16"/>
      <c r="B610" s="16"/>
      <c r="C610" s="16"/>
      <c r="D610" s="16"/>
      <c r="E610" s="16"/>
      <c r="F610" s="16"/>
      <c r="G610" s="16"/>
      <c r="H610" s="16"/>
    </row>
    <row r="611" spans="1:8" x14ac:dyDescent="0.2">
      <c r="A611" s="16"/>
      <c r="B611" s="16"/>
      <c r="C611" s="16"/>
      <c r="D611" s="16"/>
      <c r="E611" s="16"/>
      <c r="F611" s="16"/>
      <c r="G611" s="16"/>
      <c r="H611" s="16"/>
    </row>
    <row r="612" spans="1:8" x14ac:dyDescent="0.2">
      <c r="A612" s="16"/>
      <c r="B612" s="16"/>
      <c r="C612" s="16"/>
      <c r="D612" s="16"/>
      <c r="E612" s="16"/>
      <c r="F612" s="16"/>
      <c r="G612" s="16"/>
      <c r="H612" s="16"/>
    </row>
    <row r="613" spans="1:8" x14ac:dyDescent="0.2">
      <c r="A613" s="16"/>
      <c r="B613" s="16"/>
      <c r="C613" s="16"/>
      <c r="D613" s="16"/>
      <c r="E613" s="16"/>
      <c r="F613" s="16"/>
      <c r="G613" s="16"/>
      <c r="H613" s="16"/>
    </row>
    <row r="614" spans="1:8" x14ac:dyDescent="0.2">
      <c r="A614" s="16"/>
      <c r="B614" s="16"/>
      <c r="C614" s="16"/>
      <c r="D614" s="16"/>
      <c r="E614" s="16"/>
      <c r="F614" s="16"/>
      <c r="G614" s="16"/>
      <c r="H614" s="16"/>
    </row>
    <row r="615" spans="1:8" x14ac:dyDescent="0.2">
      <c r="A615" s="16"/>
      <c r="B615" s="16"/>
      <c r="C615" s="16"/>
      <c r="D615" s="16"/>
      <c r="E615" s="16"/>
      <c r="F615" s="16"/>
      <c r="G615" s="16"/>
      <c r="H615" s="16"/>
    </row>
    <row r="616" spans="1:8" x14ac:dyDescent="0.2">
      <c r="A616" s="16"/>
      <c r="B616" s="16"/>
      <c r="C616" s="16"/>
      <c r="D616" s="16"/>
      <c r="E616" s="16"/>
      <c r="F616" s="16"/>
      <c r="G616" s="16"/>
      <c r="H616" s="16"/>
    </row>
    <row r="617" spans="1:8" x14ac:dyDescent="0.2">
      <c r="A617" s="16"/>
      <c r="B617" s="16"/>
      <c r="C617" s="16"/>
      <c r="D617" s="16"/>
      <c r="E617" s="16"/>
      <c r="F617" s="16"/>
      <c r="G617" s="16"/>
      <c r="H617" s="16"/>
    </row>
    <row r="618" spans="1:8" x14ac:dyDescent="0.2">
      <c r="A618" s="16"/>
      <c r="B618" s="16"/>
      <c r="C618" s="16"/>
      <c r="D618" s="16"/>
      <c r="E618" s="16"/>
      <c r="F618" s="16"/>
      <c r="G618" s="16"/>
      <c r="H618" s="16"/>
    </row>
    <row r="619" spans="1:8" x14ac:dyDescent="0.2">
      <c r="A619" s="16"/>
      <c r="B619" s="16"/>
      <c r="C619" s="16"/>
      <c r="D619" s="16"/>
      <c r="E619" s="16"/>
      <c r="F619" s="16"/>
      <c r="G619" s="16"/>
      <c r="H619" s="16"/>
    </row>
    <row r="620" spans="1:8" x14ac:dyDescent="0.2">
      <c r="A620" s="16"/>
      <c r="B620" s="16"/>
      <c r="C620" s="16"/>
      <c r="D620" s="16"/>
      <c r="E620" s="16"/>
      <c r="F620" s="16"/>
      <c r="G620" s="16"/>
      <c r="H620" s="16"/>
    </row>
    <row r="621" spans="1:8" x14ac:dyDescent="0.2">
      <c r="A621" s="16"/>
      <c r="B621" s="16"/>
      <c r="C621" s="16"/>
      <c r="D621" s="16"/>
      <c r="E621" s="16"/>
      <c r="F621" s="16"/>
      <c r="G621" s="16"/>
      <c r="H621" s="16"/>
    </row>
    <row r="622" spans="1:8" x14ac:dyDescent="0.2">
      <c r="A622" s="16"/>
      <c r="B622" s="16"/>
      <c r="C622" s="16"/>
      <c r="D622" s="16"/>
      <c r="E622" s="16"/>
      <c r="F622" s="16"/>
      <c r="G622" s="16"/>
      <c r="H622" s="16"/>
    </row>
    <row r="623" spans="1:8" x14ac:dyDescent="0.2">
      <c r="A623" s="16"/>
      <c r="B623" s="16"/>
      <c r="C623" s="16"/>
      <c r="D623" s="16"/>
      <c r="E623" s="16"/>
      <c r="F623" s="16"/>
      <c r="G623" s="16"/>
      <c r="H623" s="16"/>
    </row>
    <row r="624" spans="1:8" x14ac:dyDescent="0.2">
      <c r="A624" s="16"/>
      <c r="B624" s="16"/>
      <c r="C624" s="16"/>
      <c r="D624" s="16"/>
      <c r="E624" s="16"/>
      <c r="F624" s="16"/>
      <c r="G624" s="16"/>
      <c r="H624" s="16"/>
    </row>
    <row r="625" spans="1:8" x14ac:dyDescent="0.2">
      <c r="A625" s="16"/>
      <c r="B625" s="16"/>
      <c r="C625" s="16"/>
      <c r="D625" s="16"/>
      <c r="E625" s="16"/>
      <c r="F625" s="16"/>
      <c r="G625" s="16"/>
      <c r="H625" s="16"/>
    </row>
    <row r="626" spans="1:8" x14ac:dyDescent="0.2">
      <c r="A626" s="16"/>
      <c r="B626" s="16"/>
      <c r="C626" s="16"/>
      <c r="D626" s="16"/>
      <c r="E626" s="16"/>
      <c r="F626" s="16"/>
      <c r="G626" s="16"/>
      <c r="H626" s="16"/>
    </row>
    <row r="627" spans="1:8" x14ac:dyDescent="0.2">
      <c r="A627" s="16"/>
      <c r="B627" s="16"/>
      <c r="C627" s="16"/>
      <c r="D627" s="16"/>
      <c r="E627" s="16"/>
      <c r="F627" s="16"/>
      <c r="G627" s="16"/>
      <c r="H627" s="16"/>
    </row>
    <row r="628" spans="1:8" x14ac:dyDescent="0.2">
      <c r="A628" s="16"/>
      <c r="B628" s="16"/>
      <c r="C628" s="16"/>
      <c r="D628" s="16"/>
      <c r="E628" s="16"/>
      <c r="F628" s="16"/>
      <c r="G628" s="16"/>
      <c r="H628" s="16"/>
    </row>
    <row r="629" spans="1:8" x14ac:dyDescent="0.2">
      <c r="A629" s="16"/>
      <c r="B629" s="16"/>
      <c r="C629" s="16"/>
      <c r="D629" s="16"/>
      <c r="E629" s="16"/>
      <c r="F629" s="16"/>
      <c r="G629" s="16"/>
      <c r="H629" s="16"/>
    </row>
    <row r="630" spans="1:8" x14ac:dyDescent="0.2">
      <c r="A630" s="16"/>
      <c r="B630" s="16"/>
      <c r="C630" s="16"/>
      <c r="D630" s="16"/>
      <c r="E630" s="16"/>
      <c r="F630" s="16"/>
      <c r="G630" s="16"/>
      <c r="H630" s="16"/>
    </row>
    <row r="631" spans="1:8" x14ac:dyDescent="0.2">
      <c r="A631" s="16"/>
      <c r="B631" s="16"/>
      <c r="C631" s="16"/>
      <c r="D631" s="16"/>
      <c r="E631" s="16"/>
      <c r="F631" s="16"/>
      <c r="G631" s="16"/>
      <c r="H631" s="16"/>
    </row>
    <row r="632" spans="1:8" x14ac:dyDescent="0.2">
      <c r="A632" s="16"/>
      <c r="B632" s="16"/>
      <c r="C632" s="16"/>
      <c r="D632" s="16"/>
      <c r="E632" s="16"/>
      <c r="F632" s="16"/>
      <c r="G632" s="16"/>
      <c r="H632" s="16"/>
    </row>
    <row r="633" spans="1:8" x14ac:dyDescent="0.2">
      <c r="A633" s="16"/>
      <c r="B633" s="16"/>
      <c r="C633" s="16"/>
      <c r="D633" s="16"/>
      <c r="E633" s="16"/>
      <c r="F633" s="16"/>
      <c r="G633" s="16"/>
      <c r="H633" s="16"/>
    </row>
    <row r="634" spans="1:8" x14ac:dyDescent="0.2">
      <c r="A634" s="16"/>
      <c r="B634" s="16"/>
      <c r="C634" s="16"/>
      <c r="D634" s="16"/>
      <c r="E634" s="16"/>
      <c r="F634" s="16"/>
      <c r="G634" s="16"/>
      <c r="H634" s="16"/>
    </row>
    <row r="635" spans="1:8" x14ac:dyDescent="0.2">
      <c r="A635" s="16"/>
      <c r="B635" s="16"/>
      <c r="C635" s="16"/>
      <c r="D635" s="16"/>
      <c r="E635" s="16"/>
      <c r="F635" s="16"/>
      <c r="G635" s="16"/>
      <c r="H635" s="16"/>
    </row>
    <row r="636" spans="1:8" x14ac:dyDescent="0.2">
      <c r="A636" s="16"/>
      <c r="B636" s="16"/>
      <c r="C636" s="16"/>
      <c r="D636" s="16"/>
      <c r="E636" s="16"/>
      <c r="F636" s="16"/>
      <c r="G636" s="16"/>
      <c r="H636" s="16"/>
    </row>
    <row r="637" spans="1:8" x14ac:dyDescent="0.2">
      <c r="A637" s="16"/>
      <c r="B637" s="16"/>
      <c r="C637" s="16"/>
      <c r="D637" s="16"/>
      <c r="E637" s="16"/>
      <c r="F637" s="16"/>
      <c r="G637" s="16"/>
      <c r="H637" s="16"/>
    </row>
    <row r="638" spans="1:8" x14ac:dyDescent="0.2">
      <c r="A638" s="16"/>
      <c r="B638" s="16"/>
      <c r="C638" s="16"/>
      <c r="D638" s="16"/>
      <c r="E638" s="16"/>
      <c r="F638" s="16"/>
      <c r="G638" s="16"/>
      <c r="H638" s="16"/>
    </row>
    <row r="639" spans="1:8" x14ac:dyDescent="0.2">
      <c r="A639" s="16"/>
      <c r="B639" s="16"/>
      <c r="C639" s="16"/>
      <c r="D639" s="16"/>
      <c r="E639" s="16"/>
      <c r="F639" s="16"/>
      <c r="G639" s="16"/>
      <c r="H639" s="16"/>
    </row>
    <row r="640" spans="1:8" x14ac:dyDescent="0.2">
      <c r="A640" s="16"/>
      <c r="B640" s="16"/>
      <c r="C640" s="16"/>
      <c r="D640" s="16"/>
      <c r="E640" s="16"/>
      <c r="F640" s="16"/>
      <c r="G640" s="16"/>
      <c r="H640" s="16"/>
    </row>
    <row r="641" spans="1:8" x14ac:dyDescent="0.2">
      <c r="A641" s="16"/>
      <c r="B641" s="16"/>
      <c r="C641" s="16"/>
      <c r="D641" s="16"/>
      <c r="E641" s="16"/>
      <c r="F641" s="16"/>
      <c r="G641" s="16"/>
      <c r="H641" s="16"/>
    </row>
    <row r="642" spans="1:8" x14ac:dyDescent="0.2">
      <c r="A642" s="16"/>
      <c r="B642" s="16"/>
      <c r="C642" s="16"/>
      <c r="D642" s="16"/>
      <c r="E642" s="16"/>
      <c r="F642" s="16"/>
      <c r="G642" s="16"/>
      <c r="H642" s="16"/>
    </row>
    <row r="643" spans="1:8" x14ac:dyDescent="0.2">
      <c r="A643" s="16"/>
      <c r="B643" s="16"/>
      <c r="C643" s="16"/>
      <c r="D643" s="16"/>
      <c r="E643" s="16"/>
      <c r="F643" s="16"/>
      <c r="G643" s="16"/>
      <c r="H643" s="16"/>
    </row>
    <row r="644" spans="1:8" x14ac:dyDescent="0.2">
      <c r="A644" s="16"/>
      <c r="B644" s="16"/>
      <c r="C644" s="16"/>
      <c r="D644" s="16"/>
      <c r="E644" s="16"/>
      <c r="F644" s="16"/>
      <c r="G644" s="16"/>
      <c r="H644" s="16"/>
    </row>
    <row r="645" spans="1:8" x14ac:dyDescent="0.2">
      <c r="A645" s="16"/>
      <c r="B645" s="16"/>
      <c r="C645" s="16"/>
      <c r="D645" s="16"/>
      <c r="E645" s="16"/>
      <c r="F645" s="16"/>
      <c r="G645" s="16"/>
      <c r="H645" s="16"/>
    </row>
    <row r="646" spans="1:8" x14ac:dyDescent="0.2">
      <c r="A646" s="16"/>
      <c r="B646" s="16"/>
      <c r="C646" s="16"/>
      <c r="D646" s="16"/>
      <c r="E646" s="16"/>
      <c r="F646" s="16"/>
      <c r="G646" s="16"/>
      <c r="H646" s="16"/>
    </row>
    <row r="647" spans="1:8" x14ac:dyDescent="0.2">
      <c r="A647" s="16"/>
      <c r="B647" s="16"/>
      <c r="C647" s="16"/>
      <c r="D647" s="16"/>
      <c r="E647" s="16"/>
      <c r="F647" s="16"/>
      <c r="G647" s="16"/>
      <c r="H647" s="16"/>
    </row>
    <row r="648" spans="1:8" x14ac:dyDescent="0.2">
      <c r="A648" s="16"/>
      <c r="B648" s="16"/>
      <c r="C648" s="16"/>
      <c r="D648" s="16"/>
      <c r="E648" s="16"/>
      <c r="F648" s="16"/>
      <c r="G648" s="16"/>
      <c r="H648" s="16"/>
    </row>
    <row r="649" spans="1:8" x14ac:dyDescent="0.2">
      <c r="A649" s="16"/>
      <c r="B649" s="16"/>
      <c r="C649" s="16"/>
      <c r="D649" s="16"/>
      <c r="E649" s="16"/>
      <c r="F649" s="16"/>
      <c r="G649" s="16"/>
      <c r="H649" s="16"/>
    </row>
    <row r="650" spans="1:8" x14ac:dyDescent="0.2">
      <c r="A650" s="16"/>
      <c r="B650" s="16"/>
      <c r="C650" s="16"/>
      <c r="D650" s="16"/>
      <c r="E650" s="16"/>
      <c r="F650" s="16"/>
      <c r="G650" s="16"/>
      <c r="H650" s="16"/>
    </row>
    <row r="651" spans="1:8" x14ac:dyDescent="0.2">
      <c r="A651" s="16"/>
      <c r="B651" s="16"/>
      <c r="C651" s="16"/>
      <c r="D651" s="16"/>
      <c r="E651" s="16"/>
      <c r="F651" s="16"/>
      <c r="G651" s="16"/>
      <c r="H651" s="16"/>
    </row>
    <row r="652" spans="1:8" x14ac:dyDescent="0.2">
      <c r="A652" s="16"/>
      <c r="B652" s="16"/>
      <c r="C652" s="16"/>
      <c r="D652" s="16"/>
      <c r="E652" s="16"/>
      <c r="F652" s="16"/>
      <c r="G652" s="16"/>
      <c r="H652" s="16"/>
    </row>
    <row r="653" spans="1:8" x14ac:dyDescent="0.2">
      <c r="A653" s="16"/>
      <c r="B653" s="16"/>
      <c r="C653" s="16"/>
      <c r="D653" s="16"/>
      <c r="E653" s="16"/>
      <c r="F653" s="16"/>
      <c r="G653" s="16"/>
      <c r="H653" s="16"/>
    </row>
    <row r="654" spans="1:8" x14ac:dyDescent="0.2">
      <c r="A654" s="16"/>
      <c r="B654" s="16"/>
      <c r="C654" s="16"/>
      <c r="D654" s="16"/>
      <c r="E654" s="16"/>
      <c r="F654" s="16"/>
      <c r="G654" s="16"/>
      <c r="H654" s="16"/>
    </row>
    <row r="655" spans="1:8" x14ac:dyDescent="0.2">
      <c r="A655" s="16"/>
      <c r="B655" s="16"/>
      <c r="C655" s="16"/>
      <c r="D655" s="16"/>
      <c r="E655" s="16"/>
      <c r="F655" s="16"/>
      <c r="G655" s="16"/>
      <c r="H655" s="16"/>
    </row>
    <row r="656" spans="1:8" x14ac:dyDescent="0.2">
      <c r="A656" s="16"/>
      <c r="B656" s="16"/>
      <c r="C656" s="16"/>
      <c r="D656" s="16"/>
      <c r="E656" s="16"/>
      <c r="F656" s="16"/>
      <c r="G656" s="16"/>
      <c r="H656" s="16"/>
    </row>
    <row r="657" spans="1:8" x14ac:dyDescent="0.2">
      <c r="A657" s="16"/>
      <c r="B657" s="16"/>
      <c r="C657" s="16"/>
      <c r="D657" s="16"/>
      <c r="E657" s="16"/>
      <c r="F657" s="16"/>
      <c r="G657" s="16"/>
      <c r="H657" s="16"/>
    </row>
    <row r="658" spans="1:8" x14ac:dyDescent="0.2">
      <c r="A658" s="16"/>
      <c r="B658" s="16"/>
      <c r="C658" s="16"/>
      <c r="D658" s="16"/>
      <c r="E658" s="16"/>
      <c r="F658" s="16"/>
      <c r="G658" s="16"/>
      <c r="H658" s="16"/>
    </row>
    <row r="659" spans="1:8" x14ac:dyDescent="0.2">
      <c r="A659" s="16"/>
      <c r="B659" s="16"/>
      <c r="C659" s="16"/>
      <c r="D659" s="16"/>
      <c r="E659" s="16"/>
      <c r="F659" s="16"/>
      <c r="G659" s="16"/>
      <c r="H659" s="16"/>
    </row>
    <row r="660" spans="1:8" x14ac:dyDescent="0.2">
      <c r="A660" s="16"/>
      <c r="B660" s="16"/>
      <c r="C660" s="16"/>
      <c r="D660" s="16"/>
      <c r="E660" s="16"/>
      <c r="F660" s="16"/>
      <c r="G660" s="16"/>
      <c r="H660" s="16"/>
    </row>
    <row r="661" spans="1:8" x14ac:dyDescent="0.2">
      <c r="A661" s="16"/>
      <c r="B661" s="16"/>
      <c r="C661" s="16"/>
      <c r="D661" s="16"/>
      <c r="E661" s="16"/>
      <c r="F661" s="16"/>
      <c r="G661" s="16"/>
      <c r="H661" s="16"/>
    </row>
    <row r="662" spans="1:8" x14ac:dyDescent="0.2">
      <c r="A662" s="16"/>
      <c r="B662" s="16"/>
      <c r="C662" s="16"/>
      <c r="D662" s="16"/>
      <c r="E662" s="16"/>
      <c r="F662" s="16"/>
      <c r="G662" s="16"/>
      <c r="H662" s="16"/>
    </row>
    <row r="663" spans="1:8" x14ac:dyDescent="0.2">
      <c r="A663" s="16"/>
      <c r="B663" s="16"/>
      <c r="C663" s="16"/>
      <c r="D663" s="16"/>
      <c r="E663" s="16"/>
      <c r="F663" s="16"/>
      <c r="G663" s="16"/>
      <c r="H663" s="16"/>
    </row>
    <row r="664" spans="1:8" x14ac:dyDescent="0.2">
      <c r="A664" s="16"/>
      <c r="B664" s="16"/>
      <c r="C664" s="16"/>
      <c r="D664" s="16"/>
      <c r="E664" s="16"/>
      <c r="F664" s="16"/>
      <c r="G664" s="16"/>
      <c r="H664" s="16"/>
    </row>
    <row r="665" spans="1:8" x14ac:dyDescent="0.2">
      <c r="A665" s="16"/>
      <c r="B665" s="16"/>
      <c r="C665" s="16"/>
      <c r="D665" s="16"/>
      <c r="E665" s="16"/>
      <c r="F665" s="16"/>
      <c r="G665" s="16"/>
      <c r="H665" s="16"/>
    </row>
    <row r="666" spans="1:8" x14ac:dyDescent="0.2">
      <c r="A666" s="16"/>
      <c r="B666" s="16"/>
      <c r="C666" s="16"/>
      <c r="D666" s="16"/>
      <c r="E666" s="16"/>
      <c r="F666" s="16"/>
      <c r="G666" s="16"/>
      <c r="H666" s="16"/>
    </row>
    <row r="667" spans="1:8" x14ac:dyDescent="0.2">
      <c r="A667" s="16"/>
      <c r="B667" s="16"/>
      <c r="C667" s="16"/>
      <c r="D667" s="16"/>
      <c r="E667" s="16"/>
      <c r="F667" s="16"/>
      <c r="G667" s="16"/>
      <c r="H667" s="16"/>
    </row>
    <row r="668" spans="1:8" x14ac:dyDescent="0.2">
      <c r="A668" s="16"/>
      <c r="B668" s="16"/>
      <c r="C668" s="16"/>
      <c r="D668" s="16"/>
      <c r="E668" s="16"/>
      <c r="F668" s="16"/>
      <c r="G668" s="16"/>
      <c r="H668" s="16"/>
    </row>
    <row r="669" spans="1:8" x14ac:dyDescent="0.2">
      <c r="A669" s="16"/>
      <c r="B669" s="16"/>
      <c r="C669" s="16"/>
      <c r="D669" s="16"/>
      <c r="E669" s="16"/>
      <c r="F669" s="16"/>
      <c r="G669" s="16"/>
      <c r="H669" s="16"/>
    </row>
    <row r="670" spans="1:8" x14ac:dyDescent="0.2">
      <c r="A670" s="16"/>
      <c r="B670" s="16"/>
      <c r="C670" s="16"/>
      <c r="D670" s="16"/>
      <c r="E670" s="16"/>
      <c r="F670" s="16"/>
      <c r="G670" s="16"/>
      <c r="H670" s="16"/>
    </row>
    <row r="671" spans="1:8" x14ac:dyDescent="0.2">
      <c r="A671" s="16"/>
      <c r="B671" s="16"/>
      <c r="C671" s="16"/>
      <c r="D671" s="16"/>
      <c r="E671" s="16"/>
      <c r="F671" s="16"/>
      <c r="G671" s="16"/>
      <c r="H671" s="16"/>
    </row>
    <row r="672" spans="1:8" x14ac:dyDescent="0.2">
      <c r="A672" s="16"/>
      <c r="B672" s="16"/>
      <c r="C672" s="16"/>
      <c r="D672" s="16"/>
      <c r="E672" s="16"/>
      <c r="F672" s="16"/>
      <c r="G672" s="16"/>
      <c r="H672" s="16"/>
    </row>
    <row r="673" spans="1:8" x14ac:dyDescent="0.2">
      <c r="A673" s="16"/>
      <c r="B673" s="16"/>
      <c r="C673" s="16"/>
      <c r="D673" s="16"/>
      <c r="E673" s="16"/>
      <c r="F673" s="16"/>
      <c r="G673" s="16"/>
      <c r="H673" s="16"/>
    </row>
    <row r="674" spans="1:8" x14ac:dyDescent="0.2">
      <c r="A674" s="16"/>
      <c r="B674" s="16"/>
      <c r="C674" s="16"/>
      <c r="D674" s="16"/>
      <c r="E674" s="16"/>
      <c r="F674" s="16"/>
      <c r="G674" s="16"/>
      <c r="H674" s="16"/>
    </row>
    <row r="675" spans="1:8" x14ac:dyDescent="0.2">
      <c r="A675" s="16"/>
      <c r="B675" s="16"/>
      <c r="C675" s="16"/>
      <c r="D675" s="16"/>
      <c r="E675" s="16"/>
      <c r="F675" s="16"/>
      <c r="G675" s="16"/>
      <c r="H675" s="16"/>
    </row>
    <row r="676" spans="1:8" x14ac:dyDescent="0.2">
      <c r="A676" s="16"/>
      <c r="B676" s="16"/>
      <c r="C676" s="16"/>
      <c r="D676" s="16"/>
      <c r="E676" s="16"/>
      <c r="F676" s="16"/>
      <c r="G676" s="16"/>
      <c r="H676" s="16"/>
    </row>
    <row r="677" spans="1:8" x14ac:dyDescent="0.2">
      <c r="A677" s="16"/>
      <c r="B677" s="16"/>
      <c r="C677" s="16"/>
      <c r="D677" s="16"/>
      <c r="E677" s="16"/>
      <c r="F677" s="16"/>
      <c r="G677" s="16"/>
      <c r="H677" s="16"/>
    </row>
    <row r="678" spans="1:8" x14ac:dyDescent="0.2">
      <c r="A678" s="16"/>
      <c r="B678" s="16"/>
      <c r="C678" s="16"/>
      <c r="D678" s="16"/>
      <c r="E678" s="16"/>
      <c r="F678" s="16"/>
      <c r="G678" s="16"/>
      <c r="H678" s="16"/>
    </row>
    <row r="679" spans="1:8" x14ac:dyDescent="0.2">
      <c r="A679" s="16"/>
      <c r="B679" s="16"/>
      <c r="C679" s="16"/>
      <c r="D679" s="16"/>
      <c r="E679" s="16"/>
      <c r="F679" s="16"/>
      <c r="G679" s="16"/>
      <c r="H679" s="16"/>
    </row>
    <row r="680" spans="1:8" x14ac:dyDescent="0.2">
      <c r="A680" s="16"/>
      <c r="B680" s="16"/>
      <c r="C680" s="16"/>
      <c r="D680" s="16"/>
      <c r="E680" s="16"/>
      <c r="F680" s="16"/>
      <c r="G680" s="16"/>
      <c r="H680" s="16"/>
    </row>
    <row r="681" spans="1:8" x14ac:dyDescent="0.2">
      <c r="A681" s="16"/>
      <c r="B681" s="16"/>
      <c r="C681" s="16"/>
      <c r="D681" s="16"/>
      <c r="E681" s="16"/>
      <c r="F681" s="16"/>
      <c r="G681" s="16"/>
      <c r="H681" s="16"/>
    </row>
    <row r="682" spans="1:8" x14ac:dyDescent="0.2">
      <c r="A682" s="16"/>
      <c r="B682" s="16"/>
      <c r="C682" s="16"/>
      <c r="D682" s="16"/>
      <c r="E682" s="16"/>
      <c r="F682" s="16"/>
      <c r="G682" s="16"/>
      <c r="H682" s="16"/>
    </row>
    <row r="683" spans="1:8" x14ac:dyDescent="0.2">
      <c r="A683" s="16"/>
      <c r="B683" s="16"/>
      <c r="C683" s="16"/>
      <c r="D683" s="16"/>
      <c r="E683" s="16"/>
      <c r="F683" s="16"/>
      <c r="G683" s="16"/>
      <c r="H683" s="16"/>
    </row>
    <row r="684" spans="1:8" x14ac:dyDescent="0.2">
      <c r="A684" s="16"/>
      <c r="B684" s="16"/>
      <c r="C684" s="16"/>
      <c r="D684" s="16"/>
      <c r="E684" s="16"/>
      <c r="F684" s="16"/>
      <c r="G684" s="16"/>
      <c r="H684" s="16"/>
    </row>
    <row r="685" spans="1:8" x14ac:dyDescent="0.2">
      <c r="A685" s="16"/>
      <c r="B685" s="16"/>
      <c r="C685" s="16"/>
      <c r="D685" s="16"/>
      <c r="E685" s="16"/>
      <c r="F685" s="16"/>
      <c r="G685" s="16"/>
      <c r="H685" s="16"/>
    </row>
    <row r="686" spans="1:8" x14ac:dyDescent="0.2">
      <c r="A686" s="16"/>
      <c r="B686" s="16"/>
      <c r="C686" s="16"/>
      <c r="D686" s="16"/>
      <c r="E686" s="16"/>
      <c r="F686" s="16"/>
      <c r="G686" s="16"/>
      <c r="H686" s="16"/>
    </row>
    <row r="687" spans="1:8" x14ac:dyDescent="0.2">
      <c r="A687" s="16"/>
      <c r="B687" s="16"/>
      <c r="C687" s="16"/>
      <c r="D687" s="16"/>
      <c r="E687" s="16"/>
      <c r="F687" s="16"/>
      <c r="G687" s="16"/>
      <c r="H687" s="16"/>
    </row>
    <row r="688" spans="1:8" x14ac:dyDescent="0.2">
      <c r="A688" s="16"/>
      <c r="B688" s="16"/>
      <c r="C688" s="16"/>
      <c r="D688" s="16"/>
      <c r="E688" s="16"/>
      <c r="F688" s="16"/>
      <c r="G688" s="16"/>
      <c r="H688" s="16"/>
    </row>
    <row r="689" spans="1:8" x14ac:dyDescent="0.2">
      <c r="A689" s="16"/>
      <c r="B689" s="16"/>
      <c r="C689" s="16"/>
      <c r="D689" s="16"/>
      <c r="E689" s="16"/>
      <c r="F689" s="16"/>
      <c r="G689" s="16"/>
      <c r="H689" s="16"/>
    </row>
    <row r="690" spans="1:8" x14ac:dyDescent="0.2">
      <c r="A690" s="16"/>
      <c r="B690" s="16"/>
      <c r="C690" s="16"/>
      <c r="D690" s="16"/>
      <c r="E690" s="16"/>
      <c r="F690" s="16"/>
      <c r="G690" s="16"/>
      <c r="H690" s="16"/>
    </row>
    <row r="691" spans="1:8" x14ac:dyDescent="0.2">
      <c r="A691" s="16"/>
      <c r="B691" s="16"/>
      <c r="C691" s="16"/>
      <c r="D691" s="16"/>
      <c r="E691" s="16"/>
      <c r="F691" s="16"/>
      <c r="G691" s="16"/>
      <c r="H691" s="16"/>
    </row>
    <row r="692" spans="1:8" x14ac:dyDescent="0.2">
      <c r="A692" s="16"/>
      <c r="B692" s="16"/>
      <c r="C692" s="16"/>
      <c r="D692" s="16"/>
      <c r="E692" s="16"/>
      <c r="F692" s="16"/>
      <c r="G692" s="16"/>
      <c r="H692" s="16"/>
    </row>
    <row r="693" spans="1:8" x14ac:dyDescent="0.2">
      <c r="A693" s="16"/>
      <c r="B693" s="16"/>
      <c r="C693" s="16"/>
      <c r="D693" s="16"/>
      <c r="E693" s="16"/>
      <c r="F693" s="16"/>
      <c r="G693" s="16"/>
      <c r="H693" s="16"/>
    </row>
    <row r="694" spans="1:8" x14ac:dyDescent="0.2">
      <c r="A694" s="16"/>
      <c r="B694" s="16"/>
      <c r="C694" s="16"/>
      <c r="D694" s="16"/>
      <c r="E694" s="16"/>
      <c r="F694" s="16"/>
      <c r="G694" s="16"/>
      <c r="H694" s="16"/>
    </row>
    <row r="695" spans="1:8" x14ac:dyDescent="0.2">
      <c r="A695" s="16"/>
      <c r="B695" s="16"/>
      <c r="C695" s="16"/>
      <c r="D695" s="16"/>
      <c r="E695" s="16"/>
      <c r="F695" s="16"/>
      <c r="G695" s="16"/>
      <c r="H695" s="16"/>
    </row>
    <row r="696" spans="1:8" x14ac:dyDescent="0.2">
      <c r="A696" s="16"/>
      <c r="B696" s="16"/>
      <c r="C696" s="16"/>
      <c r="D696" s="16"/>
      <c r="E696" s="16"/>
      <c r="F696" s="16"/>
      <c r="G696" s="16"/>
      <c r="H696" s="16"/>
    </row>
    <row r="697" spans="1:8" x14ac:dyDescent="0.2">
      <c r="A697" s="16"/>
      <c r="B697" s="16"/>
      <c r="C697" s="16"/>
      <c r="D697" s="16"/>
      <c r="E697" s="16"/>
      <c r="F697" s="16"/>
      <c r="G697" s="16"/>
      <c r="H697" s="16"/>
    </row>
    <row r="698" spans="1:8" x14ac:dyDescent="0.2">
      <c r="A698" s="16"/>
      <c r="B698" s="16"/>
      <c r="C698" s="16"/>
      <c r="D698" s="16"/>
      <c r="E698" s="16"/>
      <c r="F698" s="16"/>
      <c r="G698" s="16"/>
      <c r="H698" s="16"/>
    </row>
    <row r="699" spans="1:8" x14ac:dyDescent="0.2">
      <c r="A699" s="16"/>
      <c r="B699" s="16"/>
      <c r="C699" s="16"/>
      <c r="D699" s="16"/>
      <c r="E699" s="16"/>
      <c r="F699" s="16"/>
      <c r="G699" s="16"/>
      <c r="H699" s="16"/>
    </row>
    <row r="700" spans="1:8" x14ac:dyDescent="0.2">
      <c r="A700" s="16"/>
      <c r="B700" s="16"/>
      <c r="C700" s="16"/>
      <c r="D700" s="16"/>
      <c r="E700" s="16"/>
      <c r="F700" s="16"/>
      <c r="G700" s="16"/>
      <c r="H700" s="16"/>
    </row>
    <row r="701" spans="1:8" x14ac:dyDescent="0.2">
      <c r="A701" s="16"/>
      <c r="B701" s="16"/>
      <c r="C701" s="16"/>
      <c r="D701" s="16"/>
      <c r="E701" s="16"/>
      <c r="F701" s="16"/>
      <c r="G701" s="16"/>
      <c r="H701" s="16"/>
    </row>
    <row r="702" spans="1:8" x14ac:dyDescent="0.2">
      <c r="A702" s="16"/>
      <c r="B702" s="16"/>
      <c r="C702" s="16"/>
      <c r="D702" s="16"/>
      <c r="E702" s="16"/>
      <c r="F702" s="16"/>
      <c r="G702" s="16"/>
      <c r="H702" s="16"/>
    </row>
    <row r="703" spans="1:8" x14ac:dyDescent="0.2">
      <c r="A703" s="16"/>
      <c r="B703" s="16"/>
      <c r="C703" s="16"/>
      <c r="D703" s="16"/>
      <c r="E703" s="16"/>
      <c r="F703" s="16"/>
      <c r="G703" s="16"/>
      <c r="H703" s="16"/>
    </row>
    <row r="704" spans="1:8" x14ac:dyDescent="0.2">
      <c r="A704" s="16"/>
      <c r="B704" s="16"/>
      <c r="C704" s="16"/>
      <c r="D704" s="16"/>
      <c r="E704" s="16"/>
      <c r="F704" s="16"/>
      <c r="G704" s="16"/>
      <c r="H704" s="16"/>
    </row>
    <row r="705" spans="1:8" x14ac:dyDescent="0.2">
      <c r="A705" s="16"/>
      <c r="B705" s="16"/>
      <c r="C705" s="16"/>
      <c r="D705" s="16"/>
      <c r="E705" s="16"/>
      <c r="F705" s="16"/>
      <c r="G705" s="16"/>
      <c r="H705" s="16"/>
    </row>
    <row r="706" spans="1:8" x14ac:dyDescent="0.2">
      <c r="A706" s="16"/>
      <c r="B706" s="16"/>
      <c r="C706" s="16"/>
      <c r="D706" s="16"/>
      <c r="E706" s="16"/>
      <c r="F706" s="16"/>
      <c r="G706" s="16"/>
      <c r="H706" s="16"/>
    </row>
    <row r="707" spans="1:8" x14ac:dyDescent="0.2">
      <c r="A707" s="16"/>
      <c r="B707" s="16"/>
      <c r="C707" s="16"/>
      <c r="D707" s="16"/>
      <c r="E707" s="16"/>
      <c r="F707" s="16"/>
      <c r="G707" s="16"/>
      <c r="H707" s="16"/>
    </row>
    <row r="708" spans="1:8" x14ac:dyDescent="0.2">
      <c r="A708" s="16"/>
      <c r="B708" s="16"/>
      <c r="C708" s="16"/>
      <c r="D708" s="16"/>
      <c r="E708" s="16"/>
      <c r="F708" s="16"/>
      <c r="G708" s="16"/>
      <c r="H708" s="16"/>
    </row>
    <row r="709" spans="1:8" x14ac:dyDescent="0.2">
      <c r="A709" s="16"/>
      <c r="B709" s="16"/>
      <c r="C709" s="16"/>
      <c r="D709" s="16"/>
      <c r="E709" s="16"/>
      <c r="F709" s="16"/>
      <c r="G709" s="16"/>
      <c r="H709" s="16"/>
    </row>
    <row r="710" spans="1:8" x14ac:dyDescent="0.2">
      <c r="A710" s="16"/>
      <c r="B710" s="16"/>
      <c r="C710" s="16"/>
      <c r="D710" s="16"/>
      <c r="E710" s="16"/>
      <c r="F710" s="16"/>
      <c r="G710" s="16"/>
      <c r="H710" s="16"/>
    </row>
    <row r="711" spans="1:8" x14ac:dyDescent="0.2">
      <c r="A711" s="16"/>
      <c r="B711" s="16"/>
      <c r="C711" s="16"/>
      <c r="D711" s="16"/>
      <c r="E711" s="16"/>
      <c r="F711" s="16"/>
      <c r="G711" s="16"/>
      <c r="H711" s="16"/>
    </row>
    <row r="712" spans="1:8" x14ac:dyDescent="0.2">
      <c r="A712" s="16"/>
      <c r="B712" s="16"/>
      <c r="C712" s="16"/>
      <c r="D712" s="16"/>
      <c r="E712" s="16"/>
      <c r="F712" s="16"/>
      <c r="G712" s="16"/>
      <c r="H712" s="16"/>
    </row>
    <row r="713" spans="1:8" x14ac:dyDescent="0.2">
      <c r="A713" s="16"/>
      <c r="B713" s="16"/>
      <c r="C713" s="16"/>
      <c r="D713" s="16"/>
      <c r="E713" s="16"/>
      <c r="F713" s="16"/>
      <c r="G713" s="16"/>
      <c r="H713" s="16"/>
    </row>
    <row r="714" spans="1:8" x14ac:dyDescent="0.2">
      <c r="A714" s="16"/>
      <c r="B714" s="16"/>
      <c r="C714" s="16"/>
      <c r="D714" s="16"/>
      <c r="E714" s="16"/>
      <c r="F714" s="16"/>
      <c r="G714" s="16"/>
      <c r="H714" s="16"/>
    </row>
    <row r="715" spans="1:8" x14ac:dyDescent="0.2">
      <c r="A715" s="16"/>
      <c r="B715" s="16"/>
      <c r="C715" s="16"/>
      <c r="D715" s="16"/>
      <c r="E715" s="16"/>
      <c r="F715" s="16"/>
      <c r="G715" s="16"/>
      <c r="H715" s="16"/>
    </row>
    <row r="716" spans="1:8" x14ac:dyDescent="0.2">
      <c r="A716" s="16"/>
      <c r="B716" s="16"/>
      <c r="C716" s="16"/>
      <c r="D716" s="16"/>
      <c r="E716" s="16"/>
      <c r="F716" s="16"/>
      <c r="G716" s="16"/>
      <c r="H716" s="16"/>
    </row>
    <row r="717" spans="1:8" x14ac:dyDescent="0.2">
      <c r="A717" s="16"/>
      <c r="B717" s="16"/>
      <c r="C717" s="16"/>
      <c r="D717" s="16"/>
      <c r="E717" s="16"/>
      <c r="F717" s="16"/>
      <c r="G717" s="16"/>
      <c r="H717" s="16"/>
    </row>
    <row r="718" spans="1:8" x14ac:dyDescent="0.2">
      <c r="A718" s="16"/>
      <c r="B718" s="16"/>
      <c r="C718" s="16"/>
      <c r="D718" s="16"/>
      <c r="E718" s="16"/>
      <c r="F718" s="16"/>
      <c r="G718" s="16"/>
      <c r="H718" s="16"/>
    </row>
    <row r="719" spans="1:8" x14ac:dyDescent="0.2">
      <c r="A719" s="16"/>
      <c r="B719" s="16"/>
      <c r="C719" s="16"/>
      <c r="D719" s="16"/>
      <c r="E719" s="16"/>
      <c r="F719" s="16"/>
      <c r="G719" s="16"/>
      <c r="H719" s="16"/>
    </row>
    <row r="720" spans="1:8" x14ac:dyDescent="0.2">
      <c r="A720" s="16"/>
      <c r="B720" s="16"/>
      <c r="C720" s="16"/>
      <c r="D720" s="16"/>
      <c r="E720" s="16"/>
      <c r="F720" s="16"/>
      <c r="G720" s="16"/>
      <c r="H720" s="16"/>
    </row>
    <row r="721" spans="1:8" x14ac:dyDescent="0.2">
      <c r="A721" s="16"/>
      <c r="B721" s="16"/>
      <c r="C721" s="16"/>
      <c r="D721" s="16"/>
      <c r="E721" s="16"/>
      <c r="F721" s="16"/>
      <c r="G721" s="16"/>
      <c r="H721" s="16"/>
    </row>
    <row r="722" spans="1:8" x14ac:dyDescent="0.2">
      <c r="A722" s="16"/>
      <c r="B722" s="16"/>
      <c r="C722" s="16"/>
      <c r="D722" s="16"/>
      <c r="E722" s="16"/>
      <c r="F722" s="16"/>
      <c r="G722" s="16"/>
      <c r="H722" s="16"/>
    </row>
    <row r="723" spans="1:8" x14ac:dyDescent="0.2">
      <c r="A723" s="16"/>
      <c r="B723" s="16"/>
      <c r="C723" s="16"/>
      <c r="D723" s="16"/>
      <c r="E723" s="16"/>
      <c r="F723" s="16"/>
      <c r="G723" s="16"/>
      <c r="H723" s="16"/>
    </row>
    <row r="724" spans="1:8" x14ac:dyDescent="0.2">
      <c r="A724" s="16"/>
      <c r="B724" s="16"/>
      <c r="C724" s="16"/>
      <c r="D724" s="16"/>
      <c r="E724" s="16"/>
      <c r="F724" s="16"/>
      <c r="G724" s="16"/>
      <c r="H724" s="16"/>
    </row>
    <row r="725" spans="1:8" x14ac:dyDescent="0.2">
      <c r="A725" s="16"/>
      <c r="B725" s="16"/>
      <c r="C725" s="16"/>
      <c r="D725" s="16"/>
      <c r="E725" s="16"/>
      <c r="F725" s="16"/>
      <c r="G725" s="16"/>
      <c r="H725" s="16"/>
    </row>
    <row r="726" spans="1:8" x14ac:dyDescent="0.2">
      <c r="A726" s="16"/>
      <c r="B726" s="16"/>
      <c r="C726" s="16"/>
      <c r="D726" s="16"/>
      <c r="E726" s="16"/>
      <c r="F726" s="16"/>
      <c r="G726" s="16"/>
      <c r="H726" s="16"/>
    </row>
    <row r="727" spans="1:8" x14ac:dyDescent="0.2">
      <c r="A727" s="16"/>
      <c r="B727" s="16"/>
      <c r="C727" s="16"/>
      <c r="D727" s="16"/>
      <c r="E727" s="16"/>
      <c r="F727" s="16"/>
      <c r="G727" s="16"/>
      <c r="H727" s="16"/>
    </row>
    <row r="728" spans="1:8" x14ac:dyDescent="0.2">
      <c r="A728" s="16"/>
      <c r="B728" s="16"/>
      <c r="C728" s="16"/>
      <c r="D728" s="16"/>
      <c r="E728" s="16"/>
      <c r="F728" s="16"/>
      <c r="G728" s="16"/>
      <c r="H728" s="16"/>
    </row>
    <row r="729" spans="1:8" x14ac:dyDescent="0.2">
      <c r="A729" s="16"/>
      <c r="B729" s="16"/>
      <c r="C729" s="16"/>
      <c r="D729" s="16"/>
      <c r="E729" s="16"/>
      <c r="F729" s="16"/>
      <c r="G729" s="16"/>
      <c r="H729" s="16"/>
    </row>
    <row r="730" spans="1:8" x14ac:dyDescent="0.2">
      <c r="A730" s="16"/>
      <c r="B730" s="16"/>
      <c r="C730" s="16"/>
      <c r="D730" s="16"/>
      <c r="E730" s="16"/>
      <c r="F730" s="16"/>
      <c r="G730" s="16"/>
      <c r="H730" s="16"/>
    </row>
    <row r="731" spans="1:8" x14ac:dyDescent="0.2">
      <c r="A731" s="16"/>
      <c r="B731" s="16"/>
      <c r="C731" s="16"/>
      <c r="D731" s="16"/>
      <c r="E731" s="16"/>
      <c r="F731" s="16"/>
      <c r="G731" s="16"/>
      <c r="H731" s="16"/>
    </row>
    <row r="732" spans="1:8" x14ac:dyDescent="0.2">
      <c r="A732" s="16"/>
      <c r="B732" s="16"/>
      <c r="C732" s="16"/>
      <c r="D732" s="16"/>
      <c r="E732" s="16"/>
      <c r="F732" s="16"/>
      <c r="G732" s="16"/>
      <c r="H732" s="16"/>
    </row>
    <row r="733" spans="1:8" x14ac:dyDescent="0.2">
      <c r="A733" s="16"/>
      <c r="B733" s="16"/>
      <c r="C733" s="16"/>
      <c r="D733" s="16"/>
      <c r="E733" s="16"/>
      <c r="F733" s="16"/>
      <c r="G733" s="16"/>
      <c r="H733" s="16"/>
    </row>
    <row r="734" spans="1:8" x14ac:dyDescent="0.2">
      <c r="A734" s="16"/>
      <c r="B734" s="16"/>
      <c r="C734" s="16"/>
      <c r="D734" s="16"/>
      <c r="E734" s="16"/>
      <c r="F734" s="16"/>
      <c r="G734" s="16"/>
      <c r="H734" s="16"/>
    </row>
    <row r="735" spans="1:8" x14ac:dyDescent="0.2">
      <c r="A735" s="16"/>
      <c r="B735" s="16"/>
      <c r="C735" s="16"/>
      <c r="D735" s="16"/>
      <c r="E735" s="16"/>
      <c r="F735" s="16"/>
      <c r="G735" s="16"/>
      <c r="H735" s="16"/>
    </row>
    <row r="736" spans="1:8" x14ac:dyDescent="0.2">
      <c r="A736" s="16"/>
      <c r="B736" s="16"/>
      <c r="C736" s="16"/>
      <c r="D736" s="16"/>
      <c r="E736" s="16"/>
      <c r="F736" s="16"/>
      <c r="G736" s="16"/>
      <c r="H736" s="16"/>
    </row>
    <row r="737" spans="1:8" x14ac:dyDescent="0.2">
      <c r="A737" s="16"/>
      <c r="B737" s="16"/>
      <c r="C737" s="16"/>
      <c r="D737" s="16"/>
      <c r="E737" s="16"/>
      <c r="F737" s="16"/>
      <c r="G737" s="16"/>
      <c r="H737" s="16"/>
    </row>
    <row r="738" spans="1:8" x14ac:dyDescent="0.2">
      <c r="A738" s="16"/>
      <c r="B738" s="16"/>
      <c r="C738" s="16"/>
      <c r="D738" s="16"/>
      <c r="E738" s="16"/>
      <c r="F738" s="16"/>
      <c r="G738" s="16"/>
      <c r="H738" s="16"/>
    </row>
    <row r="739" spans="1:8" x14ac:dyDescent="0.2">
      <c r="A739" s="16"/>
      <c r="B739" s="16"/>
      <c r="C739" s="16"/>
      <c r="D739" s="16"/>
      <c r="E739" s="16"/>
      <c r="F739" s="16"/>
      <c r="G739" s="16"/>
      <c r="H739" s="16"/>
    </row>
    <row r="740" spans="1:8" x14ac:dyDescent="0.2">
      <c r="A740" s="16"/>
      <c r="B740" s="16"/>
      <c r="C740" s="16"/>
      <c r="D740" s="16"/>
      <c r="E740" s="16"/>
      <c r="F740" s="16"/>
      <c r="G740" s="16"/>
      <c r="H740" s="16"/>
    </row>
    <row r="741" spans="1:8" x14ac:dyDescent="0.2">
      <c r="A741" s="16"/>
      <c r="B741" s="16"/>
      <c r="C741" s="16"/>
      <c r="D741" s="16"/>
      <c r="E741" s="16"/>
      <c r="F741" s="16"/>
      <c r="G741" s="16"/>
      <c r="H741" s="16"/>
    </row>
    <row r="742" spans="1:8" x14ac:dyDescent="0.2">
      <c r="A742" s="16"/>
      <c r="B742" s="16"/>
      <c r="C742" s="16"/>
      <c r="D742" s="16"/>
      <c r="E742" s="16"/>
      <c r="F742" s="16"/>
      <c r="G742" s="16"/>
      <c r="H742" s="16"/>
    </row>
    <row r="743" spans="1:8" x14ac:dyDescent="0.2">
      <c r="A743" s="16"/>
      <c r="B743" s="16"/>
      <c r="C743" s="16"/>
      <c r="D743" s="16"/>
      <c r="E743" s="16"/>
      <c r="F743" s="16"/>
      <c r="G743" s="16"/>
      <c r="H743" s="16"/>
    </row>
    <row r="744" spans="1:8" x14ac:dyDescent="0.2">
      <c r="A744" s="16"/>
      <c r="B744" s="16"/>
      <c r="C744" s="16"/>
      <c r="D744" s="16"/>
      <c r="E744" s="16"/>
      <c r="F744" s="16"/>
      <c r="G744" s="16"/>
      <c r="H744" s="16"/>
    </row>
    <row r="745" spans="1:8" x14ac:dyDescent="0.2">
      <c r="A745" s="16"/>
      <c r="B745" s="16"/>
      <c r="C745" s="16"/>
      <c r="D745" s="16"/>
      <c r="E745" s="16"/>
      <c r="F745" s="16"/>
      <c r="G745" s="16"/>
      <c r="H745" s="16"/>
    </row>
    <row r="746" spans="1:8" x14ac:dyDescent="0.2">
      <c r="A746" s="16"/>
      <c r="B746" s="16"/>
      <c r="C746" s="16"/>
      <c r="D746" s="16"/>
      <c r="E746" s="16"/>
      <c r="F746" s="16"/>
      <c r="G746" s="16"/>
      <c r="H746" s="16"/>
    </row>
    <row r="747" spans="1:8" x14ac:dyDescent="0.2">
      <c r="A747" s="16"/>
      <c r="B747" s="16"/>
      <c r="C747" s="16"/>
      <c r="D747" s="16"/>
      <c r="E747" s="16"/>
      <c r="F747" s="16"/>
      <c r="G747" s="16"/>
      <c r="H747" s="16"/>
    </row>
    <row r="748" spans="1:8" x14ac:dyDescent="0.2">
      <c r="A748" s="16"/>
      <c r="B748" s="16"/>
      <c r="C748" s="16"/>
      <c r="D748" s="16"/>
      <c r="E748" s="16"/>
      <c r="F748" s="16"/>
      <c r="G748" s="16"/>
      <c r="H748" s="16"/>
    </row>
    <row r="749" spans="1:8" x14ac:dyDescent="0.2">
      <c r="A749" s="16"/>
      <c r="B749" s="16"/>
      <c r="C749" s="16"/>
      <c r="D749" s="16"/>
      <c r="E749" s="16"/>
      <c r="F749" s="16"/>
      <c r="G749" s="16"/>
      <c r="H749" s="16"/>
    </row>
    <row r="750" spans="1:8" x14ac:dyDescent="0.2">
      <c r="A750" s="16"/>
      <c r="B750" s="16"/>
      <c r="C750" s="16"/>
      <c r="D750" s="16"/>
      <c r="E750" s="16"/>
      <c r="F750" s="16"/>
      <c r="G750" s="16"/>
      <c r="H750" s="16"/>
    </row>
    <row r="751" spans="1:8" x14ac:dyDescent="0.2">
      <c r="A751" s="16"/>
      <c r="B751" s="16"/>
      <c r="C751" s="16"/>
      <c r="D751" s="16"/>
      <c r="E751" s="16"/>
      <c r="F751" s="16"/>
      <c r="G751" s="16"/>
      <c r="H751" s="16"/>
    </row>
    <row r="752" spans="1:8" x14ac:dyDescent="0.2">
      <c r="A752" s="16"/>
      <c r="B752" s="16"/>
      <c r="C752" s="16"/>
      <c r="D752" s="16"/>
      <c r="E752" s="16"/>
      <c r="F752" s="16"/>
      <c r="G752" s="16"/>
      <c r="H752" s="16"/>
    </row>
    <row r="753" spans="1:8" x14ac:dyDescent="0.2">
      <c r="A753" s="16"/>
      <c r="B753" s="16"/>
      <c r="C753" s="16"/>
      <c r="D753" s="16"/>
      <c r="E753" s="16"/>
      <c r="F753" s="16"/>
      <c r="G753" s="16"/>
      <c r="H753" s="16"/>
    </row>
    <row r="754" spans="1:8" x14ac:dyDescent="0.2">
      <c r="A754" s="16"/>
      <c r="B754" s="16"/>
      <c r="C754" s="16"/>
      <c r="D754" s="16"/>
      <c r="E754" s="16"/>
      <c r="F754" s="16"/>
      <c r="G754" s="16"/>
      <c r="H754" s="16"/>
    </row>
    <row r="755" spans="1:8" x14ac:dyDescent="0.2">
      <c r="A755" s="16"/>
      <c r="B755" s="16"/>
      <c r="C755" s="16"/>
      <c r="D755" s="16"/>
      <c r="E755" s="16"/>
      <c r="F755" s="16"/>
      <c r="G755" s="16"/>
      <c r="H755" s="16"/>
    </row>
    <row r="756" spans="1:8" x14ac:dyDescent="0.2">
      <c r="A756" s="16"/>
      <c r="B756" s="16"/>
      <c r="C756" s="16"/>
      <c r="D756" s="16"/>
      <c r="E756" s="16"/>
      <c r="F756" s="16"/>
      <c r="G756" s="16"/>
      <c r="H756" s="16"/>
    </row>
    <row r="757" spans="1:8" x14ac:dyDescent="0.2">
      <c r="A757" s="16"/>
      <c r="B757" s="16"/>
      <c r="C757" s="16"/>
      <c r="D757" s="16"/>
      <c r="E757" s="16"/>
      <c r="F757" s="16"/>
      <c r="G757" s="16"/>
      <c r="H757" s="16"/>
    </row>
    <row r="758" spans="1:8" x14ac:dyDescent="0.2">
      <c r="A758" s="16"/>
      <c r="B758" s="16"/>
      <c r="C758" s="16"/>
      <c r="D758" s="16"/>
      <c r="E758" s="16"/>
      <c r="F758" s="16"/>
      <c r="G758" s="16"/>
      <c r="H758" s="16"/>
    </row>
    <row r="759" spans="1:8" x14ac:dyDescent="0.2">
      <c r="A759" s="16"/>
      <c r="B759" s="16"/>
      <c r="C759" s="16"/>
      <c r="D759" s="16"/>
      <c r="E759" s="16"/>
      <c r="F759" s="16"/>
      <c r="G759" s="16"/>
      <c r="H759" s="16"/>
    </row>
    <row r="760" spans="1:8" x14ac:dyDescent="0.2">
      <c r="A760" s="16"/>
      <c r="B760" s="16"/>
      <c r="C760" s="16"/>
      <c r="D760" s="16"/>
      <c r="E760" s="16"/>
      <c r="F760" s="16"/>
      <c r="G760" s="16"/>
      <c r="H760" s="16"/>
    </row>
    <row r="761" spans="1:8" x14ac:dyDescent="0.2">
      <c r="A761" s="16"/>
      <c r="B761" s="16"/>
      <c r="C761" s="16"/>
      <c r="D761" s="16"/>
      <c r="E761" s="16"/>
      <c r="F761" s="16"/>
      <c r="G761" s="16"/>
      <c r="H761" s="16"/>
    </row>
    <row r="762" spans="1:8" x14ac:dyDescent="0.2">
      <c r="A762" s="16"/>
      <c r="B762" s="16"/>
      <c r="C762" s="16"/>
      <c r="D762" s="16"/>
      <c r="E762" s="16"/>
      <c r="F762" s="16"/>
      <c r="G762" s="16"/>
      <c r="H762" s="16"/>
    </row>
    <row r="763" spans="1:8" x14ac:dyDescent="0.2">
      <c r="A763" s="16"/>
      <c r="B763" s="16"/>
      <c r="C763" s="16"/>
      <c r="D763" s="16"/>
      <c r="E763" s="16"/>
      <c r="F763" s="16"/>
      <c r="G763" s="16"/>
      <c r="H763" s="16"/>
    </row>
    <row r="764" spans="1:8" x14ac:dyDescent="0.2">
      <c r="A764" s="16"/>
      <c r="B764" s="16"/>
      <c r="C764" s="16"/>
      <c r="D764" s="16"/>
      <c r="E764" s="16"/>
      <c r="F764" s="16"/>
      <c r="G764" s="16"/>
      <c r="H764" s="16"/>
    </row>
    <row r="765" spans="1:8" x14ac:dyDescent="0.2">
      <c r="A765" s="16"/>
      <c r="B765" s="16"/>
      <c r="C765" s="16"/>
      <c r="D765" s="16"/>
      <c r="E765" s="16"/>
      <c r="F765" s="16"/>
      <c r="G765" s="16"/>
      <c r="H765" s="16"/>
    </row>
    <row r="766" spans="1:8" x14ac:dyDescent="0.2">
      <c r="A766" s="16"/>
      <c r="B766" s="16"/>
      <c r="C766" s="16"/>
      <c r="D766" s="16"/>
      <c r="E766" s="16"/>
      <c r="F766" s="16"/>
      <c r="G766" s="16"/>
      <c r="H766" s="16"/>
    </row>
    <row r="767" spans="1:8" x14ac:dyDescent="0.2">
      <c r="A767" s="16"/>
      <c r="B767" s="16"/>
      <c r="C767" s="16"/>
      <c r="D767" s="16"/>
      <c r="E767" s="16"/>
      <c r="F767" s="16"/>
      <c r="G767" s="16"/>
      <c r="H767" s="16"/>
    </row>
    <row r="768" spans="1:8" x14ac:dyDescent="0.2">
      <c r="A768" s="16"/>
      <c r="B768" s="16"/>
      <c r="C768" s="16"/>
      <c r="D768" s="16"/>
      <c r="E768" s="16"/>
      <c r="F768" s="16"/>
      <c r="G768" s="16"/>
      <c r="H768" s="16"/>
    </row>
    <row r="769" spans="1:8" x14ac:dyDescent="0.2">
      <c r="A769" s="16"/>
      <c r="B769" s="16"/>
      <c r="C769" s="16"/>
      <c r="D769" s="16"/>
      <c r="E769" s="16"/>
      <c r="F769" s="16"/>
      <c r="G769" s="16"/>
      <c r="H769" s="16"/>
    </row>
    <row r="770" spans="1:8" x14ac:dyDescent="0.2">
      <c r="A770" s="16"/>
      <c r="B770" s="16"/>
      <c r="C770" s="16"/>
      <c r="D770" s="16"/>
      <c r="E770" s="16"/>
      <c r="F770" s="16"/>
      <c r="G770" s="16"/>
      <c r="H770" s="16"/>
    </row>
    <row r="771" spans="1:8" x14ac:dyDescent="0.2">
      <c r="A771" s="16"/>
      <c r="B771" s="16"/>
      <c r="C771" s="16"/>
      <c r="D771" s="16"/>
      <c r="E771" s="16"/>
      <c r="F771" s="16"/>
      <c r="G771" s="16"/>
      <c r="H771" s="16"/>
    </row>
    <row r="772" spans="1:8" x14ac:dyDescent="0.2">
      <c r="A772" s="16"/>
      <c r="B772" s="16"/>
      <c r="C772" s="16"/>
      <c r="D772" s="16"/>
      <c r="E772" s="16"/>
      <c r="F772" s="16"/>
      <c r="G772" s="16"/>
      <c r="H772" s="16"/>
    </row>
    <row r="773" spans="1:8" x14ac:dyDescent="0.2">
      <c r="A773" s="16"/>
      <c r="B773" s="16"/>
      <c r="C773" s="16"/>
      <c r="D773" s="16"/>
      <c r="E773" s="16"/>
      <c r="F773" s="16"/>
      <c r="G773" s="16"/>
      <c r="H773" s="16"/>
    </row>
    <row r="774" spans="1:8" x14ac:dyDescent="0.2">
      <c r="A774" s="16"/>
      <c r="B774" s="16"/>
      <c r="C774" s="16"/>
      <c r="D774" s="16"/>
      <c r="E774" s="16"/>
      <c r="F774" s="16"/>
      <c r="G774" s="16"/>
      <c r="H774" s="16"/>
    </row>
    <row r="775" spans="1:8" x14ac:dyDescent="0.2">
      <c r="A775" s="16"/>
      <c r="B775" s="16"/>
      <c r="C775" s="16"/>
      <c r="D775" s="16"/>
      <c r="E775" s="16"/>
      <c r="F775" s="16"/>
      <c r="G775" s="16"/>
      <c r="H775" s="16"/>
    </row>
    <row r="776" spans="1:8" x14ac:dyDescent="0.2">
      <c r="A776" s="16"/>
      <c r="B776" s="16"/>
      <c r="C776" s="16"/>
      <c r="D776" s="16"/>
      <c r="E776" s="16"/>
      <c r="F776" s="16"/>
      <c r="G776" s="16"/>
      <c r="H776" s="16"/>
    </row>
    <row r="777" spans="1:8" x14ac:dyDescent="0.2">
      <c r="A777" s="16"/>
      <c r="B777" s="16"/>
      <c r="C777" s="16"/>
      <c r="D777" s="16"/>
      <c r="E777" s="16"/>
      <c r="F777" s="16"/>
      <c r="G777" s="16"/>
      <c r="H777" s="16"/>
    </row>
    <row r="778" spans="1:8" x14ac:dyDescent="0.2">
      <c r="A778" s="16"/>
      <c r="B778" s="16"/>
      <c r="C778" s="16"/>
      <c r="D778" s="16"/>
      <c r="E778" s="16"/>
      <c r="F778" s="16"/>
      <c r="G778" s="16"/>
      <c r="H778" s="16"/>
    </row>
    <row r="779" spans="1:8" x14ac:dyDescent="0.2">
      <c r="A779" s="16"/>
      <c r="B779" s="16"/>
      <c r="C779" s="16"/>
      <c r="D779" s="16"/>
      <c r="E779" s="16"/>
      <c r="F779" s="16"/>
      <c r="G779" s="16"/>
      <c r="H779" s="16"/>
    </row>
    <row r="780" spans="1:8" x14ac:dyDescent="0.2">
      <c r="A780" s="16"/>
      <c r="B780" s="16"/>
      <c r="C780" s="16"/>
      <c r="D780" s="16"/>
      <c r="E780" s="16"/>
      <c r="F780" s="16"/>
      <c r="G780" s="16"/>
      <c r="H780" s="16"/>
    </row>
    <row r="781" spans="1:8" x14ac:dyDescent="0.2">
      <c r="A781" s="16"/>
      <c r="B781" s="16"/>
      <c r="C781" s="16"/>
      <c r="D781" s="16"/>
      <c r="E781" s="16"/>
      <c r="F781" s="16"/>
      <c r="G781" s="16"/>
      <c r="H781" s="16"/>
    </row>
    <row r="782" spans="1:8" x14ac:dyDescent="0.2">
      <c r="A782" s="16"/>
      <c r="B782" s="16"/>
      <c r="C782" s="16"/>
      <c r="D782" s="16"/>
      <c r="E782" s="16"/>
      <c r="F782" s="16"/>
      <c r="G782" s="16"/>
      <c r="H782" s="16"/>
    </row>
    <row r="783" spans="1:8" x14ac:dyDescent="0.2">
      <c r="A783" s="16"/>
      <c r="B783" s="16"/>
      <c r="C783" s="16"/>
      <c r="D783" s="16"/>
      <c r="E783" s="16"/>
      <c r="F783" s="16"/>
      <c r="G783" s="16"/>
      <c r="H783" s="16"/>
    </row>
    <row r="784" spans="1:8" x14ac:dyDescent="0.2">
      <c r="A784" s="16"/>
      <c r="B784" s="16"/>
      <c r="C784" s="16"/>
      <c r="D784" s="16"/>
      <c r="E784" s="16"/>
      <c r="F784" s="16"/>
      <c r="G784" s="16"/>
      <c r="H784" s="16"/>
    </row>
    <row r="785" spans="1:8" x14ac:dyDescent="0.2">
      <c r="A785" s="16"/>
      <c r="B785" s="16"/>
      <c r="C785" s="16"/>
      <c r="D785" s="16"/>
      <c r="E785" s="16"/>
      <c r="F785" s="16"/>
      <c r="G785" s="16"/>
      <c r="H785" s="16"/>
    </row>
    <row r="786" spans="1:8" x14ac:dyDescent="0.2">
      <c r="A786" s="16"/>
      <c r="B786" s="16"/>
      <c r="C786" s="16"/>
      <c r="D786" s="16"/>
      <c r="E786" s="16"/>
      <c r="F786" s="16"/>
      <c r="G786" s="16"/>
      <c r="H786" s="16"/>
    </row>
    <row r="787" spans="1:8" x14ac:dyDescent="0.2">
      <c r="A787" s="16"/>
      <c r="B787" s="16"/>
      <c r="C787" s="16"/>
      <c r="D787" s="16"/>
      <c r="E787" s="16"/>
      <c r="F787" s="16"/>
      <c r="G787" s="16"/>
      <c r="H787" s="16"/>
    </row>
    <row r="788" spans="1:8" x14ac:dyDescent="0.2">
      <c r="A788" s="16"/>
      <c r="B788" s="16"/>
      <c r="C788" s="16"/>
      <c r="D788" s="16"/>
      <c r="E788" s="16"/>
      <c r="F788" s="16"/>
      <c r="G788" s="16"/>
      <c r="H788" s="16"/>
    </row>
    <row r="789" spans="1:8" x14ac:dyDescent="0.2">
      <c r="A789" s="16"/>
      <c r="B789" s="16"/>
      <c r="C789" s="16"/>
      <c r="D789" s="16"/>
      <c r="E789" s="16"/>
      <c r="F789" s="16"/>
      <c r="G789" s="16"/>
      <c r="H789" s="16"/>
    </row>
    <row r="790" spans="1:8" x14ac:dyDescent="0.2">
      <c r="A790" s="16"/>
      <c r="B790" s="16"/>
      <c r="C790" s="16"/>
      <c r="D790" s="16"/>
      <c r="E790" s="16"/>
      <c r="F790" s="16"/>
      <c r="G790" s="16"/>
      <c r="H790" s="16"/>
    </row>
    <row r="791" spans="1:8" x14ac:dyDescent="0.2">
      <c r="A791" s="16"/>
      <c r="B791" s="16"/>
      <c r="C791" s="16"/>
      <c r="D791" s="16"/>
      <c r="E791" s="16"/>
      <c r="F791" s="16"/>
      <c r="G791" s="16"/>
      <c r="H791" s="16"/>
    </row>
    <row r="792" spans="1:8" x14ac:dyDescent="0.2">
      <c r="A792" s="16"/>
      <c r="B792" s="16"/>
      <c r="C792" s="16"/>
      <c r="D792" s="16"/>
      <c r="E792" s="16"/>
      <c r="F792" s="16"/>
      <c r="G792" s="16"/>
      <c r="H792" s="16"/>
    </row>
    <row r="793" spans="1:8" x14ac:dyDescent="0.2">
      <c r="A793" s="16"/>
      <c r="B793" s="16"/>
      <c r="C793" s="16"/>
      <c r="D793" s="16"/>
      <c r="E793" s="16"/>
      <c r="F793" s="16"/>
      <c r="G793" s="16"/>
      <c r="H793" s="16"/>
    </row>
    <row r="794" spans="1:8" x14ac:dyDescent="0.2">
      <c r="A794" s="16"/>
      <c r="B794" s="16"/>
      <c r="C794" s="16"/>
      <c r="D794" s="16"/>
      <c r="E794" s="16"/>
      <c r="F794" s="16"/>
      <c r="G794" s="16"/>
      <c r="H794" s="16"/>
    </row>
    <row r="795" spans="1:8" x14ac:dyDescent="0.2">
      <c r="A795" s="16"/>
      <c r="B795" s="16"/>
      <c r="C795" s="16"/>
      <c r="D795" s="16"/>
      <c r="E795" s="16"/>
      <c r="F795" s="16"/>
      <c r="G795" s="16"/>
      <c r="H795" s="16"/>
    </row>
    <row r="796" spans="1:8" x14ac:dyDescent="0.2">
      <c r="A796" s="16"/>
      <c r="B796" s="16"/>
      <c r="C796" s="16"/>
      <c r="D796" s="16"/>
      <c r="E796" s="16"/>
      <c r="F796" s="16"/>
      <c r="G796" s="16"/>
      <c r="H796" s="16"/>
    </row>
    <row r="797" spans="1:8" x14ac:dyDescent="0.2">
      <c r="A797" s="16"/>
      <c r="B797" s="16"/>
      <c r="C797" s="16"/>
      <c r="D797" s="16"/>
      <c r="E797" s="16"/>
      <c r="F797" s="16"/>
      <c r="G797" s="16"/>
      <c r="H797" s="16"/>
    </row>
    <row r="798" spans="1:8" x14ac:dyDescent="0.2">
      <c r="A798" s="16"/>
      <c r="B798" s="16"/>
      <c r="C798" s="16"/>
      <c r="D798" s="16"/>
      <c r="E798" s="16"/>
      <c r="F798" s="16"/>
      <c r="G798" s="16"/>
      <c r="H798" s="16"/>
    </row>
    <row r="799" spans="1:8" x14ac:dyDescent="0.2">
      <c r="A799" s="16"/>
      <c r="B799" s="16"/>
      <c r="C799" s="16"/>
      <c r="D799" s="16"/>
      <c r="E799" s="16"/>
      <c r="F799" s="16"/>
      <c r="G799" s="16"/>
      <c r="H799" s="16"/>
    </row>
    <row r="800" spans="1:8" x14ac:dyDescent="0.2">
      <c r="A800" s="16"/>
      <c r="B800" s="16"/>
      <c r="C800" s="16"/>
      <c r="D800" s="16"/>
      <c r="E800" s="16"/>
      <c r="F800" s="16"/>
      <c r="G800" s="16"/>
      <c r="H800" s="16"/>
    </row>
    <row r="801" spans="1:8" x14ac:dyDescent="0.2">
      <c r="A801" s="16"/>
      <c r="B801" s="16"/>
      <c r="C801" s="16"/>
      <c r="D801" s="16"/>
      <c r="E801" s="16"/>
      <c r="F801" s="16"/>
      <c r="G801" s="16"/>
      <c r="H801" s="16"/>
    </row>
    <row r="802" spans="1:8" x14ac:dyDescent="0.2">
      <c r="A802" s="16"/>
      <c r="B802" s="16"/>
      <c r="C802" s="16"/>
      <c r="D802" s="16"/>
      <c r="E802" s="16"/>
      <c r="F802" s="16"/>
      <c r="G802" s="16"/>
      <c r="H802" s="16"/>
    </row>
    <row r="803" spans="1:8" x14ac:dyDescent="0.2">
      <c r="A803" s="16"/>
      <c r="B803" s="16"/>
      <c r="C803" s="16"/>
      <c r="D803" s="16"/>
      <c r="E803" s="16"/>
      <c r="F803" s="16"/>
      <c r="G803" s="16"/>
      <c r="H803" s="16"/>
    </row>
    <row r="804" spans="1:8" x14ac:dyDescent="0.2">
      <c r="A804" s="16"/>
      <c r="B804" s="16"/>
      <c r="C804" s="16"/>
      <c r="D804" s="16"/>
      <c r="E804" s="16"/>
      <c r="F804" s="16"/>
      <c r="G804" s="16"/>
      <c r="H804" s="16"/>
    </row>
    <row r="805" spans="1:8" x14ac:dyDescent="0.2">
      <c r="A805" s="16"/>
      <c r="B805" s="16"/>
      <c r="C805" s="16"/>
      <c r="D805" s="16"/>
      <c r="E805" s="16"/>
      <c r="F805" s="16"/>
      <c r="G805" s="16"/>
      <c r="H805" s="16"/>
    </row>
    <row r="806" spans="1:8" x14ac:dyDescent="0.2">
      <c r="A806" s="16"/>
      <c r="B806" s="16"/>
      <c r="C806" s="16"/>
      <c r="D806" s="16"/>
      <c r="E806" s="16"/>
      <c r="F806" s="16"/>
      <c r="G806" s="16"/>
      <c r="H806" s="16"/>
    </row>
    <row r="807" spans="1:8" x14ac:dyDescent="0.2">
      <c r="A807" s="16"/>
      <c r="B807" s="16"/>
      <c r="C807" s="16"/>
      <c r="D807" s="16"/>
      <c r="E807" s="16"/>
      <c r="F807" s="16"/>
      <c r="G807" s="16"/>
      <c r="H807" s="16"/>
    </row>
    <row r="808" spans="1:8" x14ac:dyDescent="0.2">
      <c r="A808" s="16"/>
      <c r="B808" s="16"/>
      <c r="C808" s="16"/>
      <c r="D808" s="16"/>
      <c r="E808" s="16"/>
      <c r="F808" s="16"/>
      <c r="G808" s="16"/>
      <c r="H808" s="16"/>
    </row>
    <row r="809" spans="1:8" x14ac:dyDescent="0.2">
      <c r="A809" s="16"/>
      <c r="B809" s="16"/>
      <c r="C809" s="16"/>
      <c r="D809" s="16"/>
      <c r="E809" s="16"/>
      <c r="F809" s="16"/>
      <c r="G809" s="16"/>
      <c r="H809" s="16"/>
    </row>
    <row r="810" spans="1:8" x14ac:dyDescent="0.2">
      <c r="A810" s="16"/>
      <c r="B810" s="16"/>
      <c r="C810" s="16"/>
      <c r="D810" s="16"/>
      <c r="E810" s="16"/>
      <c r="F810" s="16"/>
      <c r="G810" s="16"/>
      <c r="H810" s="16"/>
    </row>
    <row r="811" spans="1:8" x14ac:dyDescent="0.2">
      <c r="A811" s="16"/>
      <c r="B811" s="16"/>
      <c r="C811" s="16"/>
      <c r="D811" s="16"/>
      <c r="E811" s="16"/>
      <c r="F811" s="16"/>
      <c r="G811" s="16"/>
      <c r="H811" s="16"/>
    </row>
    <row r="812" spans="1:8" x14ac:dyDescent="0.2">
      <c r="A812" s="16"/>
      <c r="B812" s="16"/>
      <c r="C812" s="16"/>
      <c r="D812" s="16"/>
      <c r="E812" s="16"/>
      <c r="F812" s="16"/>
      <c r="G812" s="16"/>
      <c r="H812" s="16"/>
    </row>
    <row r="813" spans="1:8" x14ac:dyDescent="0.2">
      <c r="A813" s="16"/>
      <c r="B813" s="16"/>
      <c r="C813" s="16"/>
      <c r="D813" s="16"/>
      <c r="E813" s="16"/>
      <c r="F813" s="16"/>
      <c r="G813" s="16"/>
      <c r="H813" s="16"/>
    </row>
    <row r="814" spans="1:8" x14ac:dyDescent="0.2">
      <c r="A814" s="16"/>
      <c r="B814" s="16"/>
      <c r="C814" s="16"/>
      <c r="D814" s="16"/>
      <c r="E814" s="16"/>
      <c r="F814" s="16"/>
      <c r="G814" s="16"/>
      <c r="H814" s="16"/>
    </row>
    <row r="815" spans="1:8" x14ac:dyDescent="0.2">
      <c r="A815" s="16"/>
      <c r="B815" s="16"/>
      <c r="C815" s="16"/>
      <c r="D815" s="16"/>
      <c r="E815" s="16"/>
      <c r="F815" s="16"/>
      <c r="G815" s="16"/>
      <c r="H815" s="16"/>
    </row>
    <row r="816" spans="1:8" x14ac:dyDescent="0.2">
      <c r="A816" s="16"/>
      <c r="B816" s="16"/>
      <c r="C816" s="16"/>
      <c r="D816" s="16"/>
      <c r="E816" s="16"/>
      <c r="F816" s="16"/>
      <c r="G816" s="16"/>
      <c r="H816" s="16"/>
    </row>
    <row r="817" spans="1:8" x14ac:dyDescent="0.2">
      <c r="A817" s="16"/>
      <c r="B817" s="16"/>
      <c r="C817" s="16"/>
      <c r="D817" s="16"/>
      <c r="E817" s="16"/>
      <c r="F817" s="16"/>
      <c r="G817" s="16"/>
      <c r="H817" s="16"/>
    </row>
    <row r="818" spans="1:8" x14ac:dyDescent="0.2">
      <c r="A818" s="16"/>
      <c r="B818" s="16"/>
      <c r="C818" s="16"/>
      <c r="D818" s="16"/>
      <c r="E818" s="16"/>
      <c r="F818" s="16"/>
      <c r="G818" s="16"/>
      <c r="H818" s="16"/>
    </row>
    <row r="819" spans="1:8" x14ac:dyDescent="0.2">
      <c r="A819" s="16"/>
      <c r="B819" s="16"/>
      <c r="C819" s="16"/>
      <c r="D819" s="16"/>
      <c r="E819" s="16"/>
      <c r="F819" s="16"/>
      <c r="G819" s="16"/>
      <c r="H819" s="16"/>
    </row>
    <row r="820" spans="1:8" x14ac:dyDescent="0.2">
      <c r="A820" s="16"/>
      <c r="B820" s="16"/>
      <c r="C820" s="16"/>
      <c r="D820" s="16"/>
      <c r="E820" s="16"/>
      <c r="F820" s="16"/>
      <c r="G820" s="16"/>
      <c r="H820" s="16"/>
    </row>
    <row r="821" spans="1:8" x14ac:dyDescent="0.2">
      <c r="A821" s="16"/>
      <c r="B821" s="16"/>
      <c r="C821" s="16"/>
      <c r="D821" s="16"/>
      <c r="E821" s="16"/>
      <c r="F821" s="16"/>
      <c r="G821" s="16"/>
      <c r="H821" s="16"/>
    </row>
    <row r="822" spans="1:8" x14ac:dyDescent="0.2">
      <c r="A822" s="16"/>
      <c r="B822" s="16"/>
      <c r="C822" s="16"/>
      <c r="D822" s="16"/>
      <c r="E822" s="16"/>
      <c r="F822" s="16"/>
      <c r="G822" s="16"/>
      <c r="H822" s="16"/>
    </row>
    <row r="823" spans="1:8" x14ac:dyDescent="0.2">
      <c r="A823" s="16"/>
      <c r="B823" s="16"/>
      <c r="C823" s="16"/>
      <c r="D823" s="16"/>
      <c r="E823" s="16"/>
      <c r="F823" s="16"/>
      <c r="G823" s="16"/>
      <c r="H823" s="16"/>
    </row>
    <row r="824" spans="1:8" x14ac:dyDescent="0.2">
      <c r="A824" s="16"/>
      <c r="B824" s="16"/>
      <c r="C824" s="16"/>
      <c r="D824" s="16"/>
      <c r="E824" s="16"/>
      <c r="F824" s="16"/>
      <c r="G824" s="16"/>
      <c r="H824" s="16"/>
    </row>
    <row r="825" spans="1:8" x14ac:dyDescent="0.2">
      <c r="A825" s="16"/>
      <c r="B825" s="16"/>
      <c r="C825" s="16"/>
      <c r="D825" s="16"/>
      <c r="E825" s="16"/>
      <c r="F825" s="16"/>
      <c r="G825" s="16"/>
      <c r="H825" s="16"/>
    </row>
    <row r="826" spans="1:8" x14ac:dyDescent="0.2">
      <c r="A826" s="16"/>
      <c r="B826" s="16"/>
      <c r="C826" s="16"/>
      <c r="D826" s="16"/>
      <c r="E826" s="16"/>
      <c r="F826" s="16"/>
      <c r="G826" s="16"/>
      <c r="H826" s="16"/>
    </row>
    <row r="827" spans="1:8" x14ac:dyDescent="0.2">
      <c r="A827" s="16"/>
      <c r="B827" s="16"/>
      <c r="C827" s="16"/>
      <c r="D827" s="16"/>
      <c r="E827" s="16"/>
      <c r="F827" s="16"/>
      <c r="G827" s="16"/>
      <c r="H827" s="16"/>
    </row>
    <row r="828" spans="1:8" x14ac:dyDescent="0.2">
      <c r="A828" s="16"/>
      <c r="B828" s="16"/>
      <c r="C828" s="16"/>
      <c r="D828" s="16"/>
      <c r="E828" s="16"/>
      <c r="F828" s="16"/>
      <c r="G828" s="16"/>
      <c r="H828" s="16"/>
    </row>
    <row r="829" spans="1:8" x14ac:dyDescent="0.2">
      <c r="A829" s="16"/>
      <c r="B829" s="16"/>
      <c r="C829" s="16"/>
      <c r="D829" s="16"/>
      <c r="E829" s="16"/>
      <c r="F829" s="16"/>
      <c r="G829" s="16"/>
      <c r="H829" s="16"/>
    </row>
    <row r="830" spans="1:8" x14ac:dyDescent="0.2">
      <c r="A830" s="16"/>
      <c r="B830" s="16"/>
      <c r="C830" s="16"/>
      <c r="D830" s="16"/>
      <c r="E830" s="16"/>
      <c r="F830" s="16"/>
      <c r="G830" s="16"/>
      <c r="H830" s="16"/>
    </row>
    <row r="831" spans="1:8" x14ac:dyDescent="0.2">
      <c r="A831" s="16"/>
      <c r="B831" s="16"/>
      <c r="C831" s="16"/>
      <c r="D831" s="16"/>
      <c r="E831" s="16"/>
      <c r="F831" s="16"/>
      <c r="G831" s="16"/>
      <c r="H831" s="16"/>
    </row>
    <row r="832" spans="1:8" x14ac:dyDescent="0.2">
      <c r="A832" s="16"/>
      <c r="B832" s="16"/>
      <c r="C832" s="16"/>
      <c r="D832" s="16"/>
      <c r="E832" s="16"/>
      <c r="F832" s="16"/>
      <c r="G832" s="16"/>
      <c r="H832" s="16"/>
    </row>
    <row r="833" spans="1:8" x14ac:dyDescent="0.2">
      <c r="A833" s="16"/>
      <c r="B833" s="16"/>
      <c r="C833" s="16"/>
      <c r="D833" s="16"/>
      <c r="E833" s="16"/>
      <c r="F833" s="16"/>
      <c r="G833" s="16"/>
      <c r="H833" s="16"/>
    </row>
    <row r="834" spans="1:8" x14ac:dyDescent="0.2">
      <c r="A834" s="16"/>
      <c r="B834" s="16"/>
      <c r="C834" s="16"/>
      <c r="D834" s="16"/>
      <c r="E834" s="16"/>
      <c r="F834" s="16"/>
      <c r="G834" s="16"/>
      <c r="H834" s="16"/>
    </row>
    <row r="835" spans="1:8" x14ac:dyDescent="0.2">
      <c r="A835" s="16"/>
      <c r="B835" s="16"/>
      <c r="C835" s="16"/>
      <c r="D835" s="16"/>
      <c r="E835" s="16"/>
      <c r="F835" s="16"/>
      <c r="G835" s="16"/>
      <c r="H835" s="16"/>
    </row>
    <row r="836" spans="1:8" x14ac:dyDescent="0.2">
      <c r="A836" s="16"/>
      <c r="B836" s="16"/>
      <c r="C836" s="16"/>
      <c r="D836" s="16"/>
      <c r="E836" s="16"/>
      <c r="F836" s="16"/>
      <c r="G836" s="16"/>
      <c r="H836" s="16"/>
    </row>
    <row r="837" spans="1:8" x14ac:dyDescent="0.2">
      <c r="A837" s="16"/>
      <c r="B837" s="16"/>
      <c r="C837" s="16"/>
      <c r="D837" s="16"/>
      <c r="E837" s="16"/>
      <c r="F837" s="16"/>
      <c r="G837" s="16"/>
      <c r="H837" s="16"/>
    </row>
    <row r="838" spans="1:8" x14ac:dyDescent="0.2">
      <c r="A838" s="16"/>
      <c r="B838" s="16"/>
      <c r="C838" s="16"/>
      <c r="D838" s="16"/>
      <c r="E838" s="16"/>
      <c r="F838" s="16"/>
      <c r="G838" s="16"/>
      <c r="H838" s="16"/>
    </row>
    <row r="839" spans="1:8" x14ac:dyDescent="0.2">
      <c r="A839" s="16"/>
      <c r="B839" s="16"/>
      <c r="C839" s="16"/>
      <c r="D839" s="16"/>
      <c r="E839" s="16"/>
      <c r="F839" s="16"/>
      <c r="G839" s="16"/>
      <c r="H839" s="16"/>
    </row>
    <row r="840" spans="1:8" x14ac:dyDescent="0.2">
      <c r="A840" s="16"/>
      <c r="B840" s="16"/>
      <c r="C840" s="16"/>
      <c r="D840" s="16"/>
      <c r="E840" s="16"/>
      <c r="F840" s="16"/>
      <c r="G840" s="16"/>
      <c r="H840" s="16"/>
    </row>
    <row r="841" spans="1:8" x14ac:dyDescent="0.2">
      <c r="A841" s="16"/>
      <c r="B841" s="16"/>
      <c r="C841" s="16"/>
      <c r="D841" s="16"/>
      <c r="E841" s="16"/>
      <c r="F841" s="16"/>
      <c r="G841" s="16"/>
      <c r="H841" s="16"/>
    </row>
    <row r="842" spans="1:8" x14ac:dyDescent="0.2">
      <c r="A842" s="16"/>
      <c r="B842" s="16"/>
      <c r="C842" s="16"/>
      <c r="D842" s="16"/>
      <c r="E842" s="16"/>
      <c r="F842" s="16"/>
      <c r="G842" s="16"/>
      <c r="H842" s="16"/>
    </row>
    <row r="843" spans="1:8" x14ac:dyDescent="0.2">
      <c r="A843" s="16"/>
      <c r="B843" s="16"/>
      <c r="C843" s="16"/>
      <c r="D843" s="16"/>
      <c r="E843" s="16"/>
      <c r="F843" s="16"/>
      <c r="G843" s="16"/>
      <c r="H843" s="16"/>
    </row>
    <row r="844" spans="1:8" x14ac:dyDescent="0.2">
      <c r="A844" s="16"/>
      <c r="B844" s="16"/>
      <c r="C844" s="16"/>
      <c r="D844" s="16"/>
      <c r="E844" s="16"/>
      <c r="F844" s="16"/>
      <c r="G844" s="16"/>
      <c r="H844" s="16"/>
    </row>
    <row r="845" spans="1:8" x14ac:dyDescent="0.2">
      <c r="A845" s="16"/>
      <c r="B845" s="16"/>
      <c r="C845" s="16"/>
      <c r="D845" s="16"/>
      <c r="E845" s="16"/>
      <c r="F845" s="16"/>
      <c r="G845" s="16"/>
      <c r="H845" s="16"/>
    </row>
    <row r="846" spans="1:8" x14ac:dyDescent="0.2">
      <c r="A846" s="16"/>
      <c r="B846" s="16"/>
      <c r="C846" s="16"/>
      <c r="D846" s="16"/>
      <c r="E846" s="16"/>
      <c r="F846" s="16"/>
      <c r="G846" s="16"/>
      <c r="H846" s="16"/>
    </row>
    <row r="847" spans="1:8" x14ac:dyDescent="0.2">
      <c r="A847" s="16"/>
      <c r="B847" s="16"/>
      <c r="C847" s="16"/>
      <c r="D847" s="16"/>
      <c r="E847" s="16"/>
      <c r="F847" s="16"/>
      <c r="G847" s="16"/>
      <c r="H847" s="16"/>
    </row>
    <row r="848" spans="1:8" x14ac:dyDescent="0.2">
      <c r="A848" s="16"/>
      <c r="B848" s="16"/>
      <c r="C848" s="16"/>
      <c r="D848" s="16"/>
      <c r="E848" s="16"/>
      <c r="F848" s="16"/>
      <c r="G848" s="16"/>
      <c r="H848" s="16"/>
    </row>
    <row r="849" spans="1:8" x14ac:dyDescent="0.2">
      <c r="A849" s="16"/>
      <c r="B849" s="16"/>
      <c r="C849" s="16"/>
      <c r="D849" s="16"/>
      <c r="E849" s="16"/>
      <c r="F849" s="16"/>
      <c r="G849" s="16"/>
      <c r="H849" s="16"/>
    </row>
    <row r="850" spans="1:8" x14ac:dyDescent="0.2">
      <c r="A850" s="16"/>
      <c r="B850" s="16"/>
      <c r="C850" s="16"/>
      <c r="D850" s="16"/>
      <c r="E850" s="16"/>
      <c r="F850" s="16"/>
      <c r="G850" s="16"/>
      <c r="H850" s="16"/>
    </row>
    <row r="851" spans="1:8" x14ac:dyDescent="0.2">
      <c r="A851" s="16"/>
      <c r="B851" s="16"/>
      <c r="C851" s="16"/>
      <c r="D851" s="16"/>
      <c r="E851" s="16"/>
      <c r="F851" s="16"/>
      <c r="G851" s="16"/>
      <c r="H851" s="16"/>
    </row>
    <row r="852" spans="1:8" x14ac:dyDescent="0.2">
      <c r="A852" s="16"/>
      <c r="B852" s="16"/>
      <c r="C852" s="16"/>
      <c r="D852" s="16"/>
      <c r="E852" s="16"/>
      <c r="F852" s="16"/>
      <c r="G852" s="16"/>
      <c r="H852" s="16"/>
    </row>
    <row r="853" spans="1:8" x14ac:dyDescent="0.2">
      <c r="A853" s="16"/>
      <c r="B853" s="16"/>
      <c r="C853" s="16"/>
      <c r="D853" s="16"/>
      <c r="E853" s="16"/>
      <c r="F853" s="16"/>
      <c r="G853" s="16"/>
      <c r="H853" s="16"/>
    </row>
    <row r="854" spans="1:8" x14ac:dyDescent="0.2">
      <c r="A854" s="16"/>
      <c r="B854" s="16"/>
      <c r="C854" s="16"/>
      <c r="D854" s="16"/>
      <c r="E854" s="16"/>
      <c r="F854" s="16"/>
      <c r="G854" s="16"/>
      <c r="H854" s="16"/>
    </row>
    <row r="855" spans="1:8" x14ac:dyDescent="0.2">
      <c r="A855" s="16"/>
      <c r="B855" s="16"/>
      <c r="C855" s="16"/>
      <c r="D855" s="16"/>
      <c r="E855" s="16"/>
      <c r="F855" s="16"/>
      <c r="G855" s="16"/>
      <c r="H855" s="16"/>
    </row>
    <row r="856" spans="1:8" x14ac:dyDescent="0.2">
      <c r="A856" s="16"/>
      <c r="B856" s="16"/>
      <c r="C856" s="16"/>
      <c r="D856" s="16"/>
      <c r="E856" s="16"/>
      <c r="F856" s="16"/>
      <c r="G856" s="16"/>
      <c r="H856" s="16"/>
    </row>
    <row r="857" spans="1:8" x14ac:dyDescent="0.2">
      <c r="A857" s="16"/>
      <c r="B857" s="16"/>
      <c r="C857" s="16"/>
      <c r="D857" s="16"/>
      <c r="E857" s="16"/>
      <c r="F857" s="16"/>
      <c r="G857" s="16"/>
      <c r="H857" s="16"/>
    </row>
    <row r="858" spans="1:8" x14ac:dyDescent="0.2">
      <c r="A858" s="16"/>
      <c r="B858" s="16"/>
      <c r="C858" s="16"/>
      <c r="D858" s="16"/>
      <c r="E858" s="16"/>
      <c r="F858" s="16"/>
      <c r="G858" s="16"/>
      <c r="H858" s="16"/>
    </row>
    <row r="859" spans="1:8" x14ac:dyDescent="0.2">
      <c r="A859" s="16"/>
      <c r="B859" s="16"/>
      <c r="C859" s="16"/>
      <c r="D859" s="16"/>
      <c r="E859" s="16"/>
      <c r="F859" s="16"/>
      <c r="G859" s="16"/>
      <c r="H859" s="16"/>
    </row>
    <row r="860" spans="1:8" x14ac:dyDescent="0.2">
      <c r="A860" s="16"/>
      <c r="B860" s="16"/>
      <c r="C860" s="16"/>
      <c r="D860" s="16"/>
      <c r="E860" s="16"/>
      <c r="F860" s="16"/>
      <c r="G860" s="16"/>
      <c r="H860" s="16"/>
    </row>
    <row r="861" spans="1:8" x14ac:dyDescent="0.2">
      <c r="A861" s="16"/>
      <c r="B861" s="16"/>
      <c r="C861" s="16"/>
      <c r="D861" s="16"/>
      <c r="E861" s="16"/>
      <c r="F861" s="16"/>
      <c r="G861" s="16"/>
      <c r="H861" s="16"/>
    </row>
    <row r="862" spans="1:8" x14ac:dyDescent="0.2">
      <c r="A862" s="16"/>
      <c r="B862" s="16"/>
      <c r="C862" s="16"/>
      <c r="D862" s="16"/>
      <c r="E862" s="16"/>
      <c r="F862" s="16"/>
      <c r="G862" s="16"/>
      <c r="H862" s="16"/>
    </row>
    <row r="863" spans="1:8" x14ac:dyDescent="0.2">
      <c r="A863" s="16"/>
      <c r="B863" s="16"/>
      <c r="C863" s="16"/>
      <c r="D863" s="16"/>
      <c r="E863" s="16"/>
      <c r="F863" s="16"/>
      <c r="G863" s="16"/>
      <c r="H863" s="16"/>
    </row>
    <row r="864" spans="1:8" x14ac:dyDescent="0.2">
      <c r="A864" s="16"/>
      <c r="B864" s="16"/>
      <c r="C864" s="16"/>
      <c r="D864" s="16"/>
      <c r="E864" s="16"/>
      <c r="F864" s="16"/>
      <c r="G864" s="16"/>
      <c r="H864" s="16"/>
    </row>
    <row r="865" spans="1:8" x14ac:dyDescent="0.2">
      <c r="A865" s="16"/>
      <c r="B865" s="16"/>
      <c r="C865" s="16"/>
      <c r="D865" s="16"/>
      <c r="E865" s="16"/>
      <c r="F865" s="16"/>
      <c r="G865" s="16"/>
      <c r="H865" s="16"/>
    </row>
    <row r="866" spans="1:8" x14ac:dyDescent="0.2">
      <c r="A866" s="16"/>
      <c r="B866" s="16"/>
      <c r="C866" s="16"/>
      <c r="D866" s="16"/>
      <c r="E866" s="16"/>
      <c r="F866" s="16"/>
      <c r="G866" s="16"/>
      <c r="H866" s="16"/>
    </row>
    <row r="867" spans="1:8" x14ac:dyDescent="0.2">
      <c r="A867" s="16"/>
      <c r="B867" s="16"/>
      <c r="C867" s="16"/>
      <c r="D867" s="16"/>
      <c r="E867" s="16"/>
      <c r="F867" s="16"/>
      <c r="G867" s="16"/>
      <c r="H867" s="16"/>
    </row>
    <row r="868" spans="1:8" x14ac:dyDescent="0.2">
      <c r="A868" s="16"/>
      <c r="B868" s="16"/>
      <c r="C868" s="16"/>
      <c r="D868" s="16"/>
      <c r="E868" s="16"/>
      <c r="F868" s="16"/>
      <c r="G868" s="16"/>
      <c r="H868" s="16"/>
    </row>
    <row r="869" spans="1:8" x14ac:dyDescent="0.2">
      <c r="A869" s="16"/>
      <c r="B869" s="16"/>
      <c r="C869" s="16"/>
      <c r="D869" s="16"/>
      <c r="E869" s="16"/>
      <c r="F869" s="16"/>
      <c r="G869" s="16"/>
      <c r="H869" s="16"/>
    </row>
    <row r="870" spans="1:8" x14ac:dyDescent="0.2">
      <c r="A870" s="16"/>
      <c r="B870" s="16"/>
      <c r="C870" s="16"/>
      <c r="D870" s="16"/>
      <c r="E870" s="16"/>
      <c r="F870" s="16"/>
      <c r="G870" s="16"/>
      <c r="H870" s="16"/>
    </row>
    <row r="871" spans="1:8" x14ac:dyDescent="0.2">
      <c r="A871" s="16"/>
      <c r="B871" s="16"/>
      <c r="C871" s="16"/>
      <c r="D871" s="16"/>
      <c r="E871" s="16"/>
      <c r="F871" s="16"/>
      <c r="G871" s="16"/>
      <c r="H871" s="16"/>
    </row>
    <row r="872" spans="1:8" x14ac:dyDescent="0.2">
      <c r="A872" s="16"/>
      <c r="B872" s="16"/>
      <c r="C872" s="16"/>
      <c r="D872" s="16"/>
      <c r="E872" s="16"/>
      <c r="F872" s="16"/>
      <c r="G872" s="16"/>
      <c r="H872" s="16"/>
    </row>
    <row r="873" spans="1:8" x14ac:dyDescent="0.2">
      <c r="A873" s="16"/>
      <c r="B873" s="16"/>
      <c r="C873" s="16"/>
      <c r="D873" s="16"/>
      <c r="E873" s="16"/>
      <c r="F873" s="16"/>
      <c r="G873" s="16"/>
      <c r="H873" s="16"/>
    </row>
    <row r="874" spans="1:8" x14ac:dyDescent="0.2">
      <c r="A874" s="16"/>
      <c r="B874" s="16"/>
      <c r="C874" s="16"/>
      <c r="D874" s="16"/>
      <c r="E874" s="16"/>
      <c r="F874" s="16"/>
      <c r="G874" s="16"/>
      <c r="H874" s="16"/>
    </row>
    <row r="875" spans="1:8" x14ac:dyDescent="0.2">
      <c r="A875" s="16"/>
      <c r="B875" s="16"/>
      <c r="C875" s="16"/>
      <c r="D875" s="16"/>
      <c r="E875" s="16"/>
      <c r="F875" s="16"/>
      <c r="G875" s="16"/>
      <c r="H875" s="16"/>
    </row>
    <row r="876" spans="1:8" x14ac:dyDescent="0.2">
      <c r="A876" s="16"/>
      <c r="B876" s="16"/>
      <c r="C876" s="16"/>
      <c r="D876" s="16"/>
      <c r="E876" s="16"/>
      <c r="F876" s="16"/>
      <c r="G876" s="16"/>
      <c r="H876" s="16"/>
    </row>
    <row r="877" spans="1:8" x14ac:dyDescent="0.2">
      <c r="A877" s="16"/>
      <c r="B877" s="16"/>
      <c r="C877" s="16"/>
      <c r="D877" s="16"/>
      <c r="E877" s="16"/>
      <c r="F877" s="16"/>
      <c r="G877" s="16"/>
      <c r="H877" s="16"/>
    </row>
    <row r="878" spans="1:8" x14ac:dyDescent="0.2">
      <c r="A878" s="16"/>
      <c r="B878" s="16"/>
      <c r="C878" s="16"/>
      <c r="D878" s="16"/>
      <c r="E878" s="16"/>
      <c r="F878" s="16"/>
      <c r="G878" s="16"/>
      <c r="H878" s="16"/>
    </row>
    <row r="879" spans="1:8" x14ac:dyDescent="0.2">
      <c r="A879" s="16"/>
      <c r="B879" s="16"/>
      <c r="C879" s="16"/>
      <c r="D879" s="16"/>
      <c r="E879" s="16"/>
      <c r="F879" s="16"/>
      <c r="G879" s="16"/>
      <c r="H879" s="16"/>
    </row>
    <row r="880" spans="1:8" x14ac:dyDescent="0.2">
      <c r="A880" s="16"/>
      <c r="B880" s="16"/>
      <c r="C880" s="16"/>
      <c r="D880" s="16"/>
      <c r="E880" s="16"/>
      <c r="F880" s="16"/>
      <c r="G880" s="16"/>
      <c r="H880" s="16"/>
    </row>
    <row r="881" spans="1:8" x14ac:dyDescent="0.2">
      <c r="A881" s="16"/>
      <c r="B881" s="16"/>
      <c r="C881" s="16"/>
      <c r="D881" s="16"/>
      <c r="E881" s="16"/>
      <c r="F881" s="16"/>
      <c r="G881" s="16"/>
      <c r="H881" s="16"/>
    </row>
    <row r="882" spans="1:8" x14ac:dyDescent="0.2">
      <c r="A882" s="16"/>
      <c r="B882" s="16"/>
      <c r="C882" s="16"/>
      <c r="D882" s="16"/>
      <c r="E882" s="16"/>
      <c r="F882" s="16"/>
      <c r="G882" s="16"/>
      <c r="H882" s="16"/>
    </row>
    <row r="883" spans="1:8" x14ac:dyDescent="0.2">
      <c r="A883" s="16"/>
      <c r="B883" s="16"/>
      <c r="C883" s="16"/>
      <c r="D883" s="16"/>
      <c r="E883" s="16"/>
      <c r="F883" s="16"/>
      <c r="G883" s="16"/>
      <c r="H883" s="16"/>
    </row>
    <row r="884" spans="1:8" x14ac:dyDescent="0.2">
      <c r="A884" s="16"/>
      <c r="B884" s="16"/>
      <c r="C884" s="16"/>
      <c r="D884" s="16"/>
      <c r="E884" s="16"/>
      <c r="F884" s="16"/>
      <c r="G884" s="16"/>
      <c r="H884" s="16"/>
    </row>
    <row r="885" spans="1:8" x14ac:dyDescent="0.2">
      <c r="A885" s="16"/>
      <c r="B885" s="16"/>
      <c r="C885" s="16"/>
      <c r="D885" s="16"/>
      <c r="E885" s="16"/>
      <c r="F885" s="16"/>
      <c r="G885" s="16"/>
      <c r="H885" s="16"/>
    </row>
    <row r="886" spans="1:8" x14ac:dyDescent="0.2">
      <c r="A886" s="16"/>
      <c r="B886" s="16"/>
      <c r="C886" s="16"/>
      <c r="D886" s="16"/>
      <c r="E886" s="16"/>
      <c r="F886" s="16"/>
      <c r="G886" s="16"/>
      <c r="H886" s="16"/>
    </row>
    <row r="887" spans="1:8" x14ac:dyDescent="0.2">
      <c r="A887" s="16"/>
      <c r="B887" s="16"/>
      <c r="C887" s="16"/>
      <c r="D887" s="16"/>
      <c r="E887" s="16"/>
      <c r="F887" s="16"/>
      <c r="G887" s="16"/>
      <c r="H887" s="16"/>
    </row>
    <row r="888" spans="1:8" x14ac:dyDescent="0.2">
      <c r="A888" s="16"/>
      <c r="B888" s="16"/>
      <c r="C888" s="16"/>
      <c r="D888" s="16"/>
      <c r="E888" s="16"/>
      <c r="F888" s="16"/>
      <c r="G888" s="16"/>
      <c r="H888" s="16"/>
    </row>
    <row r="889" spans="1:8" x14ac:dyDescent="0.2">
      <c r="A889" s="16"/>
      <c r="B889" s="16"/>
      <c r="C889" s="16"/>
      <c r="D889" s="16"/>
      <c r="E889" s="16"/>
      <c r="F889" s="16"/>
      <c r="G889" s="16"/>
      <c r="H889" s="16"/>
    </row>
    <row r="890" spans="1:8" x14ac:dyDescent="0.2">
      <c r="A890" s="16"/>
      <c r="B890" s="16"/>
      <c r="C890" s="16"/>
      <c r="D890" s="16"/>
      <c r="E890" s="16"/>
      <c r="F890" s="16"/>
      <c r="G890" s="16"/>
      <c r="H890" s="16"/>
    </row>
    <row r="891" spans="1:8" x14ac:dyDescent="0.2">
      <c r="A891" s="16"/>
      <c r="B891" s="16"/>
      <c r="C891" s="16"/>
      <c r="D891" s="16"/>
      <c r="E891" s="16"/>
      <c r="F891" s="16"/>
      <c r="G891" s="16"/>
      <c r="H891" s="16"/>
    </row>
    <row r="892" spans="1:8" x14ac:dyDescent="0.2">
      <c r="A892" s="16"/>
      <c r="B892" s="16"/>
      <c r="C892" s="16"/>
      <c r="D892" s="16"/>
      <c r="E892" s="16"/>
      <c r="F892" s="16"/>
      <c r="G892" s="16"/>
      <c r="H892" s="16"/>
    </row>
    <row r="893" spans="1:8" x14ac:dyDescent="0.2">
      <c r="A893" s="16"/>
      <c r="B893" s="16"/>
      <c r="C893" s="16"/>
      <c r="D893" s="16"/>
      <c r="E893" s="16"/>
      <c r="F893" s="16"/>
      <c r="G893" s="16"/>
      <c r="H893" s="16"/>
    </row>
    <row r="894" spans="1:8" x14ac:dyDescent="0.2">
      <c r="A894" s="16"/>
      <c r="B894" s="16"/>
      <c r="C894" s="16"/>
      <c r="D894" s="16"/>
      <c r="E894" s="16"/>
      <c r="F894" s="16"/>
      <c r="G894" s="16"/>
      <c r="H894" s="16"/>
    </row>
    <row r="895" spans="1:8" x14ac:dyDescent="0.2">
      <c r="A895" s="16"/>
      <c r="B895" s="16"/>
      <c r="C895" s="16"/>
      <c r="D895" s="16"/>
      <c r="E895" s="16"/>
      <c r="F895" s="16"/>
      <c r="G895" s="16"/>
      <c r="H895" s="16"/>
    </row>
    <row r="896" spans="1:8" x14ac:dyDescent="0.2">
      <c r="A896" s="16"/>
      <c r="B896" s="16"/>
      <c r="C896" s="16"/>
      <c r="D896" s="16"/>
      <c r="E896" s="16"/>
      <c r="F896" s="16"/>
      <c r="G896" s="16"/>
      <c r="H896" s="16"/>
    </row>
    <row r="897" spans="1:8" x14ac:dyDescent="0.2">
      <c r="A897" s="16"/>
      <c r="B897" s="16"/>
      <c r="C897" s="16"/>
      <c r="D897" s="16"/>
      <c r="E897" s="16"/>
      <c r="F897" s="16"/>
      <c r="G897" s="16"/>
      <c r="H897" s="16"/>
    </row>
    <row r="898" spans="1:8" x14ac:dyDescent="0.2">
      <c r="A898" s="16"/>
      <c r="B898" s="16"/>
      <c r="C898" s="16"/>
      <c r="D898" s="16"/>
      <c r="E898" s="16"/>
      <c r="F898" s="16"/>
      <c r="G898" s="16"/>
      <c r="H898" s="16"/>
    </row>
    <row r="899" spans="1:8" x14ac:dyDescent="0.2">
      <c r="A899" s="16"/>
      <c r="B899" s="16"/>
      <c r="C899" s="16"/>
      <c r="D899" s="16"/>
      <c r="E899" s="16"/>
      <c r="F899" s="16"/>
      <c r="G899" s="16"/>
      <c r="H899" s="16"/>
    </row>
    <row r="900" spans="1:8" x14ac:dyDescent="0.2">
      <c r="A900" s="16"/>
      <c r="B900" s="16"/>
      <c r="C900" s="16"/>
      <c r="D900" s="16"/>
      <c r="E900" s="16"/>
      <c r="F900" s="16"/>
      <c r="G900" s="16"/>
      <c r="H900" s="16"/>
    </row>
    <row r="901" spans="1:8" x14ac:dyDescent="0.2">
      <c r="A901" s="16"/>
      <c r="B901" s="16"/>
      <c r="C901" s="16"/>
      <c r="D901" s="16"/>
      <c r="E901" s="16"/>
      <c r="F901" s="16"/>
      <c r="G901" s="16"/>
      <c r="H901" s="16"/>
    </row>
    <row r="902" spans="1:8" x14ac:dyDescent="0.2">
      <c r="A902" s="16"/>
      <c r="B902" s="16"/>
      <c r="C902" s="16"/>
      <c r="D902" s="16"/>
      <c r="E902" s="16"/>
      <c r="F902" s="16"/>
      <c r="G902" s="16"/>
      <c r="H902" s="16"/>
    </row>
    <row r="903" spans="1:8" x14ac:dyDescent="0.2">
      <c r="A903" s="16"/>
      <c r="B903" s="16"/>
      <c r="C903" s="16"/>
      <c r="D903" s="16"/>
      <c r="E903" s="16"/>
      <c r="F903" s="16"/>
      <c r="G903" s="16"/>
      <c r="H903" s="16"/>
    </row>
    <row r="904" spans="1:8" x14ac:dyDescent="0.2">
      <c r="A904" s="16"/>
      <c r="B904" s="16"/>
      <c r="C904" s="16"/>
      <c r="D904" s="16"/>
      <c r="E904" s="16"/>
      <c r="F904" s="16"/>
      <c r="G904" s="16"/>
      <c r="H904" s="16"/>
    </row>
    <row r="905" spans="1:8" x14ac:dyDescent="0.2">
      <c r="A905" s="16"/>
      <c r="B905" s="16"/>
      <c r="C905" s="16"/>
      <c r="D905" s="16"/>
      <c r="E905" s="16"/>
      <c r="F905" s="16"/>
      <c r="G905" s="16"/>
      <c r="H905" s="16"/>
    </row>
    <row r="906" spans="1:8" x14ac:dyDescent="0.2">
      <c r="A906" s="16"/>
      <c r="B906" s="16"/>
      <c r="C906" s="16"/>
      <c r="D906" s="16"/>
      <c r="E906" s="16"/>
      <c r="F906" s="16"/>
      <c r="G906" s="16"/>
      <c r="H906" s="16"/>
    </row>
    <row r="907" spans="1:8" x14ac:dyDescent="0.2">
      <c r="A907" s="16"/>
      <c r="B907" s="16"/>
      <c r="C907" s="16"/>
      <c r="D907" s="16"/>
      <c r="E907" s="16"/>
      <c r="F907" s="16"/>
      <c r="G907" s="16"/>
      <c r="H907" s="16"/>
    </row>
    <row r="908" spans="1:8" x14ac:dyDescent="0.2">
      <c r="A908" s="16"/>
      <c r="B908" s="16"/>
      <c r="C908" s="16"/>
      <c r="D908" s="16"/>
      <c r="E908" s="16"/>
      <c r="F908" s="16"/>
      <c r="G908" s="16"/>
      <c r="H908" s="16"/>
    </row>
    <row r="909" spans="1:8" x14ac:dyDescent="0.2">
      <c r="A909" s="16"/>
      <c r="B909" s="16"/>
      <c r="C909" s="16"/>
      <c r="D909" s="16"/>
      <c r="E909" s="16"/>
      <c r="F909" s="16"/>
      <c r="G909" s="16"/>
      <c r="H909" s="16"/>
    </row>
    <row r="910" spans="1:8" x14ac:dyDescent="0.2">
      <c r="A910" s="16"/>
      <c r="B910" s="16"/>
      <c r="C910" s="16"/>
      <c r="D910" s="16"/>
      <c r="E910" s="16"/>
      <c r="F910" s="16"/>
      <c r="G910" s="16"/>
      <c r="H910" s="16"/>
    </row>
    <row r="911" spans="1:8" x14ac:dyDescent="0.2">
      <c r="A911" s="16"/>
      <c r="B911" s="16"/>
      <c r="C911" s="16"/>
      <c r="D911" s="16"/>
      <c r="E911" s="16"/>
      <c r="F911" s="16"/>
      <c r="G911" s="16"/>
      <c r="H911" s="16"/>
    </row>
    <row r="912" spans="1:8" x14ac:dyDescent="0.2">
      <c r="A912" s="16"/>
      <c r="B912" s="16"/>
      <c r="C912" s="16"/>
      <c r="D912" s="16"/>
      <c r="E912" s="16"/>
      <c r="F912" s="16"/>
      <c r="G912" s="16"/>
      <c r="H912" s="16"/>
    </row>
    <row r="913" spans="1:8" x14ac:dyDescent="0.2">
      <c r="A913" s="16"/>
      <c r="B913" s="16"/>
      <c r="C913" s="16"/>
      <c r="D913" s="16"/>
      <c r="E913" s="16"/>
      <c r="F913" s="16"/>
      <c r="G913" s="16"/>
      <c r="H913" s="16"/>
    </row>
    <row r="914" spans="1:8" x14ac:dyDescent="0.2">
      <c r="A914" s="16"/>
      <c r="B914" s="16"/>
      <c r="C914" s="16"/>
      <c r="D914" s="16"/>
      <c r="E914" s="16"/>
      <c r="F914" s="16"/>
      <c r="G914" s="16"/>
      <c r="H914" s="16"/>
    </row>
    <row r="915" spans="1:8" x14ac:dyDescent="0.2">
      <c r="A915" s="16"/>
      <c r="B915" s="16"/>
      <c r="C915" s="16"/>
      <c r="D915" s="16"/>
      <c r="E915" s="16"/>
      <c r="F915" s="16"/>
      <c r="G915" s="16"/>
      <c r="H915" s="16"/>
    </row>
    <row r="916" spans="1:8" x14ac:dyDescent="0.2">
      <c r="A916" s="16"/>
      <c r="B916" s="16"/>
      <c r="C916" s="16"/>
      <c r="D916" s="16"/>
      <c r="E916" s="16"/>
      <c r="F916" s="16"/>
      <c r="G916" s="16"/>
      <c r="H916" s="16"/>
    </row>
    <row r="917" spans="1:8" x14ac:dyDescent="0.2">
      <c r="A917" s="16"/>
      <c r="B917" s="16"/>
      <c r="C917" s="16"/>
      <c r="D917" s="16"/>
      <c r="E917" s="16"/>
      <c r="F917" s="16"/>
      <c r="G917" s="17"/>
      <c r="H917" s="17"/>
    </row>
    <row r="918" spans="1:8" x14ac:dyDescent="0.2">
      <c r="A918" s="16"/>
      <c r="B918" s="16"/>
      <c r="C918" s="16"/>
      <c r="D918" s="16"/>
      <c r="E918" s="16"/>
      <c r="F918" s="16"/>
      <c r="G918" s="17"/>
      <c r="H918" s="17"/>
    </row>
    <row r="919" spans="1:8" x14ac:dyDescent="0.2">
      <c r="A919" s="16"/>
      <c r="B919" s="16"/>
      <c r="C919" s="16"/>
      <c r="D919" s="16"/>
      <c r="E919" s="16"/>
      <c r="F919" s="16"/>
      <c r="G919" s="17"/>
      <c r="H919" s="17"/>
    </row>
    <row r="920" spans="1:8" x14ac:dyDescent="0.2">
      <c r="A920" s="16"/>
      <c r="B920" s="16"/>
      <c r="C920" s="16"/>
      <c r="D920" s="16"/>
      <c r="E920" s="16"/>
      <c r="F920" s="16"/>
      <c r="G920" s="17"/>
      <c r="H920" s="17"/>
    </row>
    <row r="921" spans="1:8" x14ac:dyDescent="0.2">
      <c r="A921" s="16"/>
      <c r="B921" s="16"/>
      <c r="C921" s="16"/>
      <c r="D921" s="16"/>
      <c r="E921" s="16"/>
      <c r="F921" s="16"/>
      <c r="G921" s="17"/>
      <c r="H921" s="17"/>
    </row>
    <row r="922" spans="1:8" x14ac:dyDescent="0.2">
      <c r="A922" s="16"/>
      <c r="B922" s="16"/>
      <c r="C922" s="16"/>
      <c r="D922" s="16"/>
      <c r="E922" s="16"/>
      <c r="F922" s="16"/>
      <c r="G922" s="17"/>
      <c r="H922" s="17"/>
    </row>
    <row r="923" spans="1:8" x14ac:dyDescent="0.2">
      <c r="A923" s="16"/>
      <c r="B923" s="16"/>
      <c r="C923" s="16"/>
      <c r="D923" s="16"/>
      <c r="E923" s="16"/>
      <c r="F923" s="16"/>
      <c r="G923" s="17"/>
      <c r="H923" s="17"/>
    </row>
    <row r="924" spans="1:8" x14ac:dyDescent="0.2">
      <c r="A924" s="16"/>
      <c r="B924" s="16"/>
      <c r="C924" s="16"/>
      <c r="D924" s="16"/>
      <c r="E924" s="16"/>
      <c r="F924" s="16"/>
      <c r="G924" s="17"/>
      <c r="H924" s="17"/>
    </row>
    <row r="925" spans="1:8" x14ac:dyDescent="0.2">
      <c r="A925" s="16"/>
      <c r="B925" s="16"/>
      <c r="C925" s="17"/>
      <c r="D925" s="17"/>
      <c r="E925" s="17"/>
      <c r="F925" s="17"/>
      <c r="G925" s="17"/>
      <c r="H925" s="17"/>
    </row>
    <row r="926" spans="1:8" x14ac:dyDescent="0.2">
      <c r="A926" s="16"/>
      <c r="B926" s="16"/>
      <c r="C926" s="17"/>
      <c r="D926" s="17"/>
      <c r="E926" s="17"/>
      <c r="F926" s="17"/>
      <c r="G926" s="17"/>
      <c r="H926" s="17"/>
    </row>
    <row r="927" spans="1:8" x14ac:dyDescent="0.2">
      <c r="A927" s="16"/>
      <c r="B927" s="16"/>
      <c r="C927" s="17"/>
      <c r="D927" s="17"/>
      <c r="E927" s="17"/>
      <c r="F927" s="17"/>
      <c r="G927" s="17"/>
      <c r="H927" s="17"/>
    </row>
    <row r="928" spans="1:8" x14ac:dyDescent="0.2">
      <c r="A928" s="16"/>
      <c r="B928" s="16"/>
      <c r="C928" s="17"/>
      <c r="D928" s="17"/>
      <c r="E928" s="17"/>
      <c r="F928" s="17"/>
      <c r="G928" s="17"/>
      <c r="H928" s="17"/>
    </row>
    <row r="929" spans="1:8" x14ac:dyDescent="0.2">
      <c r="A929" s="16"/>
      <c r="B929" s="16"/>
      <c r="C929" s="17"/>
      <c r="D929" s="17"/>
      <c r="E929" s="17"/>
      <c r="F929" s="17"/>
      <c r="G929" s="17"/>
      <c r="H929" s="17"/>
    </row>
    <row r="930" spans="1:8" x14ac:dyDescent="0.2">
      <c r="A930" s="16"/>
      <c r="B930" s="16"/>
      <c r="C930" s="17"/>
      <c r="D930" s="17"/>
      <c r="E930" s="17"/>
      <c r="F930" s="17"/>
      <c r="G930" s="17"/>
      <c r="H930" s="17"/>
    </row>
    <row r="931" spans="1:8" x14ac:dyDescent="0.2">
      <c r="A931" s="16"/>
      <c r="B931" s="16"/>
      <c r="C931" s="17"/>
      <c r="D931" s="17"/>
      <c r="E931" s="17"/>
      <c r="F931" s="17"/>
      <c r="G931" s="17"/>
      <c r="H931" s="17"/>
    </row>
    <row r="932" spans="1:8" x14ac:dyDescent="0.2">
      <c r="A932" s="16"/>
      <c r="B932" s="16"/>
      <c r="C932" s="17"/>
      <c r="D932" s="17"/>
      <c r="E932" s="17"/>
      <c r="F932" s="17"/>
      <c r="G932" s="17"/>
      <c r="H932" s="17"/>
    </row>
    <row r="933" spans="1:8" x14ac:dyDescent="0.2">
      <c r="A933" s="16"/>
      <c r="B933" s="16"/>
      <c r="C933" s="17"/>
      <c r="D933" s="17"/>
      <c r="E933" s="17"/>
      <c r="F933" s="17"/>
      <c r="G933" s="17"/>
      <c r="H933" s="17"/>
    </row>
    <row r="934" spans="1:8" x14ac:dyDescent="0.2">
      <c r="A934" s="16"/>
      <c r="B934" s="16"/>
      <c r="C934" s="17"/>
      <c r="D934" s="17"/>
      <c r="E934" s="17"/>
      <c r="F934" s="17"/>
      <c r="G934" s="17"/>
      <c r="H934" s="17"/>
    </row>
    <row r="935" spans="1:8" x14ac:dyDescent="0.2">
      <c r="A935" s="16"/>
      <c r="B935" s="16"/>
      <c r="C935" s="17"/>
      <c r="D935" s="17"/>
      <c r="E935" s="17"/>
      <c r="F935" s="17"/>
      <c r="G935" s="17"/>
      <c r="H935" s="17"/>
    </row>
    <row r="936" spans="1:8" x14ac:dyDescent="0.2">
      <c r="A936" s="16"/>
      <c r="B936" s="16"/>
      <c r="C936" s="17"/>
      <c r="D936" s="17"/>
      <c r="E936" s="17"/>
      <c r="F936" s="17"/>
      <c r="G936" s="17"/>
      <c r="H936" s="17"/>
    </row>
    <row r="937" spans="1:8" x14ac:dyDescent="0.2">
      <c r="A937" s="16"/>
      <c r="B937" s="16"/>
      <c r="C937" s="17"/>
      <c r="D937" s="17"/>
      <c r="E937" s="17"/>
      <c r="F937" s="17"/>
      <c r="G937" s="17"/>
      <c r="H937" s="17"/>
    </row>
    <row r="938" spans="1:8" x14ac:dyDescent="0.2">
      <c r="A938" s="16"/>
      <c r="B938" s="16"/>
      <c r="C938" s="17"/>
      <c r="D938" s="17"/>
      <c r="E938" s="17"/>
      <c r="F938" s="17"/>
      <c r="G938" s="17"/>
      <c r="H938" s="17"/>
    </row>
    <row r="939" spans="1:8" x14ac:dyDescent="0.2">
      <c r="A939" s="16"/>
      <c r="B939" s="16"/>
      <c r="C939" s="17"/>
      <c r="D939" s="17"/>
      <c r="E939" s="17"/>
      <c r="F939" s="17"/>
      <c r="G939" s="17"/>
      <c r="H939" s="17"/>
    </row>
    <row r="940" spans="1:8" x14ac:dyDescent="0.2">
      <c r="A940" s="16"/>
      <c r="B940" s="16"/>
      <c r="C940" s="17"/>
      <c r="D940" s="17"/>
      <c r="E940" s="17"/>
      <c r="F940" s="17"/>
      <c r="G940" s="17"/>
      <c r="H940" s="17"/>
    </row>
    <row r="941" spans="1:8" x14ac:dyDescent="0.2">
      <c r="A941" s="16"/>
      <c r="B941" s="16"/>
      <c r="C941" s="17"/>
      <c r="D941" s="17"/>
      <c r="E941" s="17"/>
      <c r="F941" s="17"/>
      <c r="G941" s="17"/>
      <c r="H941" s="17"/>
    </row>
    <row r="942" spans="1:8" x14ac:dyDescent="0.2">
      <c r="A942" s="16"/>
      <c r="B942" s="16"/>
      <c r="C942" s="17"/>
      <c r="D942" s="17"/>
      <c r="E942" s="17"/>
      <c r="F942" s="17"/>
      <c r="G942" s="17"/>
      <c r="H942" s="17"/>
    </row>
    <row r="943" spans="1:8" x14ac:dyDescent="0.2">
      <c r="A943" s="16"/>
      <c r="B943" s="16"/>
      <c r="C943" s="17"/>
      <c r="D943" s="17"/>
      <c r="E943" s="17"/>
      <c r="F943" s="17"/>
      <c r="G943" s="17"/>
      <c r="H943" s="17"/>
    </row>
    <row r="944" spans="1:8" x14ac:dyDescent="0.2">
      <c r="A944" s="16"/>
      <c r="B944" s="16"/>
      <c r="C944" s="17"/>
      <c r="D944" s="17"/>
      <c r="E944" s="17"/>
      <c r="F944" s="17"/>
      <c r="G944" s="17"/>
      <c r="H944" s="17"/>
    </row>
    <row r="945" spans="1:8" x14ac:dyDescent="0.2">
      <c r="A945" s="16"/>
      <c r="B945" s="16"/>
      <c r="C945" s="17"/>
      <c r="D945" s="17"/>
      <c r="E945" s="17"/>
      <c r="F945" s="17"/>
      <c r="G945" s="17"/>
      <c r="H945" s="17"/>
    </row>
    <row r="946" spans="1:8" x14ac:dyDescent="0.2">
      <c r="A946" s="16"/>
      <c r="B946" s="16"/>
      <c r="C946" s="17"/>
      <c r="D946" s="17"/>
      <c r="E946" s="17"/>
      <c r="F946" s="17"/>
      <c r="G946" s="17"/>
      <c r="H946" s="17"/>
    </row>
    <row r="947" spans="1:8" x14ac:dyDescent="0.2">
      <c r="A947" s="16"/>
      <c r="B947" s="16"/>
      <c r="C947" s="17"/>
      <c r="D947" s="17"/>
      <c r="E947" s="17"/>
      <c r="F947" s="17"/>
      <c r="G947" s="17"/>
      <c r="H947" s="17"/>
    </row>
    <row r="948" spans="1:8" x14ac:dyDescent="0.2">
      <c r="A948" s="16"/>
      <c r="B948" s="16"/>
      <c r="C948" s="17"/>
      <c r="D948" s="17"/>
      <c r="E948" s="17"/>
      <c r="F948" s="17"/>
      <c r="G948" s="17"/>
      <c r="H948" s="17"/>
    </row>
    <row r="949" spans="1:8" x14ac:dyDescent="0.2">
      <c r="A949" s="16"/>
      <c r="B949" s="16"/>
      <c r="C949" s="17"/>
      <c r="D949" s="17"/>
      <c r="E949" s="17"/>
      <c r="F949" s="17"/>
      <c r="G949" s="17"/>
      <c r="H949" s="17"/>
    </row>
    <row r="950" spans="1:8" x14ac:dyDescent="0.2">
      <c r="A950" s="16"/>
      <c r="B950" s="16"/>
      <c r="C950" s="17"/>
      <c r="D950" s="17"/>
      <c r="E950" s="17"/>
      <c r="F950" s="17"/>
      <c r="G950" s="17"/>
      <c r="H950" s="17"/>
    </row>
    <row r="951" spans="1:8" x14ac:dyDescent="0.2">
      <c r="A951" s="16"/>
      <c r="B951" s="16"/>
      <c r="C951" s="17"/>
      <c r="D951" s="17"/>
      <c r="E951" s="17"/>
      <c r="F951" s="17"/>
      <c r="G951" s="17"/>
      <c r="H951" s="17"/>
    </row>
    <row r="952" spans="1:8" x14ac:dyDescent="0.2">
      <c r="A952" s="16"/>
      <c r="B952" s="16"/>
      <c r="C952" s="17"/>
      <c r="D952" s="17"/>
      <c r="E952" s="17"/>
      <c r="F952" s="17"/>
      <c r="G952" s="17"/>
      <c r="H952" s="17"/>
    </row>
    <row r="953" spans="1:8" x14ac:dyDescent="0.2">
      <c r="A953" s="16"/>
      <c r="B953" s="16"/>
      <c r="C953" s="17"/>
      <c r="D953" s="17"/>
      <c r="E953" s="17"/>
      <c r="F953" s="17"/>
      <c r="G953" s="17"/>
      <c r="H953" s="17"/>
    </row>
    <row r="954" spans="1:8" x14ac:dyDescent="0.2">
      <c r="A954" s="16"/>
      <c r="B954" s="16"/>
      <c r="C954" s="17"/>
      <c r="D954" s="17"/>
      <c r="E954" s="17"/>
      <c r="F954" s="17"/>
      <c r="G954" s="17"/>
      <c r="H954" s="17"/>
    </row>
    <row r="955" spans="1:8" x14ac:dyDescent="0.2">
      <c r="A955" s="16"/>
      <c r="B955" s="16"/>
      <c r="C955" s="17"/>
      <c r="D955" s="17"/>
      <c r="E955" s="17"/>
      <c r="F955" s="17"/>
      <c r="G955" s="17"/>
      <c r="H955" s="17"/>
    </row>
    <row r="956" spans="1:8" x14ac:dyDescent="0.2">
      <c r="A956" s="16"/>
      <c r="B956" s="16"/>
      <c r="C956" s="17"/>
      <c r="D956" s="17"/>
      <c r="E956" s="17"/>
      <c r="F956" s="17"/>
      <c r="G956" s="17"/>
      <c r="H956" s="17"/>
    </row>
    <row r="957" spans="1:8" x14ac:dyDescent="0.2">
      <c r="A957" s="16"/>
      <c r="B957" s="16"/>
      <c r="C957" s="17"/>
      <c r="D957" s="17"/>
      <c r="E957" s="17"/>
      <c r="F957" s="17"/>
      <c r="G957" s="17"/>
      <c r="H957" s="17"/>
    </row>
    <row r="958" spans="1:8" x14ac:dyDescent="0.2">
      <c r="A958" s="16"/>
      <c r="B958" s="16"/>
      <c r="C958" s="17"/>
      <c r="D958" s="17"/>
      <c r="E958" s="17"/>
      <c r="F958" s="17"/>
      <c r="G958" s="17"/>
      <c r="H958" s="17"/>
    </row>
    <row r="959" spans="1:8" x14ac:dyDescent="0.2">
      <c r="A959" s="16"/>
      <c r="B959" s="16"/>
      <c r="C959" s="17"/>
      <c r="D959" s="17"/>
      <c r="E959" s="17"/>
      <c r="F959" s="17"/>
      <c r="G959" s="17"/>
      <c r="H959" s="17"/>
    </row>
    <row r="960" spans="1:8" x14ac:dyDescent="0.2">
      <c r="A960" s="16"/>
      <c r="B960" s="16"/>
      <c r="C960" s="17"/>
      <c r="D960" s="17"/>
      <c r="E960" s="17"/>
      <c r="F960" s="17"/>
      <c r="G960" s="17"/>
      <c r="H960" s="17"/>
    </row>
    <row r="961" spans="1:8" x14ac:dyDescent="0.2">
      <c r="A961" s="16"/>
      <c r="B961" s="16"/>
      <c r="C961" s="17"/>
      <c r="D961" s="17"/>
      <c r="E961" s="17"/>
      <c r="F961" s="17"/>
      <c r="G961" s="17"/>
      <c r="H961" s="17"/>
    </row>
    <row r="962" spans="1:8" x14ac:dyDescent="0.2">
      <c r="A962" s="16"/>
      <c r="B962" s="16"/>
      <c r="C962" s="17"/>
      <c r="D962" s="17"/>
      <c r="E962" s="17"/>
      <c r="F962" s="17"/>
      <c r="G962" s="17"/>
      <c r="H962" s="17"/>
    </row>
    <row r="963" spans="1:8" x14ac:dyDescent="0.2">
      <c r="A963" s="16"/>
      <c r="B963" s="16"/>
      <c r="C963" s="17"/>
      <c r="D963" s="17"/>
      <c r="E963" s="17"/>
      <c r="F963" s="17"/>
      <c r="G963" s="17"/>
      <c r="H963" s="17"/>
    </row>
    <row r="964" spans="1:8" x14ac:dyDescent="0.2">
      <c r="A964" s="16"/>
      <c r="B964" s="16"/>
      <c r="C964" s="17"/>
      <c r="D964" s="17"/>
      <c r="E964" s="17"/>
      <c r="F964" s="17"/>
      <c r="G964" s="17"/>
      <c r="H964" s="17"/>
    </row>
    <row r="965" spans="1:8" x14ac:dyDescent="0.2">
      <c r="A965" s="16"/>
      <c r="B965" s="16"/>
      <c r="C965" s="17"/>
      <c r="D965" s="17"/>
      <c r="E965" s="17"/>
      <c r="F965" s="17"/>
      <c r="G965" s="17"/>
      <c r="H965" s="17"/>
    </row>
    <row r="966" spans="1:8" x14ac:dyDescent="0.2">
      <c r="A966" s="16"/>
      <c r="B966" s="16"/>
      <c r="C966" s="17"/>
      <c r="D966" s="17"/>
      <c r="E966" s="17"/>
      <c r="F966" s="17"/>
      <c r="G966" s="17"/>
      <c r="H966" s="17"/>
    </row>
    <row r="967" spans="1:8" x14ac:dyDescent="0.2">
      <c r="A967" s="16"/>
      <c r="B967" s="16"/>
      <c r="C967" s="17"/>
      <c r="D967" s="17"/>
      <c r="E967" s="17"/>
      <c r="F967" s="17"/>
      <c r="G967" s="17"/>
      <c r="H967" s="17"/>
    </row>
    <row r="968" spans="1:8" x14ac:dyDescent="0.2">
      <c r="A968" s="16"/>
      <c r="B968" s="16"/>
      <c r="C968" s="17"/>
      <c r="D968" s="17"/>
      <c r="E968" s="17"/>
      <c r="F968" s="17"/>
      <c r="G968" s="17"/>
      <c r="H968" s="17"/>
    </row>
    <row r="969" spans="1:8" x14ac:dyDescent="0.2">
      <c r="A969" s="16"/>
      <c r="B969" s="16"/>
      <c r="C969" s="17"/>
      <c r="D969" s="17"/>
      <c r="E969" s="17"/>
      <c r="F969" s="17"/>
      <c r="G969" s="17"/>
      <c r="H969" s="17"/>
    </row>
    <row r="970" spans="1:8" x14ac:dyDescent="0.2">
      <c r="A970" s="16"/>
      <c r="B970" s="16"/>
      <c r="C970" s="17"/>
      <c r="D970" s="17"/>
      <c r="E970" s="17"/>
      <c r="F970" s="17"/>
      <c r="G970" s="17"/>
      <c r="H970" s="17"/>
    </row>
    <row r="971" spans="1:8" x14ac:dyDescent="0.2">
      <c r="A971" s="16"/>
      <c r="B971" s="16"/>
      <c r="C971" s="17"/>
      <c r="D971" s="17"/>
      <c r="E971" s="17"/>
      <c r="F971" s="17"/>
      <c r="G971" s="17"/>
      <c r="H971" s="17"/>
    </row>
    <row r="972" spans="1:8" x14ac:dyDescent="0.2">
      <c r="A972" s="16"/>
      <c r="B972" s="16"/>
      <c r="C972" s="17"/>
      <c r="D972" s="17"/>
      <c r="E972" s="17"/>
      <c r="F972" s="17"/>
      <c r="G972" s="17"/>
      <c r="H972" s="17"/>
    </row>
    <row r="973" spans="1:8" x14ac:dyDescent="0.2">
      <c r="A973" s="16"/>
      <c r="B973" s="16"/>
      <c r="C973" s="17"/>
      <c r="D973" s="17"/>
      <c r="E973" s="17"/>
      <c r="F973" s="17"/>
      <c r="G973" s="17"/>
      <c r="H973" s="17"/>
    </row>
    <row r="974" spans="1:8" x14ac:dyDescent="0.2">
      <c r="A974" s="16"/>
      <c r="B974" s="16"/>
      <c r="C974" s="17"/>
      <c r="D974" s="17"/>
      <c r="E974" s="17"/>
      <c r="F974" s="17"/>
      <c r="G974" s="17"/>
      <c r="H974" s="17"/>
    </row>
    <row r="975" spans="1:8" x14ac:dyDescent="0.2">
      <c r="A975" s="16"/>
      <c r="B975" s="16"/>
      <c r="C975" s="17"/>
      <c r="D975" s="17"/>
      <c r="E975" s="17"/>
      <c r="F975" s="17"/>
      <c r="G975" s="17"/>
      <c r="H975" s="17"/>
    </row>
    <row r="976" spans="1:8" x14ac:dyDescent="0.2">
      <c r="A976" s="16"/>
      <c r="B976" s="16"/>
      <c r="C976" s="17"/>
      <c r="D976" s="17"/>
      <c r="E976" s="17"/>
      <c r="F976" s="17"/>
      <c r="G976" s="17"/>
      <c r="H976" s="17"/>
    </row>
    <row r="977" spans="1:8" x14ac:dyDescent="0.2">
      <c r="A977" s="16"/>
      <c r="B977" s="16"/>
      <c r="C977" s="17"/>
      <c r="D977" s="17"/>
      <c r="E977" s="17"/>
      <c r="F977" s="17"/>
      <c r="G977" s="17"/>
      <c r="H977" s="17"/>
    </row>
    <row r="978" spans="1:8" x14ac:dyDescent="0.2">
      <c r="A978" s="16"/>
      <c r="B978" s="16"/>
      <c r="C978" s="17"/>
      <c r="D978" s="17"/>
      <c r="E978" s="17"/>
      <c r="F978" s="17"/>
      <c r="G978" s="17"/>
      <c r="H978" s="17"/>
    </row>
    <row r="979" spans="1:8" x14ac:dyDescent="0.2">
      <c r="A979" s="16"/>
      <c r="B979" s="16"/>
      <c r="C979" s="17"/>
      <c r="D979" s="17"/>
      <c r="E979" s="17"/>
      <c r="F979" s="17"/>
      <c r="G979" s="17"/>
      <c r="H979" s="17"/>
    </row>
    <row r="980" spans="1:8" x14ac:dyDescent="0.2">
      <c r="A980" s="16"/>
      <c r="B980" s="16"/>
      <c r="C980" s="17"/>
      <c r="D980" s="17"/>
      <c r="E980" s="17"/>
      <c r="F980" s="17"/>
      <c r="G980" s="17"/>
      <c r="H980" s="17"/>
    </row>
    <row r="981" spans="1:8" x14ac:dyDescent="0.2">
      <c r="A981" s="16"/>
      <c r="B981" s="16"/>
      <c r="C981" s="17"/>
      <c r="D981" s="17"/>
      <c r="E981" s="17"/>
      <c r="F981" s="17"/>
      <c r="G981" s="17"/>
      <c r="H981" s="17"/>
    </row>
    <row r="982" spans="1:8" x14ac:dyDescent="0.2">
      <c r="A982" s="16"/>
      <c r="B982" s="16"/>
      <c r="C982" s="17"/>
      <c r="D982" s="17"/>
      <c r="E982" s="17"/>
      <c r="F982" s="17"/>
      <c r="G982" s="17"/>
      <c r="H982" s="17"/>
    </row>
    <row r="983" spans="1:8" x14ac:dyDescent="0.2">
      <c r="A983" s="16"/>
      <c r="B983" s="16"/>
      <c r="C983" s="17"/>
      <c r="D983" s="17"/>
      <c r="E983" s="17"/>
      <c r="F983" s="17"/>
      <c r="G983" s="17"/>
      <c r="H983" s="17"/>
    </row>
    <row r="984" spans="1:8" x14ac:dyDescent="0.2">
      <c r="A984" s="16"/>
      <c r="B984" s="16"/>
      <c r="C984" s="17"/>
      <c r="D984" s="17"/>
      <c r="E984" s="17"/>
      <c r="F984" s="17"/>
      <c r="G984" s="17"/>
      <c r="H984" s="17"/>
    </row>
    <row r="985" spans="1:8" x14ac:dyDescent="0.2">
      <c r="A985" s="16"/>
      <c r="B985" s="16"/>
      <c r="C985" s="17"/>
      <c r="D985" s="17"/>
      <c r="E985" s="17"/>
      <c r="F985" s="17"/>
      <c r="G985" s="17"/>
      <c r="H985" s="17"/>
    </row>
    <row r="986" spans="1:8" x14ac:dyDescent="0.2">
      <c r="A986" s="16"/>
      <c r="B986" s="16"/>
      <c r="C986" s="17"/>
      <c r="D986" s="17"/>
      <c r="E986" s="17"/>
      <c r="F986" s="17"/>
      <c r="G986" s="17"/>
      <c r="H986" s="17"/>
    </row>
    <row r="987" spans="1:8" x14ac:dyDescent="0.2">
      <c r="A987" s="16"/>
      <c r="B987" s="16"/>
      <c r="C987" s="17"/>
      <c r="D987" s="17"/>
      <c r="E987" s="17"/>
      <c r="F987" s="17"/>
      <c r="G987" s="17"/>
      <c r="H987" s="17"/>
    </row>
    <row r="988" spans="1:8" x14ac:dyDescent="0.2">
      <c r="A988" s="16"/>
      <c r="B988" s="16"/>
      <c r="C988" s="17"/>
      <c r="D988" s="17"/>
      <c r="E988" s="17"/>
      <c r="F988" s="17"/>
      <c r="G988" s="17"/>
      <c r="H988" s="17"/>
    </row>
    <row r="989" spans="1:8" x14ac:dyDescent="0.2">
      <c r="A989" s="16"/>
      <c r="B989" s="16"/>
      <c r="C989" s="17"/>
      <c r="D989" s="17"/>
      <c r="E989" s="17"/>
      <c r="F989" s="17"/>
      <c r="G989" s="17"/>
      <c r="H989" s="17"/>
    </row>
    <row r="990" spans="1:8" x14ac:dyDescent="0.2">
      <c r="A990" s="16"/>
      <c r="B990" s="16"/>
      <c r="C990" s="17"/>
      <c r="D990" s="17"/>
      <c r="E990" s="17"/>
      <c r="F990" s="17"/>
      <c r="G990" s="17"/>
      <c r="H990" s="17"/>
    </row>
    <row r="991" spans="1:8" x14ac:dyDescent="0.2">
      <c r="A991" s="16"/>
      <c r="B991" s="16"/>
      <c r="C991" s="17"/>
      <c r="D991" s="17"/>
      <c r="E991" s="17"/>
      <c r="F991" s="17"/>
      <c r="G991" s="17"/>
      <c r="H991" s="17"/>
    </row>
    <row r="992" spans="1:8" x14ac:dyDescent="0.2">
      <c r="A992" s="16"/>
      <c r="B992" s="16"/>
      <c r="C992" s="17"/>
      <c r="D992" s="17"/>
      <c r="E992" s="17"/>
      <c r="F992" s="17"/>
      <c r="G992" s="17"/>
      <c r="H992" s="17"/>
    </row>
    <row r="993" spans="1:8" x14ac:dyDescent="0.2">
      <c r="A993" s="16"/>
      <c r="B993" s="16"/>
      <c r="C993" s="17"/>
      <c r="D993" s="17"/>
      <c r="E993" s="17"/>
      <c r="F993" s="17"/>
      <c r="G993" s="17"/>
      <c r="H993" s="17"/>
    </row>
    <row r="994" spans="1:8" x14ac:dyDescent="0.2">
      <c r="A994" s="16"/>
      <c r="B994" s="16"/>
      <c r="C994" s="17"/>
      <c r="D994" s="17"/>
      <c r="E994" s="17"/>
      <c r="F994" s="17"/>
      <c r="G994" s="17"/>
      <c r="H994" s="17"/>
    </row>
    <row r="995" spans="1:8" x14ac:dyDescent="0.2">
      <c r="A995" s="16"/>
      <c r="B995" s="16"/>
      <c r="C995" s="17"/>
      <c r="D995" s="17"/>
      <c r="E995" s="17"/>
      <c r="F995" s="17"/>
      <c r="G995" s="17"/>
      <c r="H995" s="17"/>
    </row>
    <row r="996" spans="1:8" x14ac:dyDescent="0.2">
      <c r="A996" s="16"/>
      <c r="B996" s="16"/>
      <c r="C996" s="17"/>
      <c r="D996" s="17"/>
      <c r="E996" s="17"/>
      <c r="F996" s="17"/>
      <c r="G996" s="17"/>
      <c r="H996" s="17"/>
    </row>
    <row r="997" spans="1:8" x14ac:dyDescent="0.2">
      <c r="A997" s="16"/>
      <c r="B997" s="16"/>
      <c r="C997" s="17"/>
      <c r="D997" s="17"/>
      <c r="E997" s="17"/>
      <c r="F997" s="17"/>
      <c r="G997" s="17"/>
      <c r="H997" s="17"/>
    </row>
    <row r="998" spans="1:8" x14ac:dyDescent="0.2">
      <c r="A998" s="16"/>
      <c r="B998" s="16"/>
      <c r="C998" s="17"/>
      <c r="D998" s="17"/>
      <c r="E998" s="17"/>
      <c r="F998" s="17"/>
      <c r="G998" s="17"/>
      <c r="H998" s="17"/>
    </row>
    <row r="999" spans="1:8" x14ac:dyDescent="0.2">
      <c r="A999" s="16"/>
      <c r="B999" s="16"/>
      <c r="C999" s="17"/>
      <c r="D999" s="17"/>
      <c r="E999" s="17"/>
      <c r="F999" s="17"/>
      <c r="G999" s="17"/>
      <c r="H999" s="17"/>
    </row>
    <row r="1000" spans="1:8" x14ac:dyDescent="0.2">
      <c r="A1000" s="16"/>
      <c r="B1000" s="16"/>
      <c r="C1000" s="17"/>
      <c r="D1000" s="17"/>
      <c r="E1000" s="17"/>
      <c r="F1000" s="17"/>
      <c r="G1000" s="17"/>
      <c r="H1000" s="17"/>
    </row>
    <row r="1001" spans="1:8" x14ac:dyDescent="0.2">
      <c r="A1001" s="16"/>
      <c r="B1001" s="16"/>
      <c r="C1001" s="17"/>
      <c r="D1001" s="17"/>
      <c r="E1001" s="17"/>
      <c r="F1001" s="17"/>
      <c r="G1001" s="17"/>
      <c r="H1001" s="17"/>
    </row>
    <row r="1002" spans="1:8" x14ac:dyDescent="0.2">
      <c r="A1002" s="16"/>
      <c r="B1002" s="16"/>
      <c r="C1002" s="17"/>
      <c r="D1002" s="17"/>
      <c r="E1002" s="17"/>
      <c r="F1002" s="17"/>
      <c r="G1002" s="17"/>
      <c r="H1002" s="17"/>
    </row>
    <row r="1003" spans="1:8" x14ac:dyDescent="0.2">
      <c r="A1003" s="16"/>
      <c r="B1003" s="16"/>
      <c r="C1003" s="17"/>
      <c r="D1003" s="17"/>
      <c r="E1003" s="17"/>
      <c r="F1003" s="17"/>
      <c r="G1003" s="17"/>
      <c r="H1003" s="17"/>
    </row>
    <row r="1004" spans="1:8" x14ac:dyDescent="0.2">
      <c r="A1004" s="16"/>
      <c r="B1004" s="16"/>
      <c r="C1004" s="17"/>
      <c r="D1004" s="17"/>
      <c r="E1004" s="17"/>
      <c r="F1004" s="17"/>
      <c r="G1004" s="17"/>
      <c r="H1004" s="17"/>
    </row>
    <row r="1005" spans="1:8" x14ac:dyDescent="0.2">
      <c r="A1005" s="16"/>
      <c r="B1005" s="16"/>
      <c r="C1005" s="17"/>
      <c r="D1005" s="17"/>
      <c r="E1005" s="17"/>
      <c r="F1005" s="17"/>
      <c r="G1005" s="17"/>
      <c r="H1005" s="17"/>
    </row>
    <row r="1006" spans="1:8" x14ac:dyDescent="0.2">
      <c r="A1006" s="16"/>
      <c r="B1006" s="16"/>
      <c r="C1006" s="17"/>
      <c r="D1006" s="17"/>
      <c r="E1006" s="17"/>
      <c r="F1006" s="17"/>
      <c r="G1006" s="17"/>
      <c r="H1006" s="17"/>
    </row>
    <row r="1007" spans="1:8" x14ac:dyDescent="0.2">
      <c r="A1007" s="16"/>
      <c r="B1007" s="16"/>
      <c r="C1007" s="17"/>
      <c r="D1007" s="17"/>
      <c r="E1007" s="17"/>
      <c r="F1007" s="17"/>
      <c r="G1007" s="17"/>
      <c r="H1007" s="17"/>
    </row>
    <row r="1008" spans="1:8" x14ac:dyDescent="0.2">
      <c r="A1008" s="16"/>
      <c r="B1008" s="16"/>
      <c r="C1008" s="17"/>
      <c r="D1008" s="17"/>
      <c r="E1008" s="17"/>
      <c r="F1008" s="17"/>
      <c r="G1008" s="17"/>
      <c r="H1008" s="17"/>
    </row>
    <row r="1009" spans="1:8" x14ac:dyDescent="0.2">
      <c r="A1009" s="16"/>
      <c r="B1009" s="16"/>
      <c r="C1009" s="17"/>
      <c r="D1009" s="17"/>
      <c r="E1009" s="17"/>
      <c r="F1009" s="17"/>
      <c r="G1009" s="17"/>
      <c r="H1009" s="17"/>
    </row>
    <row r="1010" spans="1:8" x14ac:dyDescent="0.2">
      <c r="A1010" s="16"/>
      <c r="B1010" s="16"/>
      <c r="C1010" s="17"/>
      <c r="D1010" s="17"/>
      <c r="E1010" s="17"/>
      <c r="F1010" s="17"/>
      <c r="G1010" s="17"/>
      <c r="H1010" s="17"/>
    </row>
    <row r="1011" spans="1:8" x14ac:dyDescent="0.2">
      <c r="A1011" s="16"/>
      <c r="B1011" s="16"/>
      <c r="C1011" s="17"/>
      <c r="D1011" s="17"/>
      <c r="E1011" s="17"/>
      <c r="F1011" s="17"/>
      <c r="G1011" s="17"/>
      <c r="H1011" s="17"/>
    </row>
    <row r="1012" spans="1:8" x14ac:dyDescent="0.2">
      <c r="A1012" s="16"/>
      <c r="B1012" s="16"/>
      <c r="C1012" s="17"/>
      <c r="D1012" s="17"/>
      <c r="E1012" s="17"/>
      <c r="F1012" s="17"/>
      <c r="G1012" s="17"/>
      <c r="H1012" s="17"/>
    </row>
    <row r="1013" spans="1:8" x14ac:dyDescent="0.2">
      <c r="A1013" s="16"/>
      <c r="B1013" s="16"/>
      <c r="C1013" s="17"/>
      <c r="D1013" s="17"/>
      <c r="E1013" s="17"/>
      <c r="F1013" s="17"/>
      <c r="G1013" s="17"/>
      <c r="H1013" s="17"/>
    </row>
    <row r="1014" spans="1:8" x14ac:dyDescent="0.2">
      <c r="A1014" s="16"/>
      <c r="B1014" s="16"/>
      <c r="C1014" s="17"/>
      <c r="D1014" s="17"/>
      <c r="E1014" s="17"/>
      <c r="F1014" s="17"/>
      <c r="G1014" s="17"/>
      <c r="H1014" s="17"/>
    </row>
    <row r="1015" spans="1:8" x14ac:dyDescent="0.2">
      <c r="A1015" s="16"/>
      <c r="B1015" s="16"/>
      <c r="C1015" s="17"/>
      <c r="D1015" s="17"/>
      <c r="E1015" s="17"/>
      <c r="F1015" s="17"/>
      <c r="G1015" s="17"/>
      <c r="H1015" s="17"/>
    </row>
    <row r="1016" spans="1:8" x14ac:dyDescent="0.2">
      <c r="A1016" s="16"/>
      <c r="B1016" s="16"/>
      <c r="C1016" s="17"/>
      <c r="D1016" s="17"/>
      <c r="E1016" s="17"/>
      <c r="F1016" s="17"/>
      <c r="G1016" s="17"/>
      <c r="H1016" s="17"/>
    </row>
    <row r="1017" spans="1:8" x14ac:dyDescent="0.2">
      <c r="A1017" s="16"/>
      <c r="B1017" s="16"/>
      <c r="C1017" s="17"/>
      <c r="D1017" s="17"/>
      <c r="E1017" s="17"/>
      <c r="F1017" s="17"/>
      <c r="G1017" s="17"/>
      <c r="H1017" s="17"/>
    </row>
    <row r="1018" spans="1:8" x14ac:dyDescent="0.2">
      <c r="A1018" s="16"/>
      <c r="B1018" s="16"/>
      <c r="C1018" s="17"/>
      <c r="D1018" s="17"/>
      <c r="E1018" s="17"/>
      <c r="F1018" s="17"/>
      <c r="G1018" s="17"/>
      <c r="H1018" s="17"/>
    </row>
    <row r="1019" spans="1:8" x14ac:dyDescent="0.2">
      <c r="A1019" s="16"/>
      <c r="B1019" s="16"/>
      <c r="C1019" s="17"/>
      <c r="D1019" s="17"/>
      <c r="E1019" s="17"/>
      <c r="F1019" s="17"/>
      <c r="G1019" s="17"/>
      <c r="H1019" s="17"/>
    </row>
    <row r="1020" spans="1:8" x14ac:dyDescent="0.2">
      <c r="A1020" s="16"/>
      <c r="B1020" s="16"/>
      <c r="C1020" s="17"/>
      <c r="D1020" s="17"/>
      <c r="E1020" s="17"/>
      <c r="F1020" s="17"/>
      <c r="G1020" s="17"/>
      <c r="H1020" s="17"/>
    </row>
    <row r="1021" spans="1:8" x14ac:dyDescent="0.2">
      <c r="A1021" s="16"/>
      <c r="B1021" s="16"/>
      <c r="C1021" s="17"/>
      <c r="D1021" s="17"/>
      <c r="E1021" s="17"/>
      <c r="F1021" s="17"/>
      <c r="G1021" s="17"/>
      <c r="H1021" s="17"/>
    </row>
    <row r="1022" spans="1:8" x14ac:dyDescent="0.2">
      <c r="A1022" s="16"/>
      <c r="B1022" s="16"/>
      <c r="C1022" s="17"/>
      <c r="D1022" s="17"/>
      <c r="E1022" s="17"/>
      <c r="F1022" s="17"/>
      <c r="G1022" s="17"/>
      <c r="H1022" s="17"/>
    </row>
    <row r="1023" spans="1:8" x14ac:dyDescent="0.2">
      <c r="A1023" s="16"/>
      <c r="B1023" s="16"/>
      <c r="C1023" s="17"/>
      <c r="D1023" s="17"/>
      <c r="E1023" s="17"/>
      <c r="F1023" s="17"/>
      <c r="G1023" s="17"/>
      <c r="H1023" s="17"/>
    </row>
    <row r="1024" spans="1:8" x14ac:dyDescent="0.2">
      <c r="A1024" s="16"/>
      <c r="B1024" s="16"/>
      <c r="C1024" s="17"/>
      <c r="D1024" s="17"/>
      <c r="E1024" s="17"/>
      <c r="F1024" s="17"/>
      <c r="G1024" s="17"/>
      <c r="H1024" s="17"/>
    </row>
    <row r="1025" spans="1:8" x14ac:dyDescent="0.2">
      <c r="A1025" s="16"/>
      <c r="B1025" s="16"/>
      <c r="C1025" s="17"/>
      <c r="D1025" s="17"/>
      <c r="E1025" s="17"/>
      <c r="F1025" s="17"/>
      <c r="G1025" s="17"/>
      <c r="H1025" s="17"/>
    </row>
    <row r="1026" spans="1:8" x14ac:dyDescent="0.2">
      <c r="A1026" s="16"/>
      <c r="B1026" s="16"/>
      <c r="C1026" s="17"/>
      <c r="D1026" s="17"/>
      <c r="E1026" s="17"/>
      <c r="F1026" s="17"/>
      <c r="G1026" s="17"/>
      <c r="H1026" s="17"/>
    </row>
    <row r="1027" spans="1:8" x14ac:dyDescent="0.2">
      <c r="A1027" s="16"/>
      <c r="B1027" s="16"/>
      <c r="C1027" s="17"/>
      <c r="D1027" s="17"/>
      <c r="E1027" s="17"/>
      <c r="F1027" s="17"/>
      <c r="G1027" s="17"/>
      <c r="H1027" s="17"/>
    </row>
    <row r="1028" spans="1:8" x14ac:dyDescent="0.2">
      <c r="A1028" s="16"/>
      <c r="B1028" s="16"/>
      <c r="C1028" s="17"/>
      <c r="D1028" s="17"/>
      <c r="E1028" s="17"/>
      <c r="F1028" s="17"/>
      <c r="G1028" s="17"/>
      <c r="H1028" s="17"/>
    </row>
    <row r="1029" spans="1:8" x14ac:dyDescent="0.2">
      <c r="A1029" s="16"/>
      <c r="B1029" s="16"/>
      <c r="C1029" s="17"/>
      <c r="D1029" s="17"/>
      <c r="E1029" s="17"/>
      <c r="F1029" s="17"/>
      <c r="G1029" s="17"/>
      <c r="H1029" s="17"/>
    </row>
    <row r="1030" spans="1:8" x14ac:dyDescent="0.2">
      <c r="A1030" s="16"/>
      <c r="B1030" s="16"/>
      <c r="C1030" s="17"/>
      <c r="D1030" s="17"/>
      <c r="E1030" s="17"/>
      <c r="F1030" s="17"/>
      <c r="G1030" s="17"/>
      <c r="H1030" s="17"/>
    </row>
    <row r="1031" spans="1:8" x14ac:dyDescent="0.2">
      <c r="A1031" s="16"/>
      <c r="B1031" s="16"/>
      <c r="C1031" s="17"/>
      <c r="D1031" s="17"/>
      <c r="E1031" s="17"/>
      <c r="F1031" s="17"/>
      <c r="G1031" s="17"/>
      <c r="H1031" s="17"/>
    </row>
    <row r="1032" spans="1:8" x14ac:dyDescent="0.2">
      <c r="A1032" s="16"/>
      <c r="B1032" s="16"/>
      <c r="C1032" s="17"/>
      <c r="D1032" s="17"/>
      <c r="E1032" s="17"/>
      <c r="F1032" s="17"/>
      <c r="G1032" s="17"/>
      <c r="H1032" s="17"/>
    </row>
    <row r="1033" spans="1:8" x14ac:dyDescent="0.2">
      <c r="A1033" s="16"/>
      <c r="B1033" s="16"/>
      <c r="C1033" s="17"/>
      <c r="D1033" s="17"/>
      <c r="E1033" s="17"/>
      <c r="F1033" s="17"/>
      <c r="G1033" s="17"/>
      <c r="H1033" s="17"/>
    </row>
    <row r="1034" spans="1:8" x14ac:dyDescent="0.2">
      <c r="A1034" s="16"/>
      <c r="B1034" s="16"/>
      <c r="C1034" s="17"/>
      <c r="D1034" s="17"/>
      <c r="E1034" s="17"/>
      <c r="F1034" s="17"/>
      <c r="G1034" s="17"/>
      <c r="H1034" s="17"/>
    </row>
    <row r="1035" spans="1:8" x14ac:dyDescent="0.2">
      <c r="A1035" s="16"/>
      <c r="B1035" s="16"/>
      <c r="C1035" s="17"/>
      <c r="D1035" s="17"/>
      <c r="E1035" s="17"/>
      <c r="F1035" s="17"/>
      <c r="G1035" s="17"/>
      <c r="H1035" s="17"/>
    </row>
    <row r="1036" spans="1:8" x14ac:dyDescent="0.2">
      <c r="A1036" s="16"/>
      <c r="B1036" s="16"/>
      <c r="C1036" s="17"/>
      <c r="D1036" s="17"/>
      <c r="E1036" s="17"/>
      <c r="F1036" s="17"/>
      <c r="G1036" s="17"/>
      <c r="H1036" s="17"/>
    </row>
    <row r="1037" spans="1:8" x14ac:dyDescent="0.2">
      <c r="A1037" s="16"/>
      <c r="B1037" s="16"/>
      <c r="C1037" s="17"/>
      <c r="D1037" s="17"/>
      <c r="E1037" s="17"/>
      <c r="F1037" s="17"/>
      <c r="G1037" s="17"/>
      <c r="H1037" s="17"/>
    </row>
    <row r="1038" spans="1:8" x14ac:dyDescent="0.2">
      <c r="A1038" s="16"/>
      <c r="B1038" s="16"/>
      <c r="C1038" s="17"/>
      <c r="D1038" s="17"/>
      <c r="E1038" s="17"/>
      <c r="F1038" s="17"/>
      <c r="G1038" s="17"/>
      <c r="H1038" s="17"/>
    </row>
    <row r="1039" spans="1:8" x14ac:dyDescent="0.2">
      <c r="A1039" s="16"/>
      <c r="B1039" s="16"/>
      <c r="C1039" s="17"/>
      <c r="D1039" s="17"/>
      <c r="E1039" s="17"/>
      <c r="F1039" s="17"/>
      <c r="G1039" s="17"/>
      <c r="H1039" s="17"/>
    </row>
    <row r="1040" spans="1:8" x14ac:dyDescent="0.2">
      <c r="A1040" s="16"/>
      <c r="B1040" s="16"/>
      <c r="C1040" s="17"/>
      <c r="D1040" s="17"/>
      <c r="E1040" s="17"/>
      <c r="F1040" s="17"/>
      <c r="G1040" s="17"/>
      <c r="H1040" s="17"/>
    </row>
    <row r="1041" spans="1:8" x14ac:dyDescent="0.2">
      <c r="A1041" s="16"/>
      <c r="B1041" s="16"/>
      <c r="C1041" s="17"/>
      <c r="D1041" s="17"/>
      <c r="E1041" s="17"/>
      <c r="F1041" s="17"/>
      <c r="G1041" s="17"/>
      <c r="H1041" s="17"/>
    </row>
    <row r="1042" spans="1:8" x14ac:dyDescent="0.2">
      <c r="A1042" s="16"/>
      <c r="B1042" s="16"/>
      <c r="C1042" s="17"/>
      <c r="D1042" s="17"/>
      <c r="E1042" s="17"/>
      <c r="F1042" s="17"/>
      <c r="G1042" s="17"/>
      <c r="H1042" s="17"/>
    </row>
    <row r="1043" spans="1:8" x14ac:dyDescent="0.2">
      <c r="A1043" s="16"/>
      <c r="B1043" s="16"/>
      <c r="C1043" s="17"/>
      <c r="D1043" s="17"/>
      <c r="E1043" s="17"/>
      <c r="F1043" s="17"/>
      <c r="G1043" s="17"/>
      <c r="H1043" s="17"/>
    </row>
    <row r="1044" spans="1:8" x14ac:dyDescent="0.2">
      <c r="A1044" s="16"/>
      <c r="B1044" s="16"/>
      <c r="C1044" s="17"/>
      <c r="D1044" s="17"/>
      <c r="E1044" s="17"/>
      <c r="F1044" s="17"/>
      <c r="G1044" s="17"/>
      <c r="H1044" s="17"/>
    </row>
    <row r="1045" spans="1:8" x14ac:dyDescent="0.2">
      <c r="A1045" s="16"/>
      <c r="B1045" s="16"/>
      <c r="C1045" s="17"/>
      <c r="D1045" s="17"/>
      <c r="E1045" s="17"/>
      <c r="F1045" s="17"/>
      <c r="G1045" s="17"/>
      <c r="H1045" s="17"/>
    </row>
    <row r="1046" spans="1:8" x14ac:dyDescent="0.2">
      <c r="A1046" s="16"/>
      <c r="B1046" s="16"/>
      <c r="C1046" s="17"/>
      <c r="D1046" s="17"/>
      <c r="E1046" s="17"/>
      <c r="F1046" s="17"/>
      <c r="G1046" s="17"/>
      <c r="H1046" s="17"/>
    </row>
    <row r="1047" spans="1:8" x14ac:dyDescent="0.2">
      <c r="A1047" s="16"/>
      <c r="B1047" s="16"/>
      <c r="C1047" s="17"/>
      <c r="D1047" s="17"/>
      <c r="E1047" s="17"/>
      <c r="F1047" s="17"/>
      <c r="G1047" s="17"/>
      <c r="H1047" s="17"/>
    </row>
    <row r="1048" spans="1:8" x14ac:dyDescent="0.2">
      <c r="A1048" s="16"/>
      <c r="B1048" s="16"/>
      <c r="C1048" s="17"/>
      <c r="D1048" s="17"/>
      <c r="E1048" s="17"/>
      <c r="F1048" s="17"/>
      <c r="G1048" s="17"/>
      <c r="H1048" s="17"/>
    </row>
    <row r="1049" spans="1:8" x14ac:dyDescent="0.2">
      <c r="A1049" s="16"/>
      <c r="B1049" s="16"/>
      <c r="C1049" s="17"/>
      <c r="D1049" s="17"/>
      <c r="E1049" s="17"/>
      <c r="F1049" s="17"/>
      <c r="G1049" s="17"/>
      <c r="H1049" s="17"/>
    </row>
    <row r="1050" spans="1:8" x14ac:dyDescent="0.2">
      <c r="A1050" s="16"/>
      <c r="B1050" s="16"/>
      <c r="C1050" s="17"/>
      <c r="D1050" s="17"/>
      <c r="E1050" s="17"/>
      <c r="F1050" s="17"/>
      <c r="G1050" s="17"/>
      <c r="H1050" s="17"/>
    </row>
    <row r="1051" spans="1:8" x14ac:dyDescent="0.2">
      <c r="A1051" s="16"/>
      <c r="B1051" s="16"/>
      <c r="C1051" s="17"/>
      <c r="D1051" s="17"/>
      <c r="E1051" s="17"/>
      <c r="F1051" s="17"/>
      <c r="G1051" s="17"/>
      <c r="H1051" s="17"/>
    </row>
    <row r="1052" spans="1:8" x14ac:dyDescent="0.2">
      <c r="A1052" s="16"/>
      <c r="B1052" s="16"/>
      <c r="C1052" s="17"/>
      <c r="D1052" s="17"/>
      <c r="E1052" s="17"/>
      <c r="F1052" s="17"/>
      <c r="G1052" s="17"/>
      <c r="H1052" s="17"/>
    </row>
    <row r="1053" spans="1:8" x14ac:dyDescent="0.2">
      <c r="A1053" s="16"/>
      <c r="B1053" s="16"/>
      <c r="C1053" s="17"/>
      <c r="D1053" s="17"/>
      <c r="E1053" s="17"/>
      <c r="F1053" s="17"/>
      <c r="G1053" s="17"/>
      <c r="H1053" s="17"/>
    </row>
    <row r="1054" spans="1:8" x14ac:dyDescent="0.2">
      <c r="A1054" s="16"/>
      <c r="B1054" s="16"/>
      <c r="C1054" s="17"/>
      <c r="D1054" s="17"/>
      <c r="E1054" s="17"/>
      <c r="F1054" s="17"/>
      <c r="G1054" s="17"/>
      <c r="H1054" s="17"/>
    </row>
    <row r="1055" spans="1:8" x14ac:dyDescent="0.2">
      <c r="A1055" s="16"/>
      <c r="B1055" s="16"/>
      <c r="C1055" s="17"/>
      <c r="D1055" s="17"/>
      <c r="E1055" s="17"/>
      <c r="F1055" s="17"/>
      <c r="G1055" s="17"/>
      <c r="H1055" s="17"/>
    </row>
    <row r="1056" spans="1:8" x14ac:dyDescent="0.2">
      <c r="A1056" s="16"/>
      <c r="B1056" s="16"/>
      <c r="C1056" s="17"/>
      <c r="D1056" s="17"/>
      <c r="E1056" s="17"/>
      <c r="F1056" s="17"/>
      <c r="G1056" s="17"/>
      <c r="H1056" s="17"/>
    </row>
    <row r="1057" spans="1:8" x14ac:dyDescent="0.2">
      <c r="A1057" s="16"/>
      <c r="B1057" s="16"/>
      <c r="C1057" s="17"/>
      <c r="D1057" s="17"/>
      <c r="E1057" s="17"/>
      <c r="F1057" s="17"/>
      <c r="G1057" s="17"/>
      <c r="H1057" s="17"/>
    </row>
    <row r="1058" spans="1:8" x14ac:dyDescent="0.2">
      <c r="A1058" s="16"/>
      <c r="B1058" s="16"/>
      <c r="C1058" s="17"/>
      <c r="D1058" s="17"/>
      <c r="E1058" s="17"/>
      <c r="F1058" s="17"/>
      <c r="G1058" s="17"/>
      <c r="H1058" s="17"/>
    </row>
    <row r="1059" spans="1:8" x14ac:dyDescent="0.2">
      <c r="A1059" s="16"/>
      <c r="B1059" s="16"/>
      <c r="C1059" s="17"/>
      <c r="D1059" s="17"/>
      <c r="E1059" s="17"/>
      <c r="F1059" s="17"/>
      <c r="G1059" s="17"/>
      <c r="H1059" s="17"/>
    </row>
    <row r="1060" spans="1:8" x14ac:dyDescent="0.2">
      <c r="A1060" s="16"/>
      <c r="B1060" s="16"/>
      <c r="C1060" s="17"/>
      <c r="D1060" s="17"/>
      <c r="E1060" s="17"/>
      <c r="F1060" s="17"/>
      <c r="G1060" s="17"/>
      <c r="H1060" s="17"/>
    </row>
    <row r="1061" spans="1:8" x14ac:dyDescent="0.2">
      <c r="A1061" s="16"/>
      <c r="B1061" s="16"/>
      <c r="C1061" s="17"/>
      <c r="D1061" s="17"/>
      <c r="E1061" s="17"/>
      <c r="F1061" s="17"/>
      <c r="G1061" s="17"/>
      <c r="H1061" s="17"/>
    </row>
    <row r="1062" spans="1:8" x14ac:dyDescent="0.2">
      <c r="A1062" s="16"/>
      <c r="B1062" s="16"/>
      <c r="C1062" s="17"/>
      <c r="D1062" s="17"/>
      <c r="E1062" s="17"/>
      <c r="F1062" s="17"/>
      <c r="G1062" s="17"/>
      <c r="H1062" s="17"/>
    </row>
    <row r="1063" spans="1:8" x14ac:dyDescent="0.2">
      <c r="A1063" s="16"/>
      <c r="B1063" s="16"/>
      <c r="C1063" s="17"/>
      <c r="D1063" s="17"/>
      <c r="E1063" s="17"/>
      <c r="F1063" s="17"/>
      <c r="G1063" s="17"/>
      <c r="H1063" s="17"/>
    </row>
    <row r="1064" spans="1:8" x14ac:dyDescent="0.2">
      <c r="A1064" s="16"/>
      <c r="B1064" s="16"/>
      <c r="C1064" s="17"/>
      <c r="D1064" s="17"/>
      <c r="E1064" s="17"/>
      <c r="F1064" s="17"/>
      <c r="G1064" s="17"/>
      <c r="H1064" s="17"/>
    </row>
    <row r="1065" spans="1:8" x14ac:dyDescent="0.2">
      <c r="A1065" s="16"/>
      <c r="B1065" s="16"/>
      <c r="C1065" s="17"/>
      <c r="D1065" s="17"/>
      <c r="E1065" s="17"/>
      <c r="F1065" s="17"/>
      <c r="G1065" s="17"/>
      <c r="H1065" s="17"/>
    </row>
    <row r="1066" spans="1:8" x14ac:dyDescent="0.2">
      <c r="A1066" s="16"/>
      <c r="B1066" s="16"/>
      <c r="C1066" s="17"/>
      <c r="D1066" s="17"/>
      <c r="E1066" s="17"/>
      <c r="F1066" s="17"/>
      <c r="G1066" s="17"/>
      <c r="H1066" s="17"/>
    </row>
    <row r="1067" spans="1:8" x14ac:dyDescent="0.2">
      <c r="A1067" s="16"/>
      <c r="B1067" s="16"/>
      <c r="C1067" s="17"/>
      <c r="D1067" s="17"/>
      <c r="E1067" s="17"/>
      <c r="F1067" s="17"/>
      <c r="G1067" s="17"/>
      <c r="H1067" s="17"/>
    </row>
    <row r="1068" spans="1:8" x14ac:dyDescent="0.2">
      <c r="A1068" s="16"/>
      <c r="B1068" s="16"/>
      <c r="C1068" s="17"/>
      <c r="D1068" s="17"/>
      <c r="E1068" s="17"/>
      <c r="F1068" s="17"/>
      <c r="G1068" s="17"/>
      <c r="H1068" s="17"/>
    </row>
    <row r="1069" spans="1:8" x14ac:dyDescent="0.2">
      <c r="A1069" s="16"/>
      <c r="B1069" s="16"/>
      <c r="C1069" s="17"/>
      <c r="D1069" s="17"/>
      <c r="E1069" s="17"/>
      <c r="F1069" s="17"/>
      <c r="G1069" s="17"/>
      <c r="H1069" s="17"/>
    </row>
    <row r="1070" spans="1:8" x14ac:dyDescent="0.2">
      <c r="A1070" s="16"/>
      <c r="B1070" s="16"/>
      <c r="C1070" s="17"/>
      <c r="D1070" s="17"/>
      <c r="E1070" s="17"/>
      <c r="F1070" s="17"/>
      <c r="G1070" s="17"/>
      <c r="H1070" s="17"/>
    </row>
    <row r="1071" spans="1:8" x14ac:dyDescent="0.2">
      <c r="A1071" s="16"/>
      <c r="B1071" s="16"/>
      <c r="C1071" s="17"/>
      <c r="D1071" s="17"/>
      <c r="E1071" s="17"/>
      <c r="F1071" s="17"/>
      <c r="G1071" s="17"/>
      <c r="H1071" s="17"/>
    </row>
    <row r="1072" spans="1:8" x14ac:dyDescent="0.2">
      <c r="A1072" s="16"/>
      <c r="B1072" s="16"/>
      <c r="C1072" s="17"/>
      <c r="D1072" s="17"/>
      <c r="E1072" s="17"/>
      <c r="F1072" s="17"/>
      <c r="G1072" s="17"/>
      <c r="H1072" s="17"/>
    </row>
    <row r="1073" spans="1:8" x14ac:dyDescent="0.2">
      <c r="A1073" s="16"/>
      <c r="B1073" s="16"/>
      <c r="C1073" s="17"/>
      <c r="D1073" s="17"/>
      <c r="E1073" s="17"/>
      <c r="F1073" s="17"/>
      <c r="G1073" s="17"/>
      <c r="H1073" s="17"/>
    </row>
    <row r="1074" spans="1:8" x14ac:dyDescent="0.2">
      <c r="A1074" s="16"/>
      <c r="B1074" s="16"/>
      <c r="C1074" s="17"/>
      <c r="D1074" s="17"/>
      <c r="E1074" s="17"/>
      <c r="F1074" s="17"/>
      <c r="G1074" s="17"/>
      <c r="H1074" s="17"/>
    </row>
    <row r="1075" spans="1:8" x14ac:dyDescent="0.2">
      <c r="A1075" s="16"/>
      <c r="B1075" s="16"/>
      <c r="C1075" s="17"/>
      <c r="D1075" s="17"/>
      <c r="E1075" s="17"/>
      <c r="F1075" s="17"/>
      <c r="G1075" s="17"/>
      <c r="H1075" s="17"/>
    </row>
    <row r="1076" spans="1:8" x14ac:dyDescent="0.2">
      <c r="A1076" s="16"/>
      <c r="B1076" s="16"/>
      <c r="C1076" s="17"/>
      <c r="D1076" s="17"/>
      <c r="E1076" s="17"/>
      <c r="F1076" s="17"/>
      <c r="G1076" s="17"/>
      <c r="H1076" s="17"/>
    </row>
    <row r="1077" spans="1:8" x14ac:dyDescent="0.2">
      <c r="A1077" s="16"/>
      <c r="B1077" s="16"/>
      <c r="C1077" s="17"/>
      <c r="D1077" s="17"/>
      <c r="E1077" s="17"/>
      <c r="F1077" s="17"/>
      <c r="G1077" s="17"/>
      <c r="H1077" s="17"/>
    </row>
    <row r="1078" spans="1:8" x14ac:dyDescent="0.2">
      <c r="A1078" s="16"/>
      <c r="B1078" s="16"/>
      <c r="C1078" s="17"/>
      <c r="D1078" s="17"/>
      <c r="E1078" s="17"/>
      <c r="F1078" s="17"/>
      <c r="G1078" s="17"/>
      <c r="H1078" s="17"/>
    </row>
    <row r="1079" spans="1:8" x14ac:dyDescent="0.2">
      <c r="A1079" s="16"/>
      <c r="B1079" s="16"/>
      <c r="C1079" s="17"/>
      <c r="D1079" s="17"/>
      <c r="E1079" s="17"/>
      <c r="F1079" s="17"/>
      <c r="G1079" s="17"/>
      <c r="H1079" s="17"/>
    </row>
    <row r="1080" spans="1:8" x14ac:dyDescent="0.2">
      <c r="A1080" s="16"/>
      <c r="B1080" s="16"/>
      <c r="C1080" s="17"/>
      <c r="D1080" s="17"/>
      <c r="E1080" s="17"/>
      <c r="F1080" s="17"/>
      <c r="G1080" s="17"/>
      <c r="H1080" s="17"/>
    </row>
    <row r="1081" spans="1:8" x14ac:dyDescent="0.2">
      <c r="A1081" s="16"/>
      <c r="B1081" s="16"/>
      <c r="C1081" s="17"/>
      <c r="D1081" s="17"/>
      <c r="E1081" s="17"/>
      <c r="F1081" s="17"/>
      <c r="G1081" s="17"/>
      <c r="H1081" s="17"/>
    </row>
    <row r="1082" spans="1:8" x14ac:dyDescent="0.2">
      <c r="A1082" s="16"/>
      <c r="B1082" s="16"/>
      <c r="C1082" s="17"/>
      <c r="D1082" s="17"/>
      <c r="E1082" s="17"/>
      <c r="F1082" s="17"/>
      <c r="G1082" s="17"/>
      <c r="H1082" s="17"/>
    </row>
    <row r="1083" spans="1:8" x14ac:dyDescent="0.2">
      <c r="A1083" s="16"/>
      <c r="B1083" s="16"/>
      <c r="C1083" s="17"/>
      <c r="D1083" s="17"/>
      <c r="E1083" s="17"/>
      <c r="F1083" s="17"/>
      <c r="G1083" s="17"/>
      <c r="H1083" s="17"/>
    </row>
    <row r="1084" spans="1:8" x14ac:dyDescent="0.2">
      <c r="A1084" s="16"/>
      <c r="B1084" s="16"/>
      <c r="C1084" s="17"/>
      <c r="D1084" s="17"/>
      <c r="E1084" s="17"/>
      <c r="F1084" s="17"/>
      <c r="G1084" s="17"/>
      <c r="H1084" s="17"/>
    </row>
    <row r="1085" spans="1:8" x14ac:dyDescent="0.2">
      <c r="A1085" s="16"/>
      <c r="B1085" s="16"/>
      <c r="C1085" s="17"/>
      <c r="D1085" s="17"/>
      <c r="E1085" s="17"/>
      <c r="F1085" s="17"/>
      <c r="G1085" s="17"/>
      <c r="H1085" s="17"/>
    </row>
    <row r="1086" spans="1:8" x14ac:dyDescent="0.2">
      <c r="A1086" s="16"/>
      <c r="B1086" s="16"/>
      <c r="C1086" s="17"/>
      <c r="D1086" s="17"/>
      <c r="E1086" s="17"/>
      <c r="F1086" s="17"/>
      <c r="G1086" s="17"/>
      <c r="H1086" s="17"/>
    </row>
    <row r="1087" spans="1:8" x14ac:dyDescent="0.2">
      <c r="A1087" s="16"/>
      <c r="B1087" s="16"/>
      <c r="C1087" s="17"/>
      <c r="D1087" s="17"/>
      <c r="E1087" s="17"/>
      <c r="F1087" s="17"/>
      <c r="G1087" s="17"/>
      <c r="H1087" s="17"/>
    </row>
    <row r="1088" spans="1:8" x14ac:dyDescent="0.2">
      <c r="A1088" s="16"/>
      <c r="B1088" s="16"/>
      <c r="C1088" s="17"/>
      <c r="D1088" s="17"/>
      <c r="E1088" s="17"/>
      <c r="F1088" s="17"/>
      <c r="G1088" s="17"/>
      <c r="H1088" s="17"/>
    </row>
    <row r="1089" spans="1:8" x14ac:dyDescent="0.2">
      <c r="A1089" s="16"/>
      <c r="B1089" s="16"/>
      <c r="C1089" s="17"/>
      <c r="D1089" s="17"/>
      <c r="E1089" s="17"/>
      <c r="F1089" s="17"/>
      <c r="G1089" s="17"/>
      <c r="H1089" s="17"/>
    </row>
    <row r="1090" spans="1:8" x14ac:dyDescent="0.2">
      <c r="A1090" s="16"/>
      <c r="B1090" s="16"/>
      <c r="C1090" s="17"/>
      <c r="D1090" s="17"/>
      <c r="E1090" s="17"/>
      <c r="F1090" s="17"/>
      <c r="G1090" s="17"/>
      <c r="H1090" s="17"/>
    </row>
    <row r="1091" spans="1:8" x14ac:dyDescent="0.2">
      <c r="A1091" s="16"/>
      <c r="B1091" s="16"/>
      <c r="C1091" s="17"/>
      <c r="D1091" s="17"/>
      <c r="E1091" s="17"/>
      <c r="F1091" s="17"/>
      <c r="G1091" s="17"/>
      <c r="H1091" s="17"/>
    </row>
    <row r="1092" spans="1:8" x14ac:dyDescent="0.2">
      <c r="A1092" s="16"/>
      <c r="B1092" s="16"/>
      <c r="C1092" s="17"/>
      <c r="D1092" s="17"/>
      <c r="E1092" s="17"/>
      <c r="F1092" s="17"/>
      <c r="G1092" s="17"/>
      <c r="H1092" s="17"/>
    </row>
    <row r="1093" spans="1:8" x14ac:dyDescent="0.2">
      <c r="A1093" s="16"/>
      <c r="B1093" s="16"/>
      <c r="C1093" s="17"/>
      <c r="D1093" s="17"/>
      <c r="E1093" s="17"/>
      <c r="F1093" s="17"/>
      <c r="G1093" s="17"/>
      <c r="H1093" s="17"/>
    </row>
    <row r="1094" spans="1:8" x14ac:dyDescent="0.2">
      <c r="A1094" s="16"/>
      <c r="B1094" s="16"/>
      <c r="C1094" s="17"/>
      <c r="D1094" s="17"/>
      <c r="E1094" s="17"/>
      <c r="F1094" s="17"/>
      <c r="G1094" s="17"/>
      <c r="H1094" s="17"/>
    </row>
    <row r="1095" spans="1:8" x14ac:dyDescent="0.2">
      <c r="A1095" s="16"/>
      <c r="B1095" s="16"/>
      <c r="C1095" s="17"/>
      <c r="D1095" s="17"/>
      <c r="E1095" s="17"/>
      <c r="F1095" s="17"/>
      <c r="G1095" s="17"/>
      <c r="H1095" s="17"/>
    </row>
    <row r="1096" spans="1:8" x14ac:dyDescent="0.2">
      <c r="A1096" s="16"/>
      <c r="B1096" s="16"/>
      <c r="C1096" s="17"/>
      <c r="D1096" s="17"/>
      <c r="E1096" s="17"/>
      <c r="F1096" s="17"/>
      <c r="G1096" s="17"/>
      <c r="H1096" s="17"/>
    </row>
    <row r="1097" spans="1:8" x14ac:dyDescent="0.2">
      <c r="A1097" s="16"/>
      <c r="B1097" s="16"/>
      <c r="C1097" s="17"/>
      <c r="D1097" s="17"/>
      <c r="E1097" s="17"/>
      <c r="F1097" s="17"/>
      <c r="G1097" s="17"/>
      <c r="H1097" s="17"/>
    </row>
    <row r="1098" spans="1:8" x14ac:dyDescent="0.2">
      <c r="A1098" s="16"/>
      <c r="B1098" s="16"/>
      <c r="C1098" s="17"/>
      <c r="D1098" s="17"/>
      <c r="E1098" s="17"/>
      <c r="F1098" s="17"/>
      <c r="G1098" s="17"/>
      <c r="H1098" s="17"/>
    </row>
    <row r="1099" spans="1:8" x14ac:dyDescent="0.2">
      <c r="A1099" s="16"/>
      <c r="B1099" s="16"/>
      <c r="C1099" s="17"/>
      <c r="D1099" s="17"/>
      <c r="E1099" s="17"/>
      <c r="F1099" s="17"/>
      <c r="G1099" s="17"/>
      <c r="H1099" s="17"/>
    </row>
    <row r="1100" spans="1:8" x14ac:dyDescent="0.2">
      <c r="A1100" s="16"/>
      <c r="B1100" s="16"/>
      <c r="C1100" s="17"/>
      <c r="D1100" s="17"/>
      <c r="E1100" s="17"/>
      <c r="F1100" s="17"/>
      <c r="G1100" s="17"/>
      <c r="H1100" s="17"/>
    </row>
    <row r="1101" spans="1:8" x14ac:dyDescent="0.2">
      <c r="A1101" s="16"/>
      <c r="B1101" s="16"/>
      <c r="C1101" s="17"/>
      <c r="D1101" s="17"/>
      <c r="E1101" s="17"/>
      <c r="F1101" s="17"/>
      <c r="G1101" s="17"/>
      <c r="H1101" s="17"/>
    </row>
    <row r="1102" spans="1:8" x14ac:dyDescent="0.2">
      <c r="A1102" s="16"/>
      <c r="B1102" s="16"/>
      <c r="C1102" s="17"/>
      <c r="D1102" s="17"/>
      <c r="E1102" s="17"/>
      <c r="F1102" s="17"/>
      <c r="G1102" s="17"/>
      <c r="H1102" s="17"/>
    </row>
    <row r="1103" spans="1:8" x14ac:dyDescent="0.2">
      <c r="A1103" s="16"/>
      <c r="B1103" s="16"/>
      <c r="C1103" s="17"/>
      <c r="D1103" s="17"/>
      <c r="E1103" s="17"/>
      <c r="F1103" s="17"/>
      <c r="G1103" s="17"/>
      <c r="H1103" s="17"/>
    </row>
    <row r="1104" spans="1:8" x14ac:dyDescent="0.2">
      <c r="A1104" s="16"/>
      <c r="B1104" s="16"/>
      <c r="C1104" s="17"/>
      <c r="D1104" s="17"/>
      <c r="E1104" s="17"/>
      <c r="F1104" s="17"/>
      <c r="G1104" s="17"/>
      <c r="H1104" s="17"/>
    </row>
    <row r="1105" spans="1:8" x14ac:dyDescent="0.2">
      <c r="A1105" s="16"/>
      <c r="B1105" s="16"/>
      <c r="C1105" s="17"/>
      <c r="D1105" s="17"/>
      <c r="E1105" s="17"/>
      <c r="F1105" s="17"/>
      <c r="G1105" s="17"/>
      <c r="H1105" s="17"/>
    </row>
    <row r="1106" spans="1:8" x14ac:dyDescent="0.2">
      <c r="A1106" s="16"/>
      <c r="B1106" s="16"/>
      <c r="C1106" s="17"/>
      <c r="D1106" s="17"/>
      <c r="E1106" s="17"/>
      <c r="F1106" s="17"/>
      <c r="G1106" s="17"/>
      <c r="H1106" s="17"/>
    </row>
    <row r="1107" spans="1:8" x14ac:dyDescent="0.2">
      <c r="A1107" s="16"/>
      <c r="B1107" s="16"/>
      <c r="C1107" s="17"/>
      <c r="D1107" s="17"/>
      <c r="E1107" s="17"/>
      <c r="F1107" s="17"/>
      <c r="G1107" s="17"/>
      <c r="H1107" s="17"/>
    </row>
    <row r="1108" spans="1:8" x14ac:dyDescent="0.2">
      <c r="A1108" s="16"/>
      <c r="B1108" s="16"/>
      <c r="C1108" s="17"/>
      <c r="D1108" s="17"/>
      <c r="E1108" s="17"/>
      <c r="F1108" s="17"/>
      <c r="G1108" s="17"/>
      <c r="H1108" s="17"/>
    </row>
    <row r="1109" spans="1:8" x14ac:dyDescent="0.2">
      <c r="A1109" s="16"/>
      <c r="B1109" s="16"/>
      <c r="C1109" s="17"/>
      <c r="D1109" s="17"/>
      <c r="E1109" s="17"/>
      <c r="F1109" s="17"/>
      <c r="G1109" s="17"/>
      <c r="H1109" s="17"/>
    </row>
    <row r="1110" spans="1:8" x14ac:dyDescent="0.2">
      <c r="A1110" s="16"/>
      <c r="B1110" s="16"/>
      <c r="C1110" s="17"/>
      <c r="D1110" s="17"/>
      <c r="E1110" s="17"/>
      <c r="F1110" s="17"/>
      <c r="G1110" s="17"/>
      <c r="H1110" s="17"/>
    </row>
    <row r="1111" spans="1:8" x14ac:dyDescent="0.2">
      <c r="A1111" s="16"/>
      <c r="B1111" s="16"/>
      <c r="C1111" s="17"/>
      <c r="D1111" s="17"/>
      <c r="E1111" s="17"/>
      <c r="F1111" s="17"/>
      <c r="G1111" s="17"/>
      <c r="H1111" s="17"/>
    </row>
    <row r="1112" spans="1:8" x14ac:dyDescent="0.2">
      <c r="A1112" s="16"/>
      <c r="B1112" s="16"/>
      <c r="C1112" s="17"/>
      <c r="D1112" s="17"/>
      <c r="E1112" s="17"/>
      <c r="F1112" s="17"/>
      <c r="G1112" s="17"/>
      <c r="H1112" s="17"/>
    </row>
    <row r="1113" spans="1:8" x14ac:dyDescent="0.2">
      <c r="A1113" s="16"/>
      <c r="B1113" s="16"/>
      <c r="C1113" s="17"/>
      <c r="D1113" s="17"/>
      <c r="E1113" s="17"/>
      <c r="F1113" s="17"/>
      <c r="G1113" s="17"/>
      <c r="H1113" s="17"/>
    </row>
    <row r="1114" spans="1:8" x14ac:dyDescent="0.2">
      <c r="A1114" s="16"/>
      <c r="B1114" s="16"/>
      <c r="C1114" s="17"/>
      <c r="D1114" s="17"/>
      <c r="E1114" s="17"/>
      <c r="F1114" s="17"/>
      <c r="G1114" s="17"/>
      <c r="H1114" s="17"/>
    </row>
    <row r="1115" spans="1:8" x14ac:dyDescent="0.2">
      <c r="A1115" s="16"/>
      <c r="B1115" s="16"/>
      <c r="C1115" s="17"/>
      <c r="D1115" s="17"/>
      <c r="E1115" s="17"/>
      <c r="F1115" s="17"/>
      <c r="G1115" s="17"/>
      <c r="H1115" s="17"/>
    </row>
    <row r="1116" spans="1:8" x14ac:dyDescent="0.2">
      <c r="A1116" s="16"/>
      <c r="B1116" s="16"/>
      <c r="C1116" s="17"/>
      <c r="D1116" s="17"/>
      <c r="E1116" s="17"/>
      <c r="F1116" s="17"/>
      <c r="G1116" s="17"/>
      <c r="H1116" s="17"/>
    </row>
    <row r="1117" spans="1:8" x14ac:dyDescent="0.2">
      <c r="A1117" s="16"/>
      <c r="B1117" s="16"/>
      <c r="C1117" s="17"/>
      <c r="D1117" s="17"/>
      <c r="E1117" s="17"/>
      <c r="F1117" s="17"/>
      <c r="G1117" s="17"/>
      <c r="H1117" s="17"/>
    </row>
    <row r="1118" spans="1:8" x14ac:dyDescent="0.2">
      <c r="A1118" s="16"/>
      <c r="B1118" s="16"/>
      <c r="C1118" s="17"/>
      <c r="D1118" s="17"/>
      <c r="E1118" s="17"/>
      <c r="F1118" s="17"/>
      <c r="G1118" s="17"/>
      <c r="H1118" s="17"/>
    </row>
    <row r="1119" spans="1:8" x14ac:dyDescent="0.2">
      <c r="A1119" s="16"/>
      <c r="B1119" s="16"/>
      <c r="C1119" s="17"/>
      <c r="D1119" s="17"/>
      <c r="E1119" s="17"/>
      <c r="F1119" s="17"/>
      <c r="G1119" s="17"/>
      <c r="H1119" s="17"/>
    </row>
    <row r="1120" spans="1:8" x14ac:dyDescent="0.2">
      <c r="A1120" s="16"/>
      <c r="B1120" s="16"/>
      <c r="C1120" s="17"/>
      <c r="D1120" s="17"/>
      <c r="E1120" s="17"/>
      <c r="F1120" s="17"/>
      <c r="G1120" s="17"/>
      <c r="H1120" s="17"/>
    </row>
    <row r="1121" spans="1:8" x14ac:dyDescent="0.2">
      <c r="A1121" s="16"/>
      <c r="B1121" s="16"/>
      <c r="C1121" s="17"/>
      <c r="D1121" s="17"/>
      <c r="E1121" s="17"/>
      <c r="F1121" s="17"/>
      <c r="G1121" s="17"/>
      <c r="H1121" s="17"/>
    </row>
    <row r="1122" spans="1:8" x14ac:dyDescent="0.2">
      <c r="A1122" s="16"/>
      <c r="B1122" s="16"/>
      <c r="C1122" s="17"/>
      <c r="D1122" s="17"/>
      <c r="E1122" s="17"/>
      <c r="F1122" s="17"/>
      <c r="G1122" s="17"/>
      <c r="H1122" s="17"/>
    </row>
    <row r="1123" spans="1:8" x14ac:dyDescent="0.2">
      <c r="A1123" s="16"/>
      <c r="B1123" s="16"/>
      <c r="C1123" s="17"/>
      <c r="D1123" s="17"/>
      <c r="E1123" s="17"/>
      <c r="F1123" s="17"/>
      <c r="G1123" s="17"/>
      <c r="H1123" s="17"/>
    </row>
    <row r="1124" spans="1:8" x14ac:dyDescent="0.2">
      <c r="A1124" s="16"/>
      <c r="B1124" s="16"/>
      <c r="C1124" s="17"/>
      <c r="D1124" s="17"/>
      <c r="E1124" s="17"/>
      <c r="F1124" s="17"/>
      <c r="G1124" s="17"/>
      <c r="H1124" s="17"/>
    </row>
    <row r="1125" spans="1:8" x14ac:dyDescent="0.2">
      <c r="A1125" s="16"/>
      <c r="B1125" s="16"/>
      <c r="C1125" s="17"/>
      <c r="D1125" s="17"/>
      <c r="E1125" s="17"/>
      <c r="F1125" s="17"/>
      <c r="G1125" s="17"/>
      <c r="H1125" s="17"/>
    </row>
    <row r="1126" spans="1:8" x14ac:dyDescent="0.2">
      <c r="A1126" s="16"/>
      <c r="B1126" s="16"/>
      <c r="C1126" s="17"/>
      <c r="D1126" s="17"/>
      <c r="E1126" s="17"/>
      <c r="F1126" s="17"/>
      <c r="G1126" s="17"/>
      <c r="H1126" s="17"/>
    </row>
    <row r="1127" spans="1:8" x14ac:dyDescent="0.2">
      <c r="A1127" s="16"/>
      <c r="B1127" s="16"/>
      <c r="C1127" s="17"/>
      <c r="D1127" s="17"/>
      <c r="E1127" s="17"/>
      <c r="F1127" s="17"/>
      <c r="G1127" s="17"/>
      <c r="H1127" s="17"/>
    </row>
    <row r="1128" spans="1:8" x14ac:dyDescent="0.2">
      <c r="A1128" s="16"/>
      <c r="B1128" s="16"/>
      <c r="C1128" s="17"/>
      <c r="D1128" s="17"/>
      <c r="E1128" s="17"/>
      <c r="F1128" s="17"/>
      <c r="G1128" s="17"/>
      <c r="H1128" s="17"/>
    </row>
    <row r="1129" spans="1:8" x14ac:dyDescent="0.2">
      <c r="A1129" s="16"/>
      <c r="B1129" s="16"/>
      <c r="C1129" s="17"/>
      <c r="D1129" s="17"/>
      <c r="E1129" s="17"/>
      <c r="F1129" s="17"/>
      <c r="G1129" s="17"/>
      <c r="H1129" s="17"/>
    </row>
    <row r="1130" spans="1:8" x14ac:dyDescent="0.2">
      <c r="A1130" s="16"/>
      <c r="B1130" s="16"/>
      <c r="C1130" s="17"/>
      <c r="D1130" s="17"/>
      <c r="E1130" s="17"/>
      <c r="F1130" s="17"/>
      <c r="G1130" s="17"/>
      <c r="H1130" s="17"/>
    </row>
    <row r="1131" spans="1:8" x14ac:dyDescent="0.2">
      <c r="A1131" s="16"/>
      <c r="B1131" s="16"/>
      <c r="C1131" s="17"/>
      <c r="D1131" s="17"/>
      <c r="E1131" s="17"/>
      <c r="F1131" s="17"/>
      <c r="G1131" s="17"/>
      <c r="H1131" s="17"/>
    </row>
    <row r="1132" spans="1:8" x14ac:dyDescent="0.2">
      <c r="A1132" s="16"/>
      <c r="B1132" s="16"/>
      <c r="C1132" s="17"/>
      <c r="D1132" s="17"/>
      <c r="E1132" s="17"/>
      <c r="F1132" s="17"/>
      <c r="G1132" s="17"/>
      <c r="H1132" s="17"/>
    </row>
    <row r="1133" spans="1:8" x14ac:dyDescent="0.2">
      <c r="A1133" s="16"/>
      <c r="B1133" s="16"/>
      <c r="C1133" s="17"/>
      <c r="D1133" s="17"/>
      <c r="E1133" s="17"/>
      <c r="F1133" s="17"/>
      <c r="G1133" s="17"/>
      <c r="H1133" s="17"/>
    </row>
    <row r="1134" spans="1:8" x14ac:dyDescent="0.2">
      <c r="A1134" s="16"/>
      <c r="B1134" s="16"/>
      <c r="C1134" s="17"/>
      <c r="D1134" s="17"/>
      <c r="E1134" s="17"/>
      <c r="F1134" s="17"/>
      <c r="G1134" s="17"/>
      <c r="H1134" s="17"/>
    </row>
    <row r="1135" spans="1:8" x14ac:dyDescent="0.2">
      <c r="A1135" s="16"/>
      <c r="B1135" s="16"/>
      <c r="C1135" s="17"/>
      <c r="D1135" s="17"/>
      <c r="E1135" s="17"/>
      <c r="F1135" s="17"/>
      <c r="G1135" s="17"/>
      <c r="H1135" s="17"/>
    </row>
    <row r="1136" spans="1:8" x14ac:dyDescent="0.2">
      <c r="A1136" s="16"/>
      <c r="B1136" s="16"/>
      <c r="C1136" s="17"/>
      <c r="D1136" s="17"/>
      <c r="E1136" s="17"/>
      <c r="F1136" s="17"/>
      <c r="G1136" s="17"/>
      <c r="H1136" s="17"/>
    </row>
    <row r="1137" spans="1:8" x14ac:dyDescent="0.2">
      <c r="A1137" s="16"/>
      <c r="B1137" s="16"/>
      <c r="C1137" s="17"/>
      <c r="D1137" s="17"/>
      <c r="E1137" s="17"/>
      <c r="F1137" s="17"/>
      <c r="G1137" s="17"/>
      <c r="H1137" s="17"/>
    </row>
    <row r="1138" spans="1:8" x14ac:dyDescent="0.2">
      <c r="A1138" s="16"/>
      <c r="B1138" s="16"/>
      <c r="C1138" s="17"/>
      <c r="D1138" s="17"/>
      <c r="E1138" s="17"/>
      <c r="F1138" s="17"/>
      <c r="G1138" s="17"/>
      <c r="H1138" s="17"/>
    </row>
    <row r="1139" spans="1:8" x14ac:dyDescent="0.2">
      <c r="A1139" s="16"/>
      <c r="B1139" s="16"/>
      <c r="C1139" s="17"/>
      <c r="D1139" s="17"/>
      <c r="E1139" s="17"/>
      <c r="F1139" s="17"/>
      <c r="G1139" s="17"/>
      <c r="H1139" s="17"/>
    </row>
    <row r="1140" spans="1:8" x14ac:dyDescent="0.2">
      <c r="A1140" s="16"/>
      <c r="B1140" s="16"/>
      <c r="C1140" s="17"/>
      <c r="D1140" s="17"/>
      <c r="E1140" s="17"/>
      <c r="F1140" s="17"/>
      <c r="G1140" s="17"/>
      <c r="H1140" s="17"/>
    </row>
    <row r="1141" spans="1:8" x14ac:dyDescent="0.2">
      <c r="A1141" s="16"/>
      <c r="B1141" s="16"/>
      <c r="C1141" s="17"/>
      <c r="D1141" s="17"/>
      <c r="E1141" s="17"/>
      <c r="F1141" s="17"/>
      <c r="G1141" s="17"/>
      <c r="H1141" s="17"/>
    </row>
    <row r="1142" spans="1:8" x14ac:dyDescent="0.2">
      <c r="A1142" s="16"/>
      <c r="B1142" s="16"/>
      <c r="C1142" s="17"/>
      <c r="D1142" s="17"/>
      <c r="E1142" s="17"/>
      <c r="F1142" s="17"/>
      <c r="G1142" s="17"/>
      <c r="H1142" s="17"/>
    </row>
    <row r="1143" spans="1:8" x14ac:dyDescent="0.2">
      <c r="A1143" s="16"/>
      <c r="B1143" s="16"/>
      <c r="C1143" s="17"/>
      <c r="D1143" s="17"/>
      <c r="E1143" s="17"/>
      <c r="F1143" s="17"/>
      <c r="G1143" s="17"/>
      <c r="H1143" s="17"/>
    </row>
    <row r="1144" spans="1:8" x14ac:dyDescent="0.2">
      <c r="A1144" s="16"/>
      <c r="B1144" s="16"/>
      <c r="C1144" s="17"/>
      <c r="D1144" s="17"/>
      <c r="E1144" s="17"/>
      <c r="F1144" s="17"/>
      <c r="G1144" s="17"/>
      <c r="H1144" s="17"/>
    </row>
    <row r="1145" spans="1:8" x14ac:dyDescent="0.2">
      <c r="A1145" s="16"/>
      <c r="B1145" s="16"/>
      <c r="C1145" s="17"/>
      <c r="D1145" s="17"/>
      <c r="E1145" s="17"/>
      <c r="F1145" s="17"/>
      <c r="G1145" s="17"/>
      <c r="H1145" s="17"/>
    </row>
    <row r="1146" spans="1:8" x14ac:dyDescent="0.2">
      <c r="A1146" s="16"/>
      <c r="B1146" s="16"/>
      <c r="C1146" s="17"/>
      <c r="D1146" s="17"/>
      <c r="E1146" s="17"/>
      <c r="F1146" s="17"/>
      <c r="G1146" s="17"/>
      <c r="H1146" s="17"/>
    </row>
    <row r="1147" spans="1:8" x14ac:dyDescent="0.2">
      <c r="A1147" s="16"/>
      <c r="B1147" s="16"/>
      <c r="C1147" s="17"/>
      <c r="D1147" s="17"/>
      <c r="E1147" s="17"/>
      <c r="F1147" s="17"/>
      <c r="G1147" s="17"/>
      <c r="H1147" s="17"/>
    </row>
    <row r="1148" spans="1:8" x14ac:dyDescent="0.2">
      <c r="A1148" s="16"/>
      <c r="B1148" s="16"/>
      <c r="C1148" s="17"/>
      <c r="D1148" s="17"/>
      <c r="E1148" s="17"/>
      <c r="F1148" s="17"/>
      <c r="G1148" s="17"/>
      <c r="H1148" s="17"/>
    </row>
    <row r="1149" spans="1:8" x14ac:dyDescent="0.2">
      <c r="A1149" s="16"/>
      <c r="B1149" s="16"/>
      <c r="C1149" s="17"/>
      <c r="D1149" s="17"/>
      <c r="E1149" s="17"/>
      <c r="F1149" s="17"/>
      <c r="G1149" s="17"/>
      <c r="H1149" s="17"/>
    </row>
    <row r="1150" spans="1:8" x14ac:dyDescent="0.2">
      <c r="A1150" s="16"/>
      <c r="B1150" s="16"/>
      <c r="C1150" s="17"/>
      <c r="D1150" s="17"/>
      <c r="E1150" s="17"/>
      <c r="F1150" s="17"/>
      <c r="G1150" s="17"/>
      <c r="H1150" s="17"/>
    </row>
    <row r="1151" spans="1:8" x14ac:dyDescent="0.2">
      <c r="A1151" s="16"/>
      <c r="B1151" s="16"/>
      <c r="C1151" s="17"/>
      <c r="D1151" s="17"/>
      <c r="E1151" s="17"/>
      <c r="F1151" s="17"/>
      <c r="G1151" s="17"/>
      <c r="H1151" s="17"/>
    </row>
    <row r="1152" spans="1:8" x14ac:dyDescent="0.2">
      <c r="A1152" s="16"/>
      <c r="B1152" s="16"/>
      <c r="C1152" s="17"/>
      <c r="D1152" s="17"/>
      <c r="E1152" s="17"/>
      <c r="F1152" s="17"/>
      <c r="G1152" s="17"/>
      <c r="H1152" s="17"/>
    </row>
    <row r="1153" spans="1:8" x14ac:dyDescent="0.2">
      <c r="A1153" s="16"/>
      <c r="B1153" s="16"/>
      <c r="C1153" s="17"/>
      <c r="D1153" s="17"/>
      <c r="E1153" s="17"/>
      <c r="F1153" s="17"/>
      <c r="G1153" s="17"/>
      <c r="H1153" s="17"/>
    </row>
    <row r="1154" spans="1:8" x14ac:dyDescent="0.2">
      <c r="A1154" s="16"/>
      <c r="B1154" s="16"/>
      <c r="C1154" s="17"/>
      <c r="D1154" s="17"/>
      <c r="E1154" s="17"/>
      <c r="F1154" s="17"/>
      <c r="G1154" s="17"/>
      <c r="H1154" s="17"/>
    </row>
    <row r="1155" spans="1:8" x14ac:dyDescent="0.2">
      <c r="A1155" s="16"/>
      <c r="B1155" s="16"/>
      <c r="C1155" s="17"/>
      <c r="D1155" s="17"/>
      <c r="E1155" s="17"/>
      <c r="F1155" s="17"/>
      <c r="G1155" s="17"/>
      <c r="H1155" s="17"/>
    </row>
    <row r="1156" spans="1:8" x14ac:dyDescent="0.2">
      <c r="A1156" s="16"/>
      <c r="B1156" s="16"/>
      <c r="C1156" s="17"/>
      <c r="D1156" s="17"/>
      <c r="E1156" s="17"/>
      <c r="F1156" s="17"/>
      <c r="G1156" s="17"/>
      <c r="H1156" s="17"/>
    </row>
    <row r="1157" spans="1:8" x14ac:dyDescent="0.2">
      <c r="A1157" s="16"/>
      <c r="B1157" s="16"/>
      <c r="C1157" s="17"/>
      <c r="D1157" s="17"/>
      <c r="E1157" s="17"/>
      <c r="F1157" s="17"/>
      <c r="G1157" s="17"/>
      <c r="H1157" s="17"/>
    </row>
    <row r="1158" spans="1:8" x14ac:dyDescent="0.2">
      <c r="A1158" s="16"/>
      <c r="B1158" s="16"/>
      <c r="C1158" s="17"/>
      <c r="D1158" s="17"/>
      <c r="E1158" s="17"/>
      <c r="F1158" s="17"/>
      <c r="G1158" s="17"/>
      <c r="H1158" s="17"/>
    </row>
    <row r="1159" spans="1:8" x14ac:dyDescent="0.2">
      <c r="A1159" s="16"/>
      <c r="B1159" s="16"/>
      <c r="C1159" s="17"/>
      <c r="D1159" s="17"/>
      <c r="E1159" s="17"/>
      <c r="F1159" s="17"/>
      <c r="G1159" s="17"/>
      <c r="H1159" s="17"/>
    </row>
    <row r="1160" spans="1:8" x14ac:dyDescent="0.2">
      <c r="A1160" s="16"/>
      <c r="B1160" s="16"/>
      <c r="C1160" s="17"/>
      <c r="D1160" s="17"/>
      <c r="E1160" s="17"/>
      <c r="F1160" s="17"/>
      <c r="G1160" s="17"/>
      <c r="H1160" s="17"/>
    </row>
    <row r="1161" spans="1:8" x14ac:dyDescent="0.2">
      <c r="A1161" s="16"/>
      <c r="B1161" s="16"/>
      <c r="C1161" s="17"/>
      <c r="D1161" s="17"/>
      <c r="E1161" s="17"/>
      <c r="F1161" s="17"/>
      <c r="G1161" s="17"/>
      <c r="H1161" s="17"/>
    </row>
    <row r="1162" spans="1:8" x14ac:dyDescent="0.2">
      <c r="A1162" s="16"/>
      <c r="B1162" s="16"/>
      <c r="C1162" s="17"/>
      <c r="D1162" s="17"/>
      <c r="E1162" s="17"/>
      <c r="F1162" s="17"/>
      <c r="G1162" s="17"/>
      <c r="H1162" s="17"/>
    </row>
    <row r="1163" spans="1:8" x14ac:dyDescent="0.2">
      <c r="A1163" s="16"/>
      <c r="B1163" s="16"/>
      <c r="C1163" s="17"/>
      <c r="D1163" s="17"/>
      <c r="E1163" s="17"/>
      <c r="F1163" s="17"/>
      <c r="G1163" s="17"/>
      <c r="H1163" s="17"/>
    </row>
    <row r="1164" spans="1:8" x14ac:dyDescent="0.2">
      <c r="A1164" s="16"/>
      <c r="B1164" s="16"/>
      <c r="C1164" s="17"/>
      <c r="D1164" s="17"/>
      <c r="E1164" s="17"/>
      <c r="F1164" s="17"/>
      <c r="G1164" s="17"/>
      <c r="H1164" s="17"/>
    </row>
    <row r="1165" spans="1:8" x14ac:dyDescent="0.2">
      <c r="A1165" s="16"/>
      <c r="B1165" s="16"/>
      <c r="C1165" s="17"/>
      <c r="D1165" s="17"/>
      <c r="E1165" s="17"/>
      <c r="F1165" s="17"/>
      <c r="G1165" s="17"/>
      <c r="H1165" s="17"/>
    </row>
    <row r="1166" spans="1:8" x14ac:dyDescent="0.2">
      <c r="A1166" s="16"/>
      <c r="B1166" s="16"/>
      <c r="C1166" s="17"/>
      <c r="D1166" s="17"/>
      <c r="E1166" s="17"/>
      <c r="F1166" s="17"/>
      <c r="G1166" s="17"/>
      <c r="H1166" s="17"/>
    </row>
    <row r="1167" spans="1:8" x14ac:dyDescent="0.2">
      <c r="A1167" s="16"/>
      <c r="B1167" s="16"/>
      <c r="C1167" s="17"/>
      <c r="D1167" s="17"/>
      <c r="E1167" s="17"/>
      <c r="F1167" s="17"/>
      <c r="G1167" s="17"/>
      <c r="H1167" s="17"/>
    </row>
    <row r="1168" spans="1:8" x14ac:dyDescent="0.2">
      <c r="A1168" s="16"/>
      <c r="B1168" s="16"/>
      <c r="C1168" s="17"/>
      <c r="D1168" s="17"/>
      <c r="E1168" s="17"/>
      <c r="F1168" s="17"/>
      <c r="G1168" s="17"/>
      <c r="H1168" s="17"/>
    </row>
    <row r="1169" spans="1:8" x14ac:dyDescent="0.2">
      <c r="A1169" s="16"/>
      <c r="B1169" s="16"/>
      <c r="C1169" s="17"/>
      <c r="D1169" s="17"/>
      <c r="E1169" s="17"/>
      <c r="F1169" s="17"/>
      <c r="G1169" s="17"/>
      <c r="H1169" s="17"/>
    </row>
    <row r="1170" spans="1:8" x14ac:dyDescent="0.2">
      <c r="A1170" s="16"/>
      <c r="B1170" s="16"/>
      <c r="C1170" s="17"/>
      <c r="D1170" s="17"/>
      <c r="E1170" s="17"/>
      <c r="F1170" s="17"/>
      <c r="G1170" s="17"/>
      <c r="H1170" s="17"/>
    </row>
    <row r="1171" spans="1:8" x14ac:dyDescent="0.2">
      <c r="A1171" s="16"/>
      <c r="B1171" s="16"/>
      <c r="C1171" s="17"/>
      <c r="D1171" s="17"/>
      <c r="E1171" s="17"/>
      <c r="F1171" s="17"/>
      <c r="G1171" s="17"/>
      <c r="H1171" s="17"/>
    </row>
    <row r="1172" spans="1:8" x14ac:dyDescent="0.2">
      <c r="A1172" s="16"/>
      <c r="B1172" s="16"/>
      <c r="C1172" s="17"/>
      <c r="D1172" s="17"/>
      <c r="E1172" s="17"/>
      <c r="F1172" s="17"/>
      <c r="G1172" s="17"/>
      <c r="H1172" s="17"/>
    </row>
    <row r="1173" spans="1:8" x14ac:dyDescent="0.2">
      <c r="A1173" s="16"/>
      <c r="B1173" s="16"/>
      <c r="C1173" s="17"/>
      <c r="D1173" s="17"/>
      <c r="E1173" s="17"/>
      <c r="F1173" s="17"/>
      <c r="G1173" s="17"/>
      <c r="H1173" s="17"/>
    </row>
    <row r="1174" spans="1:8" x14ac:dyDescent="0.2">
      <c r="A1174" s="16"/>
      <c r="B1174" s="16"/>
      <c r="C1174" s="17"/>
      <c r="D1174" s="17"/>
      <c r="E1174" s="17"/>
      <c r="F1174" s="17"/>
      <c r="G1174" s="17"/>
      <c r="H1174" s="17"/>
    </row>
    <row r="1175" spans="1:8" x14ac:dyDescent="0.2">
      <c r="A1175" s="16"/>
      <c r="B1175" s="16"/>
      <c r="C1175" s="17"/>
      <c r="D1175" s="17"/>
      <c r="E1175" s="17"/>
      <c r="F1175" s="17"/>
      <c r="G1175" s="17"/>
      <c r="H1175" s="17"/>
    </row>
    <row r="1176" spans="1:8" x14ac:dyDescent="0.2">
      <c r="A1176" s="16"/>
      <c r="B1176" s="16"/>
      <c r="C1176" s="17"/>
      <c r="D1176" s="17"/>
      <c r="E1176" s="17"/>
      <c r="F1176" s="17"/>
      <c r="G1176" s="17"/>
      <c r="H1176" s="17"/>
    </row>
    <row r="1177" spans="1:8" x14ac:dyDescent="0.2">
      <c r="A1177" s="16"/>
      <c r="B1177" s="16"/>
      <c r="C1177" s="17"/>
      <c r="D1177" s="17"/>
      <c r="E1177" s="17"/>
      <c r="F1177" s="17"/>
      <c r="G1177" s="17"/>
      <c r="H1177" s="17"/>
    </row>
    <row r="1178" spans="1:8" x14ac:dyDescent="0.2">
      <c r="A1178" s="16"/>
      <c r="B1178" s="16"/>
      <c r="C1178" s="17"/>
      <c r="D1178" s="17"/>
      <c r="E1178" s="17"/>
      <c r="F1178" s="17"/>
      <c r="G1178" s="17"/>
      <c r="H1178" s="17"/>
    </row>
    <row r="1179" spans="1:8" x14ac:dyDescent="0.2">
      <c r="A1179" s="16"/>
      <c r="B1179" s="16"/>
      <c r="C1179" s="17"/>
      <c r="D1179" s="17"/>
      <c r="E1179" s="17"/>
      <c r="F1179" s="17"/>
      <c r="G1179" s="17"/>
      <c r="H1179" s="17"/>
    </row>
    <row r="1180" spans="1:8" x14ac:dyDescent="0.2">
      <c r="A1180" s="16"/>
      <c r="B1180" s="16"/>
      <c r="C1180" s="17"/>
      <c r="D1180" s="17"/>
      <c r="E1180" s="17"/>
      <c r="F1180" s="17"/>
      <c r="G1180" s="17"/>
      <c r="H1180" s="17"/>
    </row>
    <row r="1181" spans="1:8" x14ac:dyDescent="0.2">
      <c r="A1181" s="16"/>
      <c r="B1181" s="16"/>
      <c r="C1181" s="17"/>
      <c r="D1181" s="17"/>
      <c r="E1181" s="17"/>
      <c r="F1181" s="17"/>
      <c r="G1181" s="17"/>
      <c r="H1181" s="17"/>
    </row>
    <row r="1182" spans="1:8" x14ac:dyDescent="0.2">
      <c r="A1182" s="16"/>
      <c r="B1182" s="16"/>
      <c r="C1182" s="17"/>
      <c r="D1182" s="17"/>
      <c r="E1182" s="17"/>
      <c r="F1182" s="17"/>
      <c r="G1182" s="17"/>
      <c r="H1182" s="17"/>
    </row>
    <row r="1183" spans="1:8" x14ac:dyDescent="0.2">
      <c r="A1183" s="16"/>
      <c r="B1183" s="16"/>
      <c r="C1183" s="17"/>
      <c r="D1183" s="17"/>
      <c r="E1183" s="17"/>
      <c r="F1183" s="17"/>
      <c r="G1183" s="17"/>
      <c r="H1183" s="17"/>
    </row>
    <row r="1184" spans="1:8" x14ac:dyDescent="0.2">
      <c r="A1184" s="16"/>
      <c r="B1184" s="16"/>
      <c r="C1184" s="17"/>
      <c r="D1184" s="17"/>
      <c r="E1184" s="17"/>
      <c r="F1184" s="17"/>
      <c r="G1184" s="17"/>
      <c r="H1184" s="17"/>
    </row>
    <row r="1185" spans="1:8" x14ac:dyDescent="0.2">
      <c r="A1185" s="16"/>
      <c r="B1185" s="16"/>
      <c r="C1185" s="17"/>
      <c r="D1185" s="17"/>
      <c r="E1185" s="17"/>
      <c r="F1185" s="17"/>
      <c r="G1185" s="17"/>
      <c r="H1185" s="17"/>
    </row>
    <row r="1186" spans="1:8" x14ac:dyDescent="0.2">
      <c r="A1186" s="16"/>
      <c r="B1186" s="16"/>
      <c r="C1186" s="17"/>
      <c r="D1186" s="17"/>
      <c r="E1186" s="17"/>
      <c r="F1186" s="17"/>
      <c r="G1186" s="17"/>
      <c r="H1186" s="17"/>
    </row>
    <row r="1187" spans="1:8" x14ac:dyDescent="0.2">
      <c r="A1187" s="16"/>
      <c r="B1187" s="16"/>
      <c r="C1187" s="17"/>
      <c r="D1187" s="17"/>
      <c r="E1187" s="17"/>
      <c r="F1187" s="17"/>
      <c r="G1187" s="17"/>
      <c r="H1187" s="17"/>
    </row>
    <row r="1188" spans="1:8" x14ac:dyDescent="0.2">
      <c r="A1188" s="16"/>
      <c r="B1188" s="16"/>
      <c r="C1188" s="17"/>
      <c r="D1188" s="17"/>
      <c r="E1188" s="17"/>
      <c r="F1188" s="17"/>
      <c r="G1188" s="17"/>
      <c r="H1188" s="17"/>
    </row>
    <row r="1189" spans="1:8" x14ac:dyDescent="0.2">
      <c r="A1189" s="16"/>
      <c r="B1189" s="16"/>
      <c r="C1189" s="17"/>
      <c r="D1189" s="17"/>
      <c r="E1189" s="17"/>
      <c r="F1189" s="17"/>
      <c r="G1189" s="17"/>
      <c r="H1189" s="17"/>
    </row>
    <row r="1190" spans="1:8" x14ac:dyDescent="0.2">
      <c r="A1190" s="16"/>
      <c r="B1190" s="16"/>
      <c r="C1190" s="17"/>
      <c r="D1190" s="17"/>
      <c r="E1190" s="17"/>
      <c r="F1190" s="17"/>
      <c r="G1190" s="17"/>
      <c r="H1190" s="17"/>
    </row>
    <row r="1191" spans="1:8" x14ac:dyDescent="0.2">
      <c r="A1191" s="16"/>
      <c r="B1191" s="16"/>
      <c r="C1191" s="17"/>
      <c r="D1191" s="17"/>
      <c r="E1191" s="17"/>
      <c r="F1191" s="17"/>
      <c r="G1191" s="17"/>
      <c r="H1191" s="17"/>
    </row>
    <row r="1192" spans="1:8" x14ac:dyDescent="0.2">
      <c r="A1192" s="16"/>
      <c r="B1192" s="16"/>
      <c r="C1192" s="17"/>
      <c r="D1192" s="17"/>
      <c r="E1192" s="17"/>
      <c r="F1192" s="17"/>
      <c r="G1192" s="17"/>
      <c r="H1192" s="17"/>
    </row>
    <row r="1193" spans="1:8" x14ac:dyDescent="0.2">
      <c r="A1193" s="16"/>
      <c r="B1193" s="16"/>
      <c r="C1193" s="17"/>
      <c r="D1193" s="17"/>
      <c r="E1193" s="17"/>
      <c r="F1193" s="17"/>
      <c r="G1193" s="17"/>
      <c r="H1193" s="17"/>
    </row>
    <row r="1194" spans="1:8" x14ac:dyDescent="0.2">
      <c r="A1194" s="16"/>
      <c r="B1194" s="16"/>
      <c r="C1194" s="17"/>
      <c r="D1194" s="17"/>
      <c r="E1194" s="17"/>
      <c r="F1194" s="17"/>
      <c r="G1194" s="17"/>
      <c r="H1194" s="17"/>
    </row>
    <row r="1195" spans="1:8" x14ac:dyDescent="0.2">
      <c r="A1195" s="16"/>
      <c r="B1195" s="16"/>
      <c r="C1195" s="17"/>
      <c r="D1195" s="17"/>
      <c r="E1195" s="17"/>
      <c r="F1195" s="17"/>
      <c r="G1195" s="17"/>
      <c r="H1195" s="17"/>
    </row>
    <row r="1196" spans="1:8" x14ac:dyDescent="0.2">
      <c r="A1196" s="16"/>
      <c r="B1196" s="16"/>
      <c r="C1196" s="17"/>
      <c r="D1196" s="17"/>
      <c r="E1196" s="17"/>
      <c r="F1196" s="17"/>
      <c r="G1196" s="17"/>
      <c r="H1196" s="17"/>
    </row>
    <row r="1197" spans="1:8" x14ac:dyDescent="0.2">
      <c r="A1197" s="16"/>
      <c r="B1197" s="16"/>
      <c r="C1197" s="17"/>
      <c r="D1197" s="17"/>
      <c r="E1197" s="17"/>
      <c r="F1197" s="17"/>
      <c r="G1197" s="17"/>
      <c r="H1197" s="17"/>
    </row>
    <row r="1198" spans="1:8" x14ac:dyDescent="0.2">
      <c r="A1198" s="16"/>
      <c r="B1198" s="16"/>
      <c r="C1198" s="17"/>
      <c r="D1198" s="17"/>
      <c r="E1198" s="17"/>
      <c r="F1198" s="17"/>
      <c r="G1198" s="17"/>
      <c r="H1198" s="17"/>
    </row>
    <row r="1199" spans="1:8" x14ac:dyDescent="0.2">
      <c r="A1199" s="16"/>
      <c r="B1199" s="16"/>
      <c r="C1199" s="17"/>
      <c r="D1199" s="17"/>
      <c r="E1199" s="17"/>
      <c r="F1199" s="17"/>
      <c r="G1199" s="17"/>
      <c r="H1199" s="17"/>
    </row>
    <row r="1200" spans="1:8" x14ac:dyDescent="0.2">
      <c r="A1200" s="16"/>
      <c r="B1200" s="16"/>
      <c r="C1200" s="17"/>
      <c r="D1200" s="17"/>
      <c r="E1200" s="17"/>
      <c r="F1200" s="17"/>
      <c r="G1200" s="17"/>
      <c r="H1200" s="17"/>
    </row>
    <row r="1201" spans="1:8" x14ac:dyDescent="0.2">
      <c r="A1201" s="16"/>
      <c r="B1201" s="16"/>
      <c r="C1201" s="17"/>
      <c r="D1201" s="17"/>
      <c r="E1201" s="17"/>
      <c r="F1201" s="17"/>
      <c r="G1201" s="17"/>
      <c r="H1201" s="17"/>
    </row>
    <row r="1202" spans="1:8" x14ac:dyDescent="0.2">
      <c r="A1202" s="16"/>
      <c r="B1202" s="16"/>
      <c r="C1202" s="17"/>
      <c r="D1202" s="17"/>
      <c r="E1202" s="17"/>
      <c r="F1202" s="17"/>
      <c r="G1202" s="17"/>
      <c r="H1202" s="17"/>
    </row>
    <row r="1203" spans="1:8" x14ac:dyDescent="0.2">
      <c r="A1203" s="16"/>
      <c r="B1203" s="16"/>
      <c r="C1203" s="17"/>
      <c r="D1203" s="17"/>
      <c r="E1203" s="17"/>
      <c r="F1203" s="17"/>
      <c r="G1203" s="17"/>
      <c r="H1203" s="17"/>
    </row>
    <row r="1204" spans="1:8" x14ac:dyDescent="0.2">
      <c r="A1204" s="16"/>
      <c r="B1204" s="16"/>
      <c r="C1204" s="17"/>
      <c r="D1204" s="17"/>
      <c r="E1204" s="17"/>
      <c r="F1204" s="17"/>
      <c r="G1204" s="17"/>
      <c r="H1204" s="17"/>
    </row>
    <row r="1205" spans="1:8" x14ac:dyDescent="0.2">
      <c r="A1205" s="16"/>
      <c r="B1205" s="16"/>
      <c r="C1205" s="17"/>
      <c r="D1205" s="17"/>
      <c r="E1205" s="17"/>
      <c r="F1205" s="17"/>
      <c r="G1205" s="17"/>
      <c r="H1205" s="17"/>
    </row>
    <row r="1206" spans="1:8" x14ac:dyDescent="0.2">
      <c r="A1206" s="16"/>
      <c r="B1206" s="16"/>
      <c r="C1206" s="17"/>
      <c r="D1206" s="17"/>
      <c r="E1206" s="17"/>
      <c r="F1206" s="17"/>
      <c r="G1206" s="17"/>
      <c r="H1206" s="17"/>
    </row>
    <row r="1207" spans="1:8" x14ac:dyDescent="0.2">
      <c r="A1207" s="16"/>
      <c r="B1207" s="16"/>
      <c r="C1207" s="17"/>
      <c r="D1207" s="17"/>
      <c r="E1207" s="17"/>
      <c r="F1207" s="17"/>
      <c r="G1207" s="17"/>
      <c r="H1207" s="17"/>
    </row>
    <row r="1208" spans="1:8" x14ac:dyDescent="0.2">
      <c r="A1208" s="16"/>
      <c r="B1208" s="16"/>
      <c r="C1208" s="17"/>
      <c r="D1208" s="17"/>
      <c r="E1208" s="17"/>
      <c r="F1208" s="17"/>
      <c r="G1208" s="17"/>
      <c r="H1208" s="17"/>
    </row>
    <row r="1209" spans="1:8" x14ac:dyDescent="0.2">
      <c r="A1209" s="16"/>
      <c r="B1209" s="16"/>
      <c r="C1209" s="17"/>
      <c r="D1209" s="17"/>
      <c r="E1209" s="17"/>
      <c r="F1209" s="17"/>
      <c r="G1209" s="17"/>
      <c r="H1209" s="17"/>
    </row>
    <row r="1210" spans="1:8" x14ac:dyDescent="0.2">
      <c r="A1210" s="16"/>
      <c r="B1210" s="16"/>
      <c r="C1210" s="17"/>
      <c r="D1210" s="17"/>
      <c r="E1210" s="17"/>
      <c r="F1210" s="17"/>
      <c r="G1210" s="17"/>
      <c r="H1210" s="17"/>
    </row>
    <row r="1211" spans="1:8" x14ac:dyDescent="0.2">
      <c r="A1211" s="16"/>
      <c r="B1211" s="16"/>
      <c r="C1211" s="17"/>
      <c r="D1211" s="17"/>
      <c r="E1211" s="17"/>
      <c r="F1211" s="17"/>
      <c r="G1211" s="17"/>
      <c r="H1211" s="17"/>
    </row>
    <row r="1212" spans="1:8" x14ac:dyDescent="0.2">
      <c r="A1212" s="16"/>
      <c r="B1212" s="16"/>
      <c r="C1212" s="17"/>
      <c r="D1212" s="17"/>
      <c r="E1212" s="17"/>
      <c r="F1212" s="17"/>
      <c r="G1212" s="17"/>
      <c r="H1212" s="17"/>
    </row>
    <row r="1213" spans="1:8" x14ac:dyDescent="0.2">
      <c r="A1213" s="16"/>
      <c r="B1213" s="16"/>
      <c r="C1213" s="17"/>
      <c r="D1213" s="17"/>
      <c r="E1213" s="17"/>
      <c r="F1213" s="17"/>
      <c r="G1213" s="17"/>
      <c r="H1213" s="17"/>
    </row>
    <row r="1214" spans="1:8" x14ac:dyDescent="0.2">
      <c r="A1214" s="16"/>
      <c r="B1214" s="16"/>
      <c r="C1214" s="17"/>
      <c r="D1214" s="17"/>
      <c r="E1214" s="17"/>
      <c r="F1214" s="17"/>
      <c r="G1214" s="17"/>
      <c r="H1214" s="17"/>
    </row>
    <row r="1215" spans="1:8" x14ac:dyDescent="0.2">
      <c r="A1215" s="16"/>
      <c r="B1215" s="16"/>
      <c r="C1215" s="17"/>
      <c r="D1215" s="17"/>
      <c r="E1215" s="17"/>
      <c r="F1215" s="17"/>
      <c r="G1215" s="17"/>
      <c r="H1215" s="17"/>
    </row>
    <row r="1216" spans="1:8" x14ac:dyDescent="0.2">
      <c r="A1216" s="16"/>
      <c r="B1216" s="16"/>
      <c r="C1216" s="17"/>
      <c r="D1216" s="17"/>
      <c r="E1216" s="17"/>
      <c r="F1216" s="17"/>
      <c r="G1216" s="17"/>
      <c r="H1216" s="17"/>
    </row>
    <row r="1217" spans="1:8" x14ac:dyDescent="0.2">
      <c r="A1217" s="16"/>
      <c r="B1217" s="16"/>
      <c r="C1217" s="17"/>
      <c r="D1217" s="17"/>
      <c r="E1217" s="17"/>
      <c r="F1217" s="17"/>
      <c r="G1217" s="17"/>
      <c r="H1217" s="17"/>
    </row>
    <row r="1218" spans="1:8" x14ac:dyDescent="0.2">
      <c r="A1218" s="16"/>
      <c r="B1218" s="16"/>
      <c r="C1218" s="17"/>
      <c r="D1218" s="17"/>
      <c r="E1218" s="17"/>
      <c r="F1218" s="17"/>
      <c r="G1218" s="17"/>
      <c r="H1218" s="17"/>
    </row>
    <row r="1219" spans="1:8" x14ac:dyDescent="0.2">
      <c r="A1219" s="16"/>
      <c r="B1219" s="16"/>
      <c r="C1219" s="17"/>
      <c r="D1219" s="17"/>
      <c r="E1219" s="17"/>
      <c r="F1219" s="17"/>
      <c r="G1219" s="17"/>
      <c r="H1219" s="17"/>
    </row>
    <row r="1220" spans="1:8" x14ac:dyDescent="0.2">
      <c r="A1220" s="16"/>
      <c r="B1220" s="16"/>
      <c r="C1220" s="17"/>
      <c r="D1220" s="17"/>
      <c r="E1220" s="17"/>
      <c r="F1220" s="17"/>
      <c r="G1220" s="17"/>
      <c r="H1220" s="17"/>
    </row>
    <row r="1221" spans="1:8" x14ac:dyDescent="0.2">
      <c r="A1221" s="16"/>
      <c r="B1221" s="16"/>
      <c r="C1221" s="17"/>
      <c r="D1221" s="17"/>
      <c r="E1221" s="17"/>
      <c r="F1221" s="17"/>
      <c r="G1221" s="17"/>
      <c r="H1221" s="17"/>
    </row>
    <row r="1222" spans="1:8" x14ac:dyDescent="0.2">
      <c r="A1222" s="16"/>
      <c r="B1222" s="16"/>
      <c r="C1222" s="17"/>
      <c r="D1222" s="17"/>
      <c r="E1222" s="17"/>
      <c r="F1222" s="17"/>
      <c r="G1222" s="17"/>
      <c r="H1222" s="17"/>
    </row>
    <row r="1223" spans="1:8" x14ac:dyDescent="0.2">
      <c r="A1223" s="16"/>
      <c r="B1223" s="16"/>
      <c r="C1223" s="17"/>
      <c r="D1223" s="17"/>
      <c r="E1223" s="17"/>
      <c r="F1223" s="17"/>
      <c r="G1223" s="17"/>
      <c r="H1223" s="17"/>
    </row>
    <row r="1224" spans="1:8" x14ac:dyDescent="0.2">
      <c r="A1224" s="16"/>
      <c r="B1224" s="16"/>
      <c r="C1224" s="17"/>
      <c r="D1224" s="17"/>
      <c r="E1224" s="17"/>
      <c r="F1224" s="17"/>
      <c r="G1224" s="17"/>
      <c r="H1224" s="17"/>
    </row>
    <row r="1225" spans="1:8" x14ac:dyDescent="0.2">
      <c r="A1225" s="16"/>
      <c r="B1225" s="16"/>
      <c r="C1225" s="17"/>
      <c r="D1225" s="17"/>
      <c r="E1225" s="17"/>
      <c r="F1225" s="17"/>
      <c r="G1225" s="17"/>
      <c r="H1225" s="17"/>
    </row>
    <row r="1226" spans="1:8" x14ac:dyDescent="0.2">
      <c r="A1226" s="16"/>
      <c r="B1226" s="16"/>
      <c r="C1226" s="17"/>
      <c r="D1226" s="17"/>
      <c r="E1226" s="17"/>
      <c r="F1226" s="17"/>
      <c r="G1226" s="17"/>
      <c r="H1226" s="17"/>
    </row>
    <row r="1227" spans="1:8" x14ac:dyDescent="0.2">
      <c r="A1227" s="16"/>
      <c r="B1227" s="16"/>
      <c r="C1227" s="17"/>
      <c r="D1227" s="17"/>
      <c r="E1227" s="17"/>
      <c r="F1227" s="17"/>
      <c r="G1227" s="17"/>
      <c r="H1227" s="17"/>
    </row>
    <row r="1228" spans="1:8" x14ac:dyDescent="0.2">
      <c r="A1228" s="16"/>
      <c r="B1228" s="16"/>
      <c r="C1228" s="17"/>
      <c r="D1228" s="17"/>
      <c r="E1228" s="17"/>
      <c r="F1228" s="17"/>
      <c r="G1228" s="17"/>
      <c r="H1228" s="17"/>
    </row>
    <row r="1229" spans="1:8" x14ac:dyDescent="0.2">
      <c r="A1229" s="16"/>
      <c r="B1229" s="16"/>
      <c r="C1229" s="17"/>
      <c r="D1229" s="17"/>
      <c r="E1229" s="17"/>
      <c r="F1229" s="17"/>
      <c r="G1229" s="17"/>
      <c r="H1229" s="17"/>
    </row>
    <row r="1230" spans="1:8" x14ac:dyDescent="0.2">
      <c r="A1230" s="16"/>
      <c r="B1230" s="16"/>
      <c r="C1230" s="17"/>
      <c r="D1230" s="17"/>
      <c r="E1230" s="17"/>
      <c r="F1230" s="17"/>
      <c r="G1230" s="17"/>
      <c r="H1230" s="17"/>
    </row>
    <row r="1231" spans="1:8" x14ac:dyDescent="0.2">
      <c r="A1231" s="16"/>
      <c r="B1231" s="16"/>
      <c r="C1231" s="17"/>
      <c r="D1231" s="17"/>
      <c r="E1231" s="17"/>
      <c r="F1231" s="17"/>
      <c r="G1231" s="17"/>
      <c r="H1231" s="17"/>
    </row>
    <row r="1232" spans="1:8" x14ac:dyDescent="0.2">
      <c r="A1232" s="16"/>
      <c r="B1232" s="16"/>
      <c r="C1232" s="17"/>
      <c r="D1232" s="17"/>
      <c r="E1232" s="17"/>
      <c r="F1232" s="17"/>
      <c r="G1232" s="17"/>
      <c r="H1232" s="17"/>
    </row>
    <row r="1233" spans="1:8" x14ac:dyDescent="0.2">
      <c r="A1233" s="16"/>
      <c r="B1233" s="16"/>
      <c r="C1233" s="17"/>
      <c r="D1233" s="17"/>
      <c r="E1233" s="17"/>
      <c r="F1233" s="17"/>
      <c r="G1233" s="17"/>
      <c r="H1233" s="17"/>
    </row>
    <row r="1234" spans="1:8" x14ac:dyDescent="0.2">
      <c r="A1234" s="16"/>
      <c r="B1234" s="16"/>
      <c r="C1234" s="17"/>
      <c r="D1234" s="17"/>
      <c r="E1234" s="17"/>
      <c r="F1234" s="17"/>
      <c r="G1234" s="17"/>
      <c r="H1234" s="17"/>
    </row>
    <row r="1235" spans="1:8" x14ac:dyDescent="0.2">
      <c r="A1235" s="16"/>
      <c r="B1235" s="16"/>
      <c r="C1235" s="17"/>
      <c r="D1235" s="17"/>
      <c r="E1235" s="17"/>
      <c r="F1235" s="17"/>
      <c r="G1235" s="17"/>
      <c r="H1235" s="17"/>
    </row>
    <row r="1236" spans="1:8" x14ac:dyDescent="0.2">
      <c r="A1236" s="16"/>
      <c r="B1236" s="16"/>
      <c r="C1236" s="17"/>
      <c r="D1236" s="17"/>
      <c r="E1236" s="17"/>
      <c r="F1236" s="17"/>
      <c r="G1236" s="17"/>
      <c r="H1236" s="17"/>
    </row>
    <row r="1237" spans="1:8" x14ac:dyDescent="0.2">
      <c r="A1237" s="16"/>
      <c r="B1237" s="16"/>
      <c r="C1237" s="17"/>
      <c r="D1237" s="17"/>
      <c r="E1237" s="17"/>
      <c r="F1237" s="17"/>
      <c r="G1237" s="17"/>
      <c r="H1237" s="17"/>
    </row>
    <row r="1238" spans="1:8" x14ac:dyDescent="0.2">
      <c r="A1238" s="16"/>
      <c r="B1238" s="16"/>
      <c r="C1238" s="17"/>
      <c r="D1238" s="17"/>
      <c r="E1238" s="17"/>
      <c r="F1238" s="17"/>
      <c r="G1238" s="17"/>
      <c r="H1238" s="17"/>
    </row>
    <row r="1239" spans="1:8" x14ac:dyDescent="0.2">
      <c r="A1239" s="16"/>
      <c r="B1239" s="16"/>
      <c r="C1239" s="17"/>
      <c r="D1239" s="17"/>
      <c r="E1239" s="17"/>
      <c r="F1239" s="17"/>
      <c r="G1239" s="17"/>
      <c r="H1239" s="17"/>
    </row>
    <row r="1240" spans="1:8" x14ac:dyDescent="0.2">
      <c r="A1240" s="16"/>
      <c r="B1240" s="16"/>
      <c r="C1240" s="17"/>
      <c r="D1240" s="17"/>
      <c r="E1240" s="17"/>
      <c r="F1240" s="17"/>
      <c r="G1240" s="17"/>
      <c r="H1240" s="17"/>
    </row>
    <row r="1241" spans="1:8" x14ac:dyDescent="0.2">
      <c r="A1241" s="16"/>
      <c r="B1241" s="16"/>
      <c r="C1241" s="17"/>
      <c r="D1241" s="17"/>
      <c r="E1241" s="17"/>
      <c r="F1241" s="17"/>
      <c r="G1241" s="17"/>
      <c r="H1241" s="17"/>
    </row>
    <row r="1242" spans="1:8" x14ac:dyDescent="0.2">
      <c r="A1242" s="16"/>
      <c r="B1242" s="16"/>
      <c r="C1242" s="17"/>
      <c r="D1242" s="17"/>
      <c r="E1242" s="17"/>
      <c r="F1242" s="17"/>
      <c r="G1242" s="17"/>
      <c r="H1242" s="17"/>
    </row>
    <row r="1243" spans="1:8" x14ac:dyDescent="0.2">
      <c r="A1243" s="16"/>
      <c r="B1243" s="16"/>
      <c r="C1243" s="17"/>
      <c r="D1243" s="17"/>
      <c r="E1243" s="17"/>
      <c r="F1243" s="17"/>
      <c r="G1243" s="17"/>
      <c r="H1243" s="17"/>
    </row>
    <row r="1244" spans="1:8" x14ac:dyDescent="0.2">
      <c r="A1244" s="16"/>
      <c r="B1244" s="16"/>
      <c r="C1244" s="17"/>
      <c r="D1244" s="17"/>
      <c r="E1244" s="17"/>
      <c r="F1244" s="17"/>
      <c r="G1244" s="17"/>
      <c r="H1244" s="17"/>
    </row>
    <row r="1245" spans="1:8" x14ac:dyDescent="0.2">
      <c r="A1245" s="16"/>
      <c r="B1245" s="16"/>
      <c r="C1245" s="17"/>
      <c r="D1245" s="17"/>
      <c r="E1245" s="17"/>
      <c r="F1245" s="17"/>
      <c r="G1245" s="17"/>
      <c r="H1245" s="17"/>
    </row>
    <row r="1246" spans="1:8" x14ac:dyDescent="0.2">
      <c r="A1246" s="16"/>
      <c r="B1246" s="16"/>
      <c r="C1246" s="17"/>
      <c r="D1246" s="17"/>
      <c r="E1246" s="17"/>
      <c r="F1246" s="17"/>
      <c r="G1246" s="17"/>
      <c r="H1246" s="17"/>
    </row>
    <row r="1247" spans="1:8" x14ac:dyDescent="0.2">
      <c r="A1247" s="16"/>
      <c r="B1247" s="16"/>
      <c r="C1247" s="17"/>
      <c r="D1247" s="17"/>
      <c r="E1247" s="17"/>
      <c r="F1247" s="17"/>
      <c r="G1247" s="17"/>
      <c r="H1247" s="17"/>
    </row>
    <row r="1248" spans="1:8" x14ac:dyDescent="0.2">
      <c r="A1248" s="16"/>
      <c r="B1248" s="16"/>
      <c r="C1248" s="17"/>
      <c r="D1248" s="17"/>
      <c r="E1248" s="17"/>
      <c r="F1248" s="17"/>
      <c r="G1248" s="17"/>
      <c r="H1248" s="17"/>
    </row>
    <row r="1249" spans="1:8" x14ac:dyDescent="0.2">
      <c r="A1249" s="16"/>
      <c r="B1249" s="16"/>
      <c r="C1249" s="17"/>
      <c r="D1249" s="17"/>
      <c r="E1249" s="17"/>
      <c r="F1249" s="17"/>
      <c r="G1249" s="17"/>
      <c r="H1249" s="17"/>
    </row>
    <row r="1250" spans="1:8" x14ac:dyDescent="0.2">
      <c r="A1250" s="16"/>
      <c r="B1250" s="16"/>
      <c r="C1250" s="17"/>
      <c r="D1250" s="17"/>
      <c r="E1250" s="17"/>
      <c r="F1250" s="17"/>
      <c r="G1250" s="17"/>
      <c r="H1250" s="17"/>
    </row>
    <row r="1251" spans="1:8" x14ac:dyDescent="0.2">
      <c r="A1251" s="16"/>
      <c r="B1251" s="16"/>
      <c r="C1251" s="17"/>
      <c r="D1251" s="17"/>
      <c r="E1251" s="17"/>
      <c r="F1251" s="17"/>
      <c r="G1251" s="17"/>
      <c r="H1251" s="17"/>
    </row>
    <row r="1252" spans="1:8" x14ac:dyDescent="0.2">
      <c r="A1252" s="16"/>
      <c r="B1252" s="16"/>
      <c r="C1252" s="17"/>
      <c r="D1252" s="17"/>
      <c r="E1252" s="17"/>
      <c r="F1252" s="17"/>
      <c r="G1252" s="17"/>
      <c r="H1252" s="17"/>
    </row>
    <row r="1253" spans="1:8" x14ac:dyDescent="0.2">
      <c r="A1253" s="16"/>
      <c r="B1253" s="16"/>
      <c r="C1253" s="17"/>
      <c r="D1253" s="17"/>
      <c r="E1253" s="17"/>
      <c r="F1253" s="17"/>
      <c r="G1253" s="17"/>
      <c r="H1253" s="17"/>
    </row>
    <row r="1254" spans="1:8" x14ac:dyDescent="0.2">
      <c r="A1254" s="16"/>
      <c r="B1254" s="16"/>
      <c r="C1254" s="17"/>
      <c r="D1254" s="17"/>
      <c r="E1254" s="17"/>
      <c r="F1254" s="17"/>
      <c r="G1254" s="17"/>
      <c r="H1254" s="17"/>
    </row>
    <row r="1255" spans="1:8" x14ac:dyDescent="0.2">
      <c r="A1255" s="16"/>
      <c r="B1255" s="16"/>
      <c r="C1255" s="17"/>
      <c r="D1255" s="17"/>
      <c r="E1255" s="17"/>
      <c r="F1255" s="17"/>
      <c r="G1255" s="17"/>
      <c r="H1255" s="17"/>
    </row>
    <row r="1256" spans="1:8" x14ac:dyDescent="0.2">
      <c r="A1256" s="16"/>
      <c r="B1256" s="16"/>
      <c r="C1256" s="17"/>
      <c r="D1256" s="17"/>
      <c r="E1256" s="17"/>
      <c r="F1256" s="17"/>
      <c r="G1256" s="17"/>
      <c r="H1256" s="17"/>
    </row>
    <row r="1257" spans="1:8" x14ac:dyDescent="0.2">
      <c r="A1257" s="16"/>
      <c r="B1257" s="16"/>
      <c r="C1257" s="17"/>
      <c r="D1257" s="17"/>
      <c r="E1257" s="17"/>
      <c r="F1257" s="17"/>
      <c r="G1257" s="17"/>
      <c r="H1257" s="17"/>
    </row>
    <row r="1258" spans="1:8" x14ac:dyDescent="0.2">
      <c r="A1258" s="16"/>
      <c r="B1258" s="16"/>
      <c r="C1258" s="17"/>
      <c r="D1258" s="17"/>
      <c r="E1258" s="17"/>
      <c r="F1258" s="17"/>
      <c r="G1258" s="17"/>
      <c r="H1258" s="17"/>
    </row>
    <row r="1259" spans="1:8" x14ac:dyDescent="0.2">
      <c r="A1259" s="16"/>
      <c r="B1259" s="16"/>
      <c r="C1259" s="17"/>
      <c r="D1259" s="17"/>
      <c r="E1259" s="17"/>
      <c r="F1259" s="17"/>
      <c r="G1259" s="17"/>
      <c r="H1259" s="17"/>
    </row>
    <row r="1260" spans="1:8" x14ac:dyDescent="0.2">
      <c r="A1260" s="16"/>
      <c r="B1260" s="16"/>
      <c r="C1260" s="17"/>
      <c r="D1260" s="17"/>
      <c r="E1260" s="17"/>
      <c r="F1260" s="17"/>
      <c r="G1260" s="17"/>
      <c r="H1260" s="17"/>
    </row>
    <row r="1261" spans="1:8" x14ac:dyDescent="0.2">
      <c r="A1261" s="16"/>
      <c r="B1261" s="16"/>
      <c r="C1261" s="17"/>
      <c r="D1261" s="17"/>
      <c r="E1261" s="17"/>
      <c r="F1261" s="17"/>
      <c r="G1261" s="17"/>
      <c r="H1261" s="17"/>
    </row>
    <row r="1262" spans="1:8" x14ac:dyDescent="0.2">
      <c r="A1262" s="16"/>
      <c r="B1262" s="16"/>
      <c r="C1262" s="17"/>
      <c r="D1262" s="17"/>
      <c r="E1262" s="17"/>
      <c r="F1262" s="17"/>
      <c r="G1262" s="17"/>
      <c r="H1262" s="17"/>
    </row>
    <row r="1263" spans="1:8" x14ac:dyDescent="0.2">
      <c r="A1263" s="16"/>
      <c r="B1263" s="16"/>
      <c r="C1263" s="17"/>
      <c r="D1263" s="17"/>
      <c r="E1263" s="17"/>
      <c r="F1263" s="17"/>
      <c r="G1263" s="17"/>
      <c r="H1263" s="17"/>
    </row>
    <row r="1264" spans="1:8" x14ac:dyDescent="0.2">
      <c r="A1264" s="16"/>
      <c r="B1264" s="16"/>
      <c r="C1264" s="17"/>
      <c r="D1264" s="17"/>
      <c r="E1264" s="17"/>
      <c r="F1264" s="17"/>
      <c r="G1264" s="17"/>
      <c r="H1264" s="17"/>
    </row>
    <row r="1265" spans="1:8" x14ac:dyDescent="0.2">
      <c r="A1265" s="16"/>
      <c r="B1265" s="16"/>
      <c r="C1265" s="17"/>
      <c r="D1265" s="17"/>
      <c r="E1265" s="17"/>
      <c r="F1265" s="17"/>
      <c r="G1265" s="17"/>
      <c r="H1265" s="17"/>
    </row>
    <row r="1266" spans="1:8" x14ac:dyDescent="0.2">
      <c r="A1266" s="16"/>
      <c r="B1266" s="16"/>
      <c r="C1266" s="17"/>
      <c r="D1266" s="17"/>
      <c r="E1266" s="17"/>
      <c r="F1266" s="17"/>
      <c r="G1266" s="17"/>
      <c r="H1266" s="17"/>
    </row>
    <row r="1267" spans="1:8" x14ac:dyDescent="0.2">
      <c r="A1267" s="16"/>
      <c r="B1267" s="16"/>
      <c r="C1267" s="17"/>
      <c r="D1267" s="17"/>
      <c r="E1267" s="17"/>
      <c r="F1267" s="17"/>
      <c r="G1267" s="17"/>
      <c r="H1267" s="17"/>
    </row>
    <row r="1268" spans="1:8" x14ac:dyDescent="0.2">
      <c r="A1268" s="16"/>
      <c r="B1268" s="16"/>
      <c r="C1268" s="17"/>
      <c r="D1268" s="17"/>
      <c r="E1268" s="17"/>
      <c r="F1268" s="17"/>
      <c r="G1268" s="17"/>
      <c r="H1268" s="17"/>
    </row>
    <row r="1269" spans="1:8" x14ac:dyDescent="0.2">
      <c r="A1269" s="16"/>
      <c r="B1269" s="16"/>
      <c r="C1269" s="17"/>
      <c r="D1269" s="17"/>
      <c r="E1269" s="17"/>
      <c r="F1269" s="17"/>
      <c r="G1269" s="17"/>
      <c r="H1269" s="17"/>
    </row>
    <row r="1270" spans="1:8" x14ac:dyDescent="0.2">
      <c r="A1270" s="16"/>
      <c r="B1270" s="16"/>
      <c r="C1270" s="17"/>
      <c r="D1270" s="17"/>
      <c r="E1270" s="17"/>
      <c r="F1270" s="17"/>
      <c r="G1270" s="17"/>
      <c r="H1270" s="17"/>
    </row>
    <row r="1271" spans="1:8" x14ac:dyDescent="0.2">
      <c r="A1271" s="16"/>
      <c r="B1271" s="16"/>
      <c r="C1271" s="17"/>
      <c r="D1271" s="17"/>
      <c r="E1271" s="17"/>
      <c r="F1271" s="17"/>
      <c r="G1271" s="17"/>
      <c r="H1271" s="17"/>
    </row>
    <row r="1272" spans="1:8" x14ac:dyDescent="0.2">
      <c r="A1272" s="16"/>
      <c r="B1272" s="16"/>
      <c r="C1272" s="17"/>
      <c r="D1272" s="17"/>
      <c r="E1272" s="17"/>
      <c r="F1272" s="17"/>
      <c r="G1272" s="17"/>
      <c r="H1272" s="17"/>
    </row>
    <row r="1273" spans="1:8" x14ac:dyDescent="0.2">
      <c r="A1273" s="16"/>
      <c r="B1273" s="16"/>
      <c r="C1273" s="17"/>
      <c r="D1273" s="17"/>
      <c r="E1273" s="17"/>
      <c r="F1273" s="17"/>
      <c r="G1273" s="17"/>
      <c r="H1273" s="17"/>
    </row>
    <row r="1274" spans="1:8" x14ac:dyDescent="0.2">
      <c r="A1274" s="16"/>
      <c r="B1274" s="16"/>
      <c r="C1274" s="17"/>
      <c r="D1274" s="17"/>
      <c r="E1274" s="17"/>
      <c r="F1274" s="17"/>
      <c r="G1274" s="17"/>
      <c r="H1274" s="17"/>
    </row>
    <row r="1275" spans="1:8" x14ac:dyDescent="0.2">
      <c r="A1275" s="16"/>
      <c r="B1275" s="16"/>
      <c r="C1275" s="17"/>
      <c r="D1275" s="17"/>
      <c r="E1275" s="17"/>
      <c r="F1275" s="17"/>
      <c r="G1275" s="17"/>
      <c r="H1275" s="17"/>
    </row>
    <row r="1276" spans="1:8" x14ac:dyDescent="0.2">
      <c r="A1276" s="16"/>
      <c r="B1276" s="16"/>
      <c r="C1276" s="17"/>
      <c r="D1276" s="17"/>
      <c r="E1276" s="17"/>
      <c r="F1276" s="17"/>
      <c r="G1276" s="17"/>
      <c r="H1276" s="17"/>
    </row>
    <row r="1277" spans="1:8" x14ac:dyDescent="0.2">
      <c r="A1277" s="16"/>
      <c r="B1277" s="16"/>
      <c r="C1277" s="17"/>
      <c r="D1277" s="17"/>
      <c r="E1277" s="17"/>
      <c r="F1277" s="17"/>
      <c r="G1277" s="17"/>
      <c r="H1277" s="17"/>
    </row>
    <row r="1278" spans="1:8" x14ac:dyDescent="0.2">
      <c r="A1278" s="16"/>
      <c r="B1278" s="16"/>
      <c r="C1278" s="17"/>
      <c r="D1278" s="17"/>
      <c r="E1278" s="17"/>
      <c r="F1278" s="17"/>
      <c r="G1278" s="17"/>
      <c r="H1278" s="17"/>
    </row>
    <row r="1279" spans="1:8" x14ac:dyDescent="0.2">
      <c r="A1279" s="16"/>
      <c r="B1279" s="16"/>
      <c r="C1279" s="17"/>
      <c r="D1279" s="17"/>
      <c r="E1279" s="17"/>
      <c r="F1279" s="17"/>
      <c r="G1279" s="17"/>
      <c r="H1279" s="17"/>
    </row>
    <row r="1280" spans="1:8" x14ac:dyDescent="0.2">
      <c r="A1280" s="16"/>
      <c r="B1280" s="16"/>
      <c r="C1280" s="17"/>
      <c r="D1280" s="17"/>
      <c r="E1280" s="17"/>
      <c r="F1280" s="17"/>
      <c r="G1280" s="17"/>
      <c r="H1280" s="17"/>
    </row>
    <row r="1281" spans="1:8" x14ac:dyDescent="0.2">
      <c r="A1281" s="16"/>
      <c r="B1281" s="16"/>
      <c r="C1281" s="17"/>
      <c r="D1281" s="17"/>
      <c r="E1281" s="17"/>
      <c r="F1281" s="17"/>
      <c r="G1281" s="17"/>
      <c r="H1281" s="17"/>
    </row>
    <row r="1282" spans="1:8" x14ac:dyDescent="0.2">
      <c r="A1282" s="16"/>
      <c r="B1282" s="16"/>
      <c r="C1282" s="17"/>
      <c r="D1282" s="17"/>
      <c r="E1282" s="17"/>
      <c r="F1282" s="17"/>
      <c r="G1282" s="17"/>
      <c r="H1282" s="17"/>
    </row>
    <row r="1283" spans="1:8" x14ac:dyDescent="0.2">
      <c r="A1283" s="16"/>
      <c r="B1283" s="16"/>
      <c r="C1283" s="17"/>
      <c r="D1283" s="17"/>
      <c r="E1283" s="17"/>
      <c r="F1283" s="17"/>
      <c r="G1283" s="17"/>
      <c r="H1283" s="17"/>
    </row>
    <row r="1284" spans="1:8" x14ac:dyDescent="0.2">
      <c r="A1284" s="16"/>
      <c r="B1284" s="16"/>
      <c r="C1284" s="17"/>
      <c r="D1284" s="17"/>
      <c r="E1284" s="17"/>
      <c r="F1284" s="17"/>
      <c r="G1284" s="17"/>
      <c r="H1284" s="17"/>
    </row>
    <row r="1285" spans="1:8" x14ac:dyDescent="0.2">
      <c r="A1285" s="16"/>
      <c r="B1285" s="16"/>
      <c r="C1285" s="17"/>
      <c r="D1285" s="17"/>
      <c r="E1285" s="17"/>
      <c r="F1285" s="17"/>
      <c r="G1285" s="17"/>
      <c r="H1285" s="17"/>
    </row>
    <row r="1286" spans="1:8" x14ac:dyDescent="0.2">
      <c r="A1286" s="16"/>
      <c r="B1286" s="16"/>
      <c r="C1286" s="17"/>
      <c r="D1286" s="17"/>
      <c r="E1286" s="17"/>
      <c r="F1286" s="17"/>
      <c r="G1286" s="17"/>
      <c r="H1286" s="17"/>
    </row>
    <row r="1287" spans="1:8" x14ac:dyDescent="0.2">
      <c r="A1287" s="16"/>
      <c r="B1287" s="16"/>
      <c r="C1287" s="17"/>
      <c r="D1287" s="17"/>
      <c r="E1287" s="17"/>
      <c r="F1287" s="17"/>
      <c r="G1287" s="17"/>
      <c r="H1287" s="17"/>
    </row>
    <row r="1288" spans="1:8" x14ac:dyDescent="0.2">
      <c r="A1288" s="16"/>
      <c r="B1288" s="16"/>
      <c r="C1288" s="17"/>
      <c r="D1288" s="17"/>
      <c r="E1288" s="17"/>
      <c r="F1288" s="17"/>
      <c r="G1288" s="17"/>
      <c r="H1288" s="17"/>
    </row>
    <row r="1289" spans="1:8" x14ac:dyDescent="0.2">
      <c r="A1289" s="16"/>
      <c r="B1289" s="16"/>
      <c r="C1289" s="17"/>
      <c r="D1289" s="17"/>
      <c r="E1289" s="17"/>
      <c r="F1289" s="17"/>
      <c r="G1289" s="17"/>
      <c r="H1289" s="17"/>
    </row>
    <row r="1290" spans="1:8" x14ac:dyDescent="0.2">
      <c r="A1290" s="16"/>
      <c r="B1290" s="16"/>
      <c r="C1290" s="17"/>
      <c r="D1290" s="17"/>
      <c r="E1290" s="17"/>
      <c r="F1290" s="17"/>
      <c r="G1290" s="17"/>
      <c r="H1290" s="17"/>
    </row>
    <row r="1291" spans="1:8" x14ac:dyDescent="0.2">
      <c r="A1291" s="16"/>
      <c r="B1291" s="16"/>
      <c r="C1291" s="17"/>
      <c r="D1291" s="17"/>
      <c r="E1291" s="17"/>
      <c r="F1291" s="17"/>
      <c r="G1291" s="17"/>
      <c r="H1291" s="17"/>
    </row>
    <row r="1292" spans="1:8" x14ac:dyDescent="0.2">
      <c r="A1292" s="16"/>
      <c r="B1292" s="16"/>
      <c r="C1292" s="17"/>
      <c r="D1292" s="17"/>
      <c r="E1292" s="17"/>
      <c r="F1292" s="17"/>
      <c r="G1292" s="17"/>
      <c r="H1292" s="17"/>
    </row>
    <row r="1293" spans="1:8" x14ac:dyDescent="0.2">
      <c r="A1293" s="16"/>
      <c r="B1293" s="16"/>
      <c r="C1293" s="17"/>
      <c r="D1293" s="17"/>
      <c r="E1293" s="17"/>
      <c r="F1293" s="17"/>
      <c r="G1293" s="17"/>
      <c r="H1293" s="17"/>
    </row>
    <row r="1294" spans="1:8" x14ac:dyDescent="0.2">
      <c r="A1294" s="16"/>
      <c r="B1294" s="16"/>
      <c r="C1294" s="17"/>
      <c r="D1294" s="17"/>
      <c r="E1294" s="17"/>
      <c r="F1294" s="17"/>
      <c r="G1294" s="17"/>
      <c r="H1294" s="17"/>
    </row>
    <row r="1295" spans="1:8" x14ac:dyDescent="0.2">
      <c r="A1295" s="16"/>
      <c r="B1295" s="16"/>
      <c r="C1295" s="17"/>
      <c r="D1295" s="17"/>
      <c r="E1295" s="17"/>
      <c r="F1295" s="17"/>
      <c r="G1295" s="17"/>
      <c r="H1295" s="17"/>
    </row>
    <row r="1296" spans="1:8" x14ac:dyDescent="0.2">
      <c r="A1296" s="16"/>
      <c r="B1296" s="16"/>
      <c r="C1296" s="17"/>
      <c r="D1296" s="17"/>
      <c r="E1296" s="17"/>
      <c r="F1296" s="17"/>
      <c r="G1296" s="17"/>
      <c r="H1296" s="17"/>
    </row>
    <row r="1297" spans="1:8" x14ac:dyDescent="0.2">
      <c r="A1297" s="16"/>
      <c r="B1297" s="16"/>
      <c r="C1297" s="17"/>
      <c r="D1297" s="17"/>
      <c r="E1297" s="17"/>
      <c r="F1297" s="17"/>
      <c r="G1297" s="17"/>
      <c r="H1297" s="17"/>
    </row>
    <row r="1298" spans="1:8" x14ac:dyDescent="0.2">
      <c r="A1298" s="16"/>
      <c r="B1298" s="16"/>
      <c r="C1298" s="17"/>
      <c r="D1298" s="17"/>
      <c r="E1298" s="17"/>
      <c r="F1298" s="17"/>
      <c r="G1298" s="17"/>
      <c r="H1298" s="17"/>
    </row>
    <row r="1299" spans="1:8" x14ac:dyDescent="0.2">
      <c r="A1299" s="16"/>
      <c r="B1299" s="16"/>
      <c r="C1299" s="17"/>
      <c r="D1299" s="17"/>
      <c r="E1299" s="17"/>
      <c r="F1299" s="17"/>
      <c r="G1299" s="17"/>
      <c r="H1299" s="17"/>
    </row>
    <row r="1300" spans="1:8" x14ac:dyDescent="0.2">
      <c r="A1300" s="16"/>
      <c r="B1300" s="16"/>
      <c r="C1300" s="17"/>
      <c r="D1300" s="17"/>
      <c r="E1300" s="17"/>
      <c r="F1300" s="17"/>
      <c r="G1300" s="17"/>
      <c r="H1300" s="17"/>
    </row>
    <row r="1301" spans="1:8" x14ac:dyDescent="0.2">
      <c r="A1301" s="16"/>
      <c r="B1301" s="16"/>
      <c r="C1301" s="17"/>
      <c r="D1301" s="17"/>
      <c r="E1301" s="17"/>
      <c r="F1301" s="17"/>
      <c r="G1301" s="17"/>
      <c r="H1301" s="17"/>
    </row>
    <row r="1302" spans="1:8" x14ac:dyDescent="0.2">
      <c r="A1302" s="16"/>
      <c r="B1302" s="16"/>
      <c r="C1302" s="17"/>
      <c r="D1302" s="17"/>
      <c r="E1302" s="17"/>
      <c r="F1302" s="17"/>
      <c r="G1302" s="17"/>
      <c r="H1302" s="17"/>
    </row>
    <row r="1303" spans="1:8" x14ac:dyDescent="0.2">
      <c r="A1303" s="16"/>
      <c r="B1303" s="16"/>
      <c r="C1303" s="17"/>
      <c r="D1303" s="17"/>
      <c r="E1303" s="17"/>
      <c r="F1303" s="17"/>
      <c r="G1303" s="17"/>
      <c r="H1303" s="17"/>
    </row>
    <row r="1304" spans="1:8" x14ac:dyDescent="0.2">
      <c r="A1304" s="16"/>
      <c r="B1304" s="16"/>
      <c r="C1304" s="17"/>
      <c r="D1304" s="17"/>
      <c r="E1304" s="17"/>
      <c r="F1304" s="17"/>
      <c r="G1304" s="17"/>
      <c r="H1304" s="17"/>
    </row>
    <row r="1305" spans="1:8" x14ac:dyDescent="0.2">
      <c r="A1305" s="16"/>
      <c r="B1305" s="16"/>
      <c r="C1305" s="17"/>
      <c r="D1305" s="17"/>
      <c r="E1305" s="17"/>
      <c r="F1305" s="17"/>
      <c r="G1305" s="17"/>
      <c r="H1305" s="17"/>
    </row>
    <row r="1306" spans="1:8" x14ac:dyDescent="0.2">
      <c r="A1306" s="16"/>
      <c r="B1306" s="16"/>
      <c r="C1306" s="17"/>
      <c r="D1306" s="17"/>
      <c r="E1306" s="17"/>
      <c r="F1306" s="17"/>
      <c r="G1306" s="17"/>
      <c r="H1306" s="17"/>
    </row>
    <row r="1307" spans="1:8" x14ac:dyDescent="0.2">
      <c r="A1307" s="16"/>
      <c r="B1307" s="16"/>
      <c r="C1307" s="17"/>
      <c r="D1307" s="17"/>
      <c r="E1307" s="17"/>
      <c r="F1307" s="17"/>
      <c r="G1307" s="17"/>
      <c r="H1307" s="17"/>
    </row>
    <row r="1308" spans="1:8" x14ac:dyDescent="0.2">
      <c r="A1308" s="16"/>
      <c r="B1308" s="16"/>
      <c r="C1308" s="17"/>
      <c r="D1308" s="17"/>
      <c r="E1308" s="17"/>
      <c r="F1308" s="17"/>
      <c r="G1308" s="17"/>
      <c r="H1308" s="17"/>
    </row>
    <row r="1309" spans="1:8" x14ac:dyDescent="0.2">
      <c r="A1309" s="16"/>
      <c r="B1309" s="16"/>
      <c r="C1309" s="17"/>
      <c r="D1309" s="17"/>
      <c r="E1309" s="17"/>
      <c r="F1309" s="17"/>
      <c r="G1309" s="17"/>
      <c r="H1309" s="17"/>
    </row>
    <row r="1310" spans="1:8" x14ac:dyDescent="0.2">
      <c r="A1310" s="16"/>
      <c r="B1310" s="16"/>
      <c r="C1310" s="17"/>
      <c r="D1310" s="17"/>
      <c r="E1310" s="17"/>
      <c r="F1310" s="17"/>
      <c r="G1310" s="17"/>
      <c r="H1310" s="17"/>
    </row>
    <row r="1311" spans="1:8" x14ac:dyDescent="0.2">
      <c r="A1311" s="16"/>
      <c r="B1311" s="16"/>
      <c r="C1311" s="17"/>
      <c r="D1311" s="17"/>
      <c r="E1311" s="17"/>
      <c r="F1311" s="17"/>
      <c r="G1311" s="17"/>
      <c r="H1311" s="17"/>
    </row>
    <row r="1312" spans="1:8" x14ac:dyDescent="0.2">
      <c r="A1312" s="16"/>
      <c r="B1312" s="16"/>
      <c r="C1312" s="17"/>
      <c r="D1312" s="17"/>
      <c r="E1312" s="17"/>
      <c r="F1312" s="17"/>
      <c r="G1312" s="17"/>
      <c r="H1312" s="17"/>
    </row>
    <row r="1313" spans="1:8" x14ac:dyDescent="0.2">
      <c r="A1313" s="16"/>
      <c r="B1313" s="16"/>
      <c r="C1313" s="17"/>
      <c r="D1313" s="17"/>
      <c r="E1313" s="17"/>
      <c r="F1313" s="17"/>
      <c r="G1313" s="17"/>
      <c r="H1313" s="17"/>
    </row>
    <row r="1314" spans="1:8" x14ac:dyDescent="0.2">
      <c r="A1314" s="16"/>
      <c r="B1314" s="16"/>
      <c r="C1314" s="17"/>
      <c r="D1314" s="17"/>
      <c r="E1314" s="17"/>
      <c r="F1314" s="17"/>
      <c r="G1314" s="17"/>
      <c r="H1314" s="17"/>
    </row>
    <row r="1315" spans="1:8" x14ac:dyDescent="0.2">
      <c r="A1315" s="16"/>
      <c r="B1315" s="16"/>
      <c r="C1315" s="17"/>
      <c r="D1315" s="17"/>
      <c r="E1315" s="17"/>
      <c r="F1315" s="17"/>
      <c r="G1315" s="17"/>
      <c r="H1315" s="17"/>
    </row>
    <row r="1316" spans="1:8" x14ac:dyDescent="0.2">
      <c r="A1316" s="16"/>
      <c r="B1316" s="16"/>
      <c r="C1316" s="17"/>
      <c r="D1316" s="17"/>
      <c r="E1316" s="17"/>
      <c r="F1316" s="17"/>
      <c r="G1316" s="17"/>
      <c r="H1316" s="17"/>
    </row>
    <row r="1317" spans="1:8" x14ac:dyDescent="0.2">
      <c r="A1317" s="16"/>
      <c r="B1317" s="16"/>
      <c r="C1317" s="17"/>
      <c r="D1317" s="17"/>
      <c r="E1317" s="17"/>
      <c r="F1317" s="17"/>
      <c r="G1317" s="17"/>
      <c r="H1317" s="17"/>
    </row>
    <row r="1318" spans="1:8" x14ac:dyDescent="0.2">
      <c r="A1318" s="16"/>
      <c r="B1318" s="16"/>
      <c r="C1318" s="17"/>
      <c r="D1318" s="17"/>
      <c r="E1318" s="17"/>
      <c r="F1318" s="17"/>
      <c r="G1318" s="17"/>
      <c r="H1318" s="17"/>
    </row>
    <row r="1319" spans="1:8" x14ac:dyDescent="0.2">
      <c r="A1319" s="16"/>
      <c r="B1319" s="16"/>
      <c r="C1319" s="17"/>
      <c r="D1319" s="17"/>
      <c r="E1319" s="17"/>
      <c r="F1319" s="17"/>
      <c r="G1319" s="17"/>
      <c r="H1319" s="17"/>
    </row>
    <row r="1320" spans="1:8" x14ac:dyDescent="0.2">
      <c r="A1320" s="16"/>
      <c r="B1320" s="16"/>
      <c r="C1320" s="17"/>
      <c r="D1320" s="17"/>
      <c r="E1320" s="17"/>
      <c r="F1320" s="17"/>
      <c r="G1320" s="17"/>
      <c r="H1320" s="17"/>
    </row>
    <row r="1321" spans="1:8" x14ac:dyDescent="0.2">
      <c r="A1321" s="16"/>
      <c r="B1321" s="16"/>
      <c r="C1321" s="17"/>
      <c r="D1321" s="17"/>
      <c r="E1321" s="17"/>
      <c r="F1321" s="17"/>
      <c r="G1321" s="17"/>
      <c r="H1321" s="17"/>
    </row>
    <row r="1322" spans="1:8" x14ac:dyDescent="0.2">
      <c r="A1322" s="16"/>
      <c r="B1322" s="16"/>
      <c r="C1322" s="17"/>
      <c r="D1322" s="17"/>
      <c r="E1322" s="17"/>
      <c r="F1322" s="17"/>
      <c r="G1322" s="17"/>
      <c r="H1322" s="17"/>
    </row>
    <row r="1323" spans="1:8" x14ac:dyDescent="0.2">
      <c r="A1323" s="16"/>
      <c r="B1323" s="16"/>
      <c r="C1323" s="17"/>
      <c r="D1323" s="17"/>
      <c r="E1323" s="17"/>
      <c r="F1323" s="17"/>
      <c r="G1323" s="17"/>
      <c r="H1323" s="17"/>
    </row>
    <row r="1324" spans="1:8" x14ac:dyDescent="0.2">
      <c r="A1324" s="16"/>
      <c r="B1324" s="16"/>
      <c r="C1324" s="17"/>
      <c r="D1324" s="17"/>
      <c r="E1324" s="17"/>
      <c r="F1324" s="17"/>
      <c r="G1324" s="17"/>
      <c r="H1324" s="17"/>
    </row>
    <row r="1325" spans="1:8" x14ac:dyDescent="0.2">
      <c r="A1325" s="16"/>
      <c r="B1325" s="16"/>
      <c r="C1325" s="17"/>
      <c r="D1325" s="17"/>
      <c r="E1325" s="17"/>
      <c r="F1325" s="17"/>
      <c r="G1325" s="17"/>
      <c r="H1325" s="17"/>
    </row>
    <row r="1326" spans="1:8" x14ac:dyDescent="0.2">
      <c r="A1326" s="16"/>
      <c r="B1326" s="16"/>
      <c r="C1326" s="17"/>
      <c r="D1326" s="17"/>
      <c r="E1326" s="17"/>
      <c r="F1326" s="17"/>
      <c r="G1326" s="17"/>
      <c r="H1326" s="17"/>
    </row>
    <row r="1327" spans="1:8" x14ac:dyDescent="0.2">
      <c r="A1327" s="16"/>
      <c r="B1327" s="16"/>
      <c r="C1327" s="17"/>
      <c r="D1327" s="17"/>
      <c r="E1327" s="17"/>
      <c r="F1327" s="17"/>
      <c r="G1327" s="17"/>
      <c r="H1327" s="17"/>
    </row>
    <row r="1328" spans="1:8" x14ac:dyDescent="0.2">
      <c r="A1328" s="16"/>
      <c r="B1328" s="16"/>
      <c r="C1328" s="17"/>
      <c r="D1328" s="17"/>
      <c r="E1328" s="17"/>
      <c r="F1328" s="17"/>
      <c r="G1328" s="17"/>
      <c r="H1328" s="17"/>
    </row>
    <row r="1329" spans="1:8" x14ac:dyDescent="0.2">
      <c r="A1329" s="16"/>
      <c r="B1329" s="16"/>
      <c r="C1329" s="17"/>
      <c r="D1329" s="17"/>
      <c r="E1329" s="17"/>
      <c r="F1329" s="17"/>
      <c r="G1329" s="17"/>
      <c r="H1329" s="17"/>
    </row>
    <row r="1330" spans="1:8" x14ac:dyDescent="0.2">
      <c r="A1330" s="16"/>
      <c r="B1330" s="16"/>
      <c r="C1330" s="17"/>
      <c r="D1330" s="17"/>
      <c r="E1330" s="17"/>
      <c r="F1330" s="17"/>
      <c r="G1330" s="17"/>
      <c r="H1330" s="17"/>
    </row>
    <row r="1331" spans="1:8" x14ac:dyDescent="0.2">
      <c r="A1331" s="16"/>
      <c r="B1331" s="16"/>
      <c r="C1331" s="17"/>
      <c r="D1331" s="17"/>
      <c r="E1331" s="17"/>
      <c r="F1331" s="17"/>
      <c r="G1331" s="17"/>
      <c r="H1331" s="17"/>
    </row>
    <row r="1332" spans="1:8" x14ac:dyDescent="0.2">
      <c r="A1332" s="16"/>
      <c r="B1332" s="16"/>
      <c r="C1332" s="17"/>
      <c r="D1332" s="17"/>
      <c r="E1332" s="17"/>
      <c r="F1332" s="17"/>
      <c r="G1332" s="17"/>
      <c r="H1332" s="17"/>
    </row>
    <row r="1333" spans="1:8" x14ac:dyDescent="0.2">
      <c r="A1333" s="16"/>
      <c r="B1333" s="16"/>
      <c r="C1333" s="17"/>
      <c r="D1333" s="17"/>
      <c r="E1333" s="17"/>
      <c r="F1333" s="17"/>
      <c r="G1333" s="17"/>
      <c r="H1333" s="17"/>
    </row>
    <row r="1334" spans="1:8" x14ac:dyDescent="0.2">
      <c r="A1334" s="16"/>
      <c r="B1334" s="16"/>
      <c r="C1334" s="17"/>
      <c r="D1334" s="17"/>
      <c r="E1334" s="17"/>
      <c r="F1334" s="17"/>
      <c r="G1334" s="17"/>
      <c r="H1334" s="17"/>
    </row>
    <row r="1335" spans="1:8" x14ac:dyDescent="0.2">
      <c r="A1335" s="16"/>
      <c r="B1335" s="16"/>
      <c r="C1335" s="17"/>
      <c r="D1335" s="17"/>
      <c r="E1335" s="17"/>
      <c r="F1335" s="17"/>
      <c r="G1335" s="17"/>
      <c r="H1335" s="17"/>
    </row>
    <row r="1336" spans="1:8" x14ac:dyDescent="0.2">
      <c r="A1336" s="16"/>
      <c r="B1336" s="16"/>
      <c r="C1336" s="17"/>
      <c r="D1336" s="17"/>
      <c r="E1336" s="17"/>
      <c r="F1336" s="17"/>
      <c r="G1336" s="17"/>
      <c r="H1336" s="17"/>
    </row>
    <row r="1337" spans="1:8" x14ac:dyDescent="0.2">
      <c r="A1337" s="16"/>
      <c r="B1337" s="16"/>
      <c r="C1337" s="17"/>
      <c r="D1337" s="17"/>
      <c r="E1337" s="17"/>
      <c r="F1337" s="17"/>
      <c r="G1337" s="17"/>
      <c r="H1337" s="17"/>
    </row>
    <row r="1338" spans="1:8" x14ac:dyDescent="0.2">
      <c r="A1338" s="16"/>
      <c r="B1338" s="16"/>
      <c r="C1338" s="17"/>
      <c r="D1338" s="17"/>
      <c r="E1338" s="17"/>
      <c r="F1338" s="17"/>
      <c r="G1338" s="17"/>
      <c r="H1338" s="17"/>
    </row>
    <row r="1339" spans="1:8" x14ac:dyDescent="0.2">
      <c r="A1339" s="16"/>
      <c r="B1339" s="16"/>
      <c r="C1339" s="17"/>
      <c r="D1339" s="17"/>
      <c r="E1339" s="17"/>
      <c r="F1339" s="17"/>
      <c r="G1339" s="17"/>
      <c r="H1339" s="17"/>
    </row>
    <row r="1340" spans="1:8" x14ac:dyDescent="0.2">
      <c r="A1340" s="16"/>
      <c r="B1340" s="16"/>
      <c r="C1340" s="17"/>
      <c r="D1340" s="17"/>
      <c r="E1340" s="17"/>
      <c r="F1340" s="17"/>
      <c r="G1340" s="17"/>
      <c r="H1340" s="17"/>
    </row>
    <row r="1341" spans="1:8" x14ac:dyDescent="0.2">
      <c r="A1341" s="16"/>
      <c r="B1341" s="16"/>
      <c r="C1341" s="17"/>
      <c r="D1341" s="17"/>
      <c r="E1341" s="17"/>
      <c r="F1341" s="17"/>
      <c r="G1341" s="17"/>
      <c r="H1341" s="17"/>
    </row>
    <row r="1342" spans="1:8" x14ac:dyDescent="0.2">
      <c r="A1342" s="16"/>
      <c r="B1342" s="16"/>
      <c r="C1342" s="17"/>
      <c r="D1342" s="17"/>
      <c r="E1342" s="17"/>
      <c r="F1342" s="17"/>
      <c r="G1342" s="17"/>
      <c r="H1342" s="17"/>
    </row>
    <row r="1343" spans="1:8" x14ac:dyDescent="0.2">
      <c r="A1343" s="16"/>
      <c r="B1343" s="16"/>
      <c r="C1343" s="17"/>
      <c r="D1343" s="17"/>
      <c r="E1343" s="17"/>
      <c r="F1343" s="17"/>
      <c r="G1343" s="17"/>
      <c r="H1343" s="17"/>
    </row>
    <row r="1344" spans="1:8" x14ac:dyDescent="0.2">
      <c r="A1344" s="16"/>
      <c r="B1344" s="16"/>
      <c r="C1344" s="17"/>
      <c r="D1344" s="17"/>
      <c r="E1344" s="17"/>
      <c r="F1344" s="17"/>
      <c r="G1344" s="17"/>
      <c r="H1344" s="17"/>
    </row>
    <row r="1345" spans="1:8" x14ac:dyDescent="0.2">
      <c r="A1345" s="16"/>
      <c r="B1345" s="16"/>
      <c r="C1345" s="17"/>
      <c r="D1345" s="17"/>
      <c r="E1345" s="17"/>
      <c r="F1345" s="17"/>
      <c r="G1345" s="17"/>
      <c r="H1345" s="17"/>
    </row>
    <row r="1346" spans="1:8" x14ac:dyDescent="0.2">
      <c r="A1346" s="16"/>
      <c r="B1346" s="16"/>
      <c r="C1346" s="17"/>
      <c r="D1346" s="17"/>
      <c r="E1346" s="17"/>
      <c r="F1346" s="17"/>
      <c r="G1346" s="17"/>
      <c r="H1346" s="17"/>
    </row>
    <row r="1347" spans="1:8" x14ac:dyDescent="0.2">
      <c r="A1347" s="16"/>
      <c r="B1347" s="16"/>
      <c r="C1347" s="17"/>
      <c r="D1347" s="17"/>
      <c r="E1347" s="17"/>
      <c r="F1347" s="17"/>
      <c r="G1347" s="17"/>
      <c r="H1347" s="17"/>
    </row>
    <row r="1348" spans="1:8" x14ac:dyDescent="0.2">
      <c r="A1348" s="16"/>
      <c r="B1348" s="16"/>
      <c r="C1348" s="17"/>
      <c r="D1348" s="17"/>
      <c r="E1348" s="17"/>
      <c r="F1348" s="17"/>
      <c r="G1348" s="17"/>
      <c r="H1348" s="17"/>
    </row>
    <row r="1349" spans="1:8" x14ac:dyDescent="0.2">
      <c r="A1349" s="16"/>
      <c r="B1349" s="16"/>
      <c r="C1349" s="17"/>
      <c r="D1349" s="17"/>
      <c r="E1349" s="17"/>
      <c r="F1349" s="17"/>
      <c r="G1349" s="17"/>
      <c r="H1349" s="17"/>
    </row>
    <row r="1350" spans="1:8" x14ac:dyDescent="0.2">
      <c r="A1350" s="16"/>
      <c r="B1350" s="16"/>
      <c r="C1350" s="17"/>
      <c r="D1350" s="17"/>
      <c r="E1350" s="17"/>
      <c r="F1350" s="17"/>
      <c r="G1350" s="17"/>
      <c r="H1350" s="17"/>
    </row>
    <row r="1351" spans="1:8" x14ac:dyDescent="0.2">
      <c r="A1351" s="16"/>
      <c r="B1351" s="16"/>
      <c r="C1351" s="17"/>
      <c r="D1351" s="17"/>
      <c r="E1351" s="17"/>
      <c r="F1351" s="17"/>
      <c r="G1351" s="17"/>
      <c r="H1351" s="17"/>
    </row>
    <row r="1352" spans="1:8" x14ac:dyDescent="0.2">
      <c r="A1352" s="16"/>
      <c r="B1352" s="16"/>
      <c r="C1352" s="17"/>
      <c r="D1352" s="17"/>
      <c r="E1352" s="17"/>
      <c r="F1352" s="17"/>
      <c r="G1352" s="17"/>
      <c r="H1352" s="17"/>
    </row>
    <row r="1353" spans="1:8" x14ac:dyDescent="0.2">
      <c r="A1353" s="16"/>
      <c r="B1353" s="16"/>
      <c r="C1353" s="17"/>
      <c r="D1353" s="17"/>
      <c r="E1353" s="17"/>
      <c r="F1353" s="17"/>
      <c r="G1353" s="17"/>
      <c r="H1353" s="17"/>
    </row>
    <row r="1354" spans="1:8" x14ac:dyDescent="0.2">
      <c r="A1354" s="16"/>
      <c r="B1354" s="16"/>
      <c r="C1354" s="17"/>
      <c r="D1354" s="17"/>
      <c r="E1354" s="17"/>
      <c r="F1354" s="17"/>
      <c r="G1354" s="17"/>
      <c r="H1354" s="17"/>
    </row>
    <row r="1355" spans="1:8" x14ac:dyDescent="0.2">
      <c r="A1355" s="16"/>
      <c r="B1355" s="16"/>
      <c r="C1355" s="17"/>
      <c r="D1355" s="17"/>
      <c r="E1355" s="17"/>
      <c r="F1355" s="17"/>
      <c r="G1355" s="17"/>
      <c r="H1355" s="17"/>
    </row>
    <row r="1356" spans="1:8" x14ac:dyDescent="0.2">
      <c r="A1356" s="16"/>
      <c r="B1356" s="16"/>
      <c r="C1356" s="17"/>
      <c r="D1356" s="17"/>
      <c r="E1356" s="17"/>
      <c r="F1356" s="17"/>
      <c r="G1356" s="17"/>
      <c r="H1356" s="17"/>
    </row>
    <row r="1357" spans="1:8" x14ac:dyDescent="0.2">
      <c r="A1357" s="16"/>
      <c r="B1357" s="16"/>
      <c r="C1357" s="17"/>
      <c r="D1357" s="17"/>
      <c r="E1357" s="17"/>
      <c r="F1357" s="17"/>
      <c r="G1357" s="17"/>
      <c r="H1357" s="17"/>
    </row>
    <row r="1358" spans="1:8" x14ac:dyDescent="0.2">
      <c r="A1358" s="16"/>
      <c r="B1358" s="16"/>
      <c r="C1358" s="17"/>
      <c r="D1358" s="17"/>
      <c r="E1358" s="17"/>
      <c r="F1358" s="17"/>
      <c r="G1358" s="17"/>
      <c r="H1358" s="17"/>
    </row>
    <row r="1359" spans="1:8" x14ac:dyDescent="0.2">
      <c r="A1359" s="16"/>
      <c r="B1359" s="16"/>
      <c r="C1359" s="17"/>
      <c r="D1359" s="17"/>
      <c r="E1359" s="17"/>
      <c r="F1359" s="17"/>
      <c r="G1359" s="17"/>
      <c r="H1359" s="17"/>
    </row>
    <row r="1360" spans="1:8" x14ac:dyDescent="0.2">
      <c r="A1360" s="16"/>
      <c r="B1360" s="16"/>
      <c r="C1360" s="17"/>
      <c r="D1360" s="17"/>
      <c r="E1360" s="17"/>
      <c r="F1360" s="17"/>
      <c r="G1360" s="17"/>
      <c r="H1360" s="17"/>
    </row>
    <row r="1361" spans="1:8" x14ac:dyDescent="0.2">
      <c r="A1361" s="16"/>
      <c r="B1361" s="16"/>
      <c r="C1361" s="17"/>
      <c r="D1361" s="17"/>
      <c r="E1361" s="17"/>
      <c r="F1361" s="17"/>
      <c r="G1361" s="17"/>
      <c r="H1361" s="17"/>
    </row>
    <row r="1362" spans="1:8" x14ac:dyDescent="0.2">
      <c r="A1362" s="16"/>
      <c r="B1362" s="16"/>
      <c r="C1362" s="17"/>
      <c r="D1362" s="17"/>
      <c r="E1362" s="17"/>
      <c r="F1362" s="17"/>
      <c r="G1362" s="17"/>
      <c r="H1362" s="17"/>
    </row>
    <row r="1363" spans="1:8" x14ac:dyDescent="0.2">
      <c r="A1363" s="16"/>
      <c r="B1363" s="16"/>
      <c r="C1363" s="17"/>
      <c r="D1363" s="17"/>
      <c r="E1363" s="17"/>
      <c r="F1363" s="17"/>
      <c r="G1363" s="17"/>
      <c r="H1363" s="17"/>
    </row>
    <row r="1364" spans="1:8" x14ac:dyDescent="0.2">
      <c r="A1364" s="16"/>
      <c r="B1364" s="16"/>
      <c r="C1364" s="17"/>
      <c r="D1364" s="17"/>
      <c r="E1364" s="17"/>
      <c r="F1364" s="17"/>
      <c r="G1364" s="17"/>
      <c r="H1364" s="17"/>
    </row>
    <row r="1365" spans="1:8" x14ac:dyDescent="0.2">
      <c r="A1365" s="16"/>
      <c r="B1365" s="16"/>
      <c r="C1365" s="17"/>
      <c r="D1365" s="17"/>
      <c r="E1365" s="17"/>
      <c r="F1365" s="17"/>
      <c r="G1365" s="17"/>
      <c r="H1365" s="17"/>
    </row>
    <row r="1366" spans="1:8" x14ac:dyDescent="0.2">
      <c r="A1366" s="16"/>
      <c r="B1366" s="16"/>
      <c r="C1366" s="17"/>
      <c r="D1366" s="17"/>
      <c r="E1366" s="17"/>
      <c r="F1366" s="17"/>
      <c r="G1366" s="17"/>
      <c r="H1366" s="17"/>
    </row>
    <row r="1367" spans="1:8" x14ac:dyDescent="0.2">
      <c r="A1367" s="16"/>
      <c r="B1367" s="16"/>
      <c r="C1367" s="17"/>
      <c r="D1367" s="17"/>
      <c r="E1367" s="17"/>
      <c r="F1367" s="17"/>
      <c r="G1367" s="17"/>
      <c r="H1367" s="17"/>
    </row>
    <row r="1368" spans="1:8" x14ac:dyDescent="0.2">
      <c r="A1368" s="16"/>
      <c r="B1368" s="16"/>
      <c r="C1368" s="17"/>
      <c r="D1368" s="17"/>
      <c r="E1368" s="17"/>
      <c r="F1368" s="17"/>
      <c r="G1368" s="17"/>
      <c r="H1368" s="17"/>
    </row>
    <row r="1369" spans="1:8" x14ac:dyDescent="0.2">
      <c r="A1369" s="16"/>
      <c r="B1369" s="16"/>
      <c r="C1369" s="17"/>
      <c r="D1369" s="17"/>
      <c r="E1369" s="17"/>
      <c r="F1369" s="17"/>
      <c r="G1369" s="17"/>
      <c r="H1369" s="17"/>
    </row>
    <row r="1370" spans="1:8" x14ac:dyDescent="0.2">
      <c r="A1370" s="16"/>
      <c r="B1370" s="16"/>
      <c r="C1370" s="17"/>
      <c r="D1370" s="17"/>
      <c r="E1370" s="17"/>
      <c r="F1370" s="17"/>
      <c r="G1370" s="17"/>
      <c r="H1370" s="17"/>
    </row>
    <row r="1371" spans="1:8" x14ac:dyDescent="0.2">
      <c r="A1371" s="16"/>
      <c r="B1371" s="16"/>
      <c r="C1371" s="17"/>
      <c r="D1371" s="17"/>
      <c r="E1371" s="17"/>
      <c r="F1371" s="17"/>
      <c r="G1371" s="17"/>
      <c r="H1371" s="17"/>
    </row>
    <row r="1372" spans="1:8" x14ac:dyDescent="0.2">
      <c r="A1372" s="16"/>
      <c r="B1372" s="16"/>
      <c r="C1372" s="17"/>
      <c r="D1372" s="17"/>
      <c r="E1372" s="17"/>
      <c r="F1372" s="17"/>
      <c r="G1372" s="17"/>
      <c r="H1372" s="17"/>
    </row>
    <row r="1373" spans="1:8" x14ac:dyDescent="0.2">
      <c r="A1373" s="16"/>
      <c r="B1373" s="16"/>
      <c r="C1373" s="17"/>
      <c r="D1373" s="17"/>
      <c r="E1373" s="17"/>
      <c r="F1373" s="17"/>
      <c r="G1373" s="17"/>
      <c r="H1373" s="17"/>
    </row>
    <row r="1374" spans="1:8" x14ac:dyDescent="0.2">
      <c r="A1374" s="16"/>
      <c r="B1374" s="16"/>
      <c r="C1374" s="17"/>
      <c r="D1374" s="17"/>
      <c r="E1374" s="17"/>
      <c r="F1374" s="17"/>
      <c r="G1374" s="17"/>
      <c r="H1374" s="17"/>
    </row>
    <row r="1375" spans="1:8" x14ac:dyDescent="0.2">
      <c r="A1375" s="16"/>
      <c r="B1375" s="16"/>
      <c r="C1375" s="17"/>
      <c r="D1375" s="17"/>
      <c r="E1375" s="17"/>
      <c r="F1375" s="17"/>
      <c r="G1375" s="17"/>
      <c r="H1375" s="17"/>
    </row>
    <row r="1376" spans="1:8" x14ac:dyDescent="0.2">
      <c r="A1376" s="16"/>
      <c r="B1376" s="16"/>
      <c r="C1376" s="17"/>
      <c r="D1376" s="17"/>
      <c r="E1376" s="17"/>
      <c r="F1376" s="17"/>
      <c r="G1376" s="17"/>
      <c r="H1376" s="17"/>
    </row>
    <row r="1377" spans="1:8" x14ac:dyDescent="0.2">
      <c r="A1377" s="16"/>
      <c r="B1377" s="16"/>
      <c r="C1377" s="17"/>
      <c r="D1377" s="17"/>
      <c r="E1377" s="17"/>
      <c r="F1377" s="17"/>
      <c r="G1377" s="17"/>
      <c r="H1377" s="17"/>
    </row>
    <row r="1378" spans="1:8" x14ac:dyDescent="0.2">
      <c r="A1378" s="16"/>
      <c r="B1378" s="16"/>
      <c r="C1378" s="17"/>
      <c r="D1378" s="17"/>
      <c r="E1378" s="17"/>
      <c r="F1378" s="17"/>
      <c r="G1378" s="17"/>
      <c r="H1378" s="17"/>
    </row>
    <row r="1379" spans="1:8" x14ac:dyDescent="0.2">
      <c r="A1379" s="16"/>
      <c r="B1379" s="16"/>
      <c r="C1379" s="17"/>
      <c r="D1379" s="17"/>
      <c r="E1379" s="17"/>
      <c r="F1379" s="17"/>
      <c r="G1379" s="17"/>
      <c r="H1379" s="17"/>
    </row>
    <row r="1380" spans="1:8" x14ac:dyDescent="0.2">
      <c r="A1380" s="16"/>
      <c r="B1380" s="16"/>
      <c r="C1380" s="17"/>
      <c r="D1380" s="17"/>
      <c r="E1380" s="17"/>
      <c r="F1380" s="17"/>
      <c r="G1380" s="17"/>
      <c r="H1380" s="17"/>
    </row>
    <row r="1381" spans="1:8" x14ac:dyDescent="0.2">
      <c r="A1381" s="16"/>
      <c r="B1381" s="16"/>
      <c r="C1381" s="17"/>
      <c r="D1381" s="17"/>
      <c r="E1381" s="17"/>
      <c r="F1381" s="17"/>
      <c r="G1381" s="17"/>
      <c r="H1381" s="17"/>
    </row>
    <row r="1382" spans="1:8" x14ac:dyDescent="0.2">
      <c r="A1382" s="16"/>
      <c r="B1382" s="16"/>
      <c r="C1382" s="17"/>
      <c r="D1382" s="17"/>
      <c r="E1382" s="17"/>
      <c r="F1382" s="17"/>
      <c r="G1382" s="17"/>
      <c r="H1382" s="17"/>
    </row>
    <row r="1383" spans="1:8" x14ac:dyDescent="0.2">
      <c r="A1383" s="16"/>
      <c r="B1383" s="16"/>
      <c r="C1383" s="17"/>
      <c r="D1383" s="17"/>
      <c r="E1383" s="17"/>
      <c r="F1383" s="17"/>
      <c r="G1383" s="17"/>
      <c r="H1383" s="17"/>
    </row>
    <row r="1384" spans="1:8" x14ac:dyDescent="0.2">
      <c r="A1384" s="16"/>
      <c r="B1384" s="16"/>
      <c r="C1384" s="17"/>
      <c r="D1384" s="17"/>
      <c r="E1384" s="17"/>
      <c r="F1384" s="17"/>
      <c r="G1384" s="17"/>
      <c r="H1384" s="17"/>
    </row>
    <row r="1385" spans="1:8" x14ac:dyDescent="0.2">
      <c r="A1385" s="16"/>
      <c r="B1385" s="16"/>
      <c r="C1385" s="17"/>
      <c r="D1385" s="17"/>
      <c r="E1385" s="17"/>
      <c r="F1385" s="17"/>
      <c r="G1385" s="17"/>
      <c r="H1385" s="17"/>
    </row>
    <row r="1386" spans="1:8" x14ac:dyDescent="0.2">
      <c r="A1386" s="16"/>
      <c r="B1386" s="16"/>
      <c r="C1386" s="17"/>
      <c r="D1386" s="17"/>
      <c r="E1386" s="17"/>
      <c r="F1386" s="17"/>
      <c r="G1386" s="17"/>
      <c r="H1386" s="17"/>
    </row>
    <row r="1387" spans="1:8" x14ac:dyDescent="0.2">
      <c r="A1387" s="16"/>
      <c r="B1387" s="16"/>
      <c r="C1387" s="17"/>
      <c r="D1387" s="17"/>
      <c r="E1387" s="17"/>
      <c r="F1387" s="17"/>
      <c r="G1387" s="17"/>
      <c r="H1387" s="17"/>
    </row>
    <row r="1388" spans="1:8" x14ac:dyDescent="0.2">
      <c r="A1388" s="16"/>
      <c r="B1388" s="16"/>
      <c r="C1388" s="17"/>
      <c r="D1388" s="17"/>
      <c r="E1388" s="17"/>
      <c r="F1388" s="17"/>
      <c r="G1388" s="17"/>
      <c r="H1388" s="17"/>
    </row>
    <row r="1389" spans="1:8" x14ac:dyDescent="0.2">
      <c r="A1389" s="16"/>
      <c r="B1389" s="16"/>
      <c r="C1389" s="17"/>
      <c r="D1389" s="17"/>
      <c r="E1389" s="17"/>
      <c r="F1389" s="17"/>
      <c r="G1389" s="17"/>
      <c r="H1389" s="17"/>
    </row>
    <row r="1390" spans="1:8" x14ac:dyDescent="0.2">
      <c r="A1390" s="16"/>
      <c r="B1390" s="16"/>
      <c r="C1390" s="17"/>
      <c r="D1390" s="17"/>
      <c r="E1390" s="17"/>
      <c r="F1390" s="17"/>
      <c r="G1390" s="17"/>
      <c r="H1390" s="17"/>
    </row>
    <row r="1391" spans="1:8" x14ac:dyDescent="0.2">
      <c r="A1391" s="16"/>
      <c r="B1391" s="16"/>
      <c r="C1391" s="17"/>
      <c r="D1391" s="17"/>
      <c r="E1391" s="17"/>
      <c r="F1391" s="17"/>
      <c r="G1391" s="17"/>
      <c r="H1391" s="17"/>
    </row>
    <row r="1392" spans="1:8" x14ac:dyDescent="0.2">
      <c r="A1392" s="16"/>
      <c r="B1392" s="16"/>
      <c r="C1392" s="17"/>
      <c r="D1392" s="17"/>
      <c r="E1392" s="17"/>
      <c r="F1392" s="17"/>
      <c r="G1392" s="17"/>
      <c r="H1392" s="17"/>
    </row>
    <row r="1393" spans="1:8" x14ac:dyDescent="0.2">
      <c r="A1393" s="16"/>
      <c r="B1393" s="16"/>
      <c r="C1393" s="17"/>
      <c r="D1393" s="17"/>
      <c r="E1393" s="17"/>
      <c r="F1393" s="17"/>
      <c r="G1393" s="17"/>
      <c r="H1393" s="17"/>
    </row>
    <row r="1394" spans="1:8" x14ac:dyDescent="0.2">
      <c r="A1394" s="16"/>
      <c r="B1394" s="16"/>
      <c r="C1394" s="17"/>
      <c r="D1394" s="17"/>
      <c r="E1394" s="17"/>
      <c r="F1394" s="17"/>
      <c r="G1394" s="17"/>
      <c r="H1394" s="17"/>
    </row>
    <row r="1395" spans="1:8" x14ac:dyDescent="0.2">
      <c r="A1395" s="16"/>
      <c r="B1395" s="16"/>
      <c r="C1395" s="17"/>
      <c r="D1395" s="17"/>
      <c r="E1395" s="17"/>
      <c r="F1395" s="17"/>
      <c r="G1395" s="17"/>
      <c r="H1395" s="17"/>
    </row>
    <row r="1396" spans="1:8" x14ac:dyDescent="0.2">
      <c r="A1396" s="16"/>
      <c r="B1396" s="16"/>
      <c r="C1396" s="17"/>
      <c r="D1396" s="17"/>
      <c r="E1396" s="17"/>
      <c r="F1396" s="17"/>
      <c r="G1396" s="17"/>
      <c r="H1396" s="17"/>
    </row>
    <row r="1397" spans="1:8" x14ac:dyDescent="0.2">
      <c r="A1397" s="16"/>
      <c r="B1397" s="16"/>
      <c r="C1397" s="17"/>
      <c r="D1397" s="17"/>
      <c r="E1397" s="17"/>
      <c r="F1397" s="17"/>
      <c r="G1397" s="17"/>
      <c r="H1397" s="17"/>
    </row>
    <row r="1398" spans="1:8" x14ac:dyDescent="0.2">
      <c r="A1398" s="16"/>
      <c r="B1398" s="16"/>
      <c r="C1398" s="17"/>
      <c r="D1398" s="17"/>
      <c r="E1398" s="17"/>
      <c r="F1398" s="17"/>
      <c r="G1398" s="17"/>
      <c r="H1398" s="17"/>
    </row>
    <row r="1399" spans="1:8" x14ac:dyDescent="0.2">
      <c r="A1399" s="16"/>
      <c r="B1399" s="16"/>
      <c r="C1399" s="17"/>
      <c r="D1399" s="17"/>
      <c r="E1399" s="17"/>
      <c r="F1399" s="17"/>
      <c r="G1399" s="17"/>
      <c r="H1399" s="17"/>
    </row>
    <row r="1400" spans="1:8" x14ac:dyDescent="0.2">
      <c r="A1400" s="16"/>
      <c r="B1400" s="16"/>
      <c r="C1400" s="17"/>
      <c r="D1400" s="17"/>
      <c r="E1400" s="17"/>
      <c r="F1400" s="17"/>
      <c r="G1400" s="17"/>
      <c r="H1400" s="17"/>
    </row>
    <row r="1401" spans="1:8" x14ac:dyDescent="0.2">
      <c r="A1401" s="16"/>
      <c r="B1401" s="16"/>
      <c r="C1401" s="17"/>
      <c r="D1401" s="17"/>
      <c r="E1401" s="17"/>
      <c r="F1401" s="17"/>
      <c r="G1401" s="17"/>
      <c r="H1401" s="17"/>
    </row>
    <row r="1402" spans="1:8" x14ac:dyDescent="0.2">
      <c r="A1402" s="16"/>
      <c r="B1402" s="16"/>
      <c r="C1402" s="17"/>
      <c r="D1402" s="17"/>
      <c r="E1402" s="17"/>
      <c r="F1402" s="17"/>
      <c r="G1402" s="17"/>
      <c r="H1402" s="17"/>
    </row>
    <row r="1403" spans="1:8" x14ac:dyDescent="0.2">
      <c r="A1403" s="16"/>
      <c r="B1403" s="16"/>
      <c r="C1403" s="17"/>
      <c r="D1403" s="17"/>
      <c r="E1403" s="17"/>
      <c r="F1403" s="17"/>
      <c r="G1403" s="17"/>
      <c r="H1403" s="17"/>
    </row>
    <row r="1404" spans="1:8" x14ac:dyDescent="0.2">
      <c r="A1404" s="16"/>
      <c r="B1404" s="16"/>
      <c r="C1404" s="17"/>
      <c r="D1404" s="17"/>
      <c r="E1404" s="17"/>
      <c r="F1404" s="17"/>
      <c r="G1404" s="17"/>
      <c r="H1404" s="17"/>
    </row>
    <row r="1405" spans="1:8" x14ac:dyDescent="0.2">
      <c r="A1405" s="16"/>
      <c r="B1405" s="16"/>
      <c r="C1405" s="17"/>
      <c r="D1405" s="17"/>
      <c r="E1405" s="17"/>
      <c r="F1405" s="17"/>
      <c r="G1405" s="17"/>
      <c r="H1405" s="17"/>
    </row>
    <row r="1406" spans="1:8" x14ac:dyDescent="0.2">
      <c r="A1406" s="16"/>
      <c r="B1406" s="16"/>
      <c r="C1406" s="17"/>
      <c r="D1406" s="17"/>
      <c r="E1406" s="17"/>
      <c r="F1406" s="17"/>
      <c r="G1406" s="17"/>
      <c r="H1406" s="17"/>
    </row>
    <row r="1407" spans="1:8" x14ac:dyDescent="0.2">
      <c r="A1407" s="16"/>
      <c r="B1407" s="16"/>
      <c r="C1407" s="17"/>
      <c r="D1407" s="17"/>
      <c r="E1407" s="17"/>
      <c r="F1407" s="17"/>
      <c r="G1407" s="17"/>
      <c r="H1407" s="17"/>
    </row>
    <row r="1408" spans="1:8" x14ac:dyDescent="0.2">
      <c r="A1408" s="16"/>
      <c r="B1408" s="16"/>
      <c r="C1408" s="17"/>
      <c r="D1408" s="17"/>
      <c r="E1408" s="17"/>
      <c r="F1408" s="17"/>
      <c r="G1408" s="17"/>
      <c r="H1408" s="17"/>
    </row>
    <row r="1409" spans="1:8" x14ac:dyDescent="0.2">
      <c r="A1409" s="16"/>
      <c r="B1409" s="16"/>
      <c r="C1409" s="17"/>
      <c r="D1409" s="17"/>
      <c r="E1409" s="17"/>
      <c r="F1409" s="17"/>
      <c r="G1409" s="17"/>
      <c r="H1409" s="17"/>
    </row>
    <row r="1410" spans="1:8" x14ac:dyDescent="0.2">
      <c r="A1410" s="16"/>
      <c r="B1410" s="16"/>
      <c r="C1410" s="17"/>
      <c r="D1410" s="17"/>
      <c r="E1410" s="17"/>
      <c r="F1410" s="17"/>
      <c r="G1410" s="17"/>
      <c r="H1410" s="17"/>
    </row>
    <row r="1411" spans="1:8" x14ac:dyDescent="0.2">
      <c r="A1411" s="16"/>
      <c r="B1411" s="16"/>
      <c r="C1411" s="17"/>
      <c r="D1411" s="17"/>
      <c r="E1411" s="17"/>
      <c r="F1411" s="17"/>
      <c r="G1411" s="17"/>
      <c r="H1411" s="17"/>
    </row>
    <row r="1412" spans="1:8" x14ac:dyDescent="0.2">
      <c r="A1412" s="16"/>
      <c r="B1412" s="16"/>
      <c r="C1412" s="17"/>
      <c r="D1412" s="17"/>
      <c r="E1412" s="17"/>
      <c r="F1412" s="17"/>
      <c r="G1412" s="17"/>
      <c r="H1412" s="17"/>
    </row>
    <row r="1413" spans="1:8" x14ac:dyDescent="0.2">
      <c r="A1413" s="16"/>
      <c r="B1413" s="16"/>
      <c r="C1413" s="17"/>
      <c r="D1413" s="17"/>
      <c r="E1413" s="17"/>
      <c r="F1413" s="17"/>
      <c r="G1413" s="17"/>
      <c r="H1413" s="17"/>
    </row>
    <row r="1414" spans="1:8" x14ac:dyDescent="0.2">
      <c r="A1414" s="16"/>
      <c r="B1414" s="16"/>
      <c r="C1414" s="17"/>
      <c r="D1414" s="17"/>
      <c r="E1414" s="17"/>
      <c r="F1414" s="17"/>
      <c r="G1414" s="17"/>
      <c r="H1414" s="17"/>
    </row>
    <row r="1415" spans="1:8" x14ac:dyDescent="0.2">
      <c r="A1415" s="16"/>
      <c r="B1415" s="16"/>
      <c r="C1415" s="17"/>
      <c r="D1415" s="17"/>
      <c r="E1415" s="17"/>
      <c r="F1415" s="17"/>
      <c r="G1415" s="17"/>
      <c r="H1415" s="17"/>
    </row>
    <row r="1416" spans="1:8" x14ac:dyDescent="0.2">
      <c r="A1416" s="16"/>
      <c r="B1416" s="16"/>
      <c r="C1416" s="17"/>
      <c r="D1416" s="17"/>
      <c r="E1416" s="17"/>
      <c r="F1416" s="17"/>
      <c r="G1416" s="17"/>
      <c r="H1416" s="17"/>
    </row>
    <row r="1417" spans="1:8" x14ac:dyDescent="0.2">
      <c r="A1417" s="16"/>
      <c r="B1417" s="16"/>
      <c r="C1417" s="17"/>
      <c r="D1417" s="17"/>
      <c r="E1417" s="17"/>
      <c r="F1417" s="17"/>
      <c r="G1417" s="17"/>
      <c r="H1417" s="17"/>
    </row>
    <row r="1418" spans="1:8" x14ac:dyDescent="0.2">
      <c r="A1418" s="16"/>
      <c r="B1418" s="16"/>
      <c r="C1418" s="17"/>
      <c r="D1418" s="17"/>
      <c r="E1418" s="17"/>
      <c r="F1418" s="17"/>
      <c r="G1418" s="17"/>
      <c r="H1418" s="17"/>
    </row>
    <row r="1419" spans="1:8" x14ac:dyDescent="0.2">
      <c r="A1419" s="16"/>
      <c r="B1419" s="16"/>
      <c r="C1419" s="17"/>
      <c r="D1419" s="17"/>
      <c r="E1419" s="17"/>
      <c r="F1419" s="17"/>
      <c r="G1419" s="17"/>
      <c r="H1419" s="17"/>
    </row>
    <row r="1420" spans="1:8" x14ac:dyDescent="0.2">
      <c r="A1420" s="16"/>
      <c r="B1420" s="16"/>
      <c r="C1420" s="17"/>
      <c r="D1420" s="17"/>
      <c r="E1420" s="17"/>
      <c r="F1420" s="17"/>
      <c r="G1420" s="17"/>
      <c r="H1420" s="17"/>
    </row>
    <row r="1421" spans="1:8" x14ac:dyDescent="0.2">
      <c r="A1421" s="16"/>
      <c r="B1421" s="16"/>
      <c r="C1421" s="17"/>
      <c r="D1421" s="17"/>
      <c r="E1421" s="17"/>
      <c r="F1421" s="17"/>
      <c r="G1421" s="17"/>
      <c r="H1421" s="17"/>
    </row>
    <row r="1422" spans="1:8" x14ac:dyDescent="0.2">
      <c r="A1422" s="16"/>
      <c r="B1422" s="16"/>
      <c r="C1422" s="17"/>
      <c r="D1422" s="17"/>
      <c r="E1422" s="17"/>
      <c r="F1422" s="17"/>
      <c r="G1422" s="17"/>
      <c r="H1422" s="17"/>
    </row>
    <row r="1423" spans="1:8" x14ac:dyDescent="0.2">
      <c r="A1423" s="16"/>
      <c r="B1423" s="16"/>
      <c r="C1423" s="17"/>
      <c r="D1423" s="17"/>
      <c r="E1423" s="17"/>
      <c r="F1423" s="17"/>
      <c r="G1423" s="17"/>
      <c r="H1423" s="17"/>
    </row>
    <row r="1424" spans="1:8" x14ac:dyDescent="0.2">
      <c r="A1424" s="16"/>
      <c r="B1424" s="16"/>
      <c r="C1424" s="17"/>
      <c r="D1424" s="17"/>
      <c r="E1424" s="17"/>
      <c r="F1424" s="17"/>
      <c r="G1424" s="17"/>
      <c r="H1424" s="17"/>
    </row>
    <row r="1425" spans="1:8" x14ac:dyDescent="0.2">
      <c r="A1425" s="16"/>
      <c r="B1425" s="16"/>
      <c r="C1425" s="17"/>
      <c r="D1425" s="17"/>
      <c r="E1425" s="17"/>
      <c r="F1425" s="17"/>
      <c r="G1425" s="17"/>
      <c r="H1425" s="17"/>
    </row>
    <row r="1426" spans="1:8" x14ac:dyDescent="0.2">
      <c r="A1426" s="16"/>
      <c r="B1426" s="16"/>
      <c r="C1426" s="17"/>
      <c r="D1426" s="17"/>
      <c r="E1426" s="17"/>
      <c r="F1426" s="17"/>
      <c r="G1426" s="17"/>
      <c r="H1426" s="17"/>
    </row>
    <row r="1427" spans="1:8" x14ac:dyDescent="0.2">
      <c r="A1427" s="16"/>
      <c r="B1427" s="16"/>
      <c r="C1427" s="17"/>
      <c r="D1427" s="17"/>
      <c r="E1427" s="17"/>
      <c r="F1427" s="17"/>
      <c r="G1427" s="17"/>
      <c r="H1427" s="17"/>
    </row>
    <row r="1428" spans="1:8" x14ac:dyDescent="0.2">
      <c r="A1428" s="16"/>
      <c r="B1428" s="16"/>
      <c r="C1428" s="17"/>
      <c r="D1428" s="17"/>
      <c r="E1428" s="17"/>
      <c r="F1428" s="17"/>
      <c r="G1428" s="17"/>
      <c r="H1428" s="17"/>
    </row>
    <row r="1429" spans="1:8" x14ac:dyDescent="0.2">
      <c r="A1429" s="16"/>
      <c r="B1429" s="16"/>
      <c r="C1429" s="17"/>
      <c r="D1429" s="17"/>
      <c r="E1429" s="17"/>
      <c r="F1429" s="17"/>
      <c r="G1429" s="17"/>
      <c r="H1429" s="17"/>
    </row>
    <row r="1430" spans="1:8" x14ac:dyDescent="0.2">
      <c r="A1430" s="16"/>
      <c r="B1430" s="16"/>
      <c r="C1430" s="17"/>
      <c r="D1430" s="17"/>
      <c r="E1430" s="17"/>
      <c r="F1430" s="17"/>
      <c r="G1430" s="17"/>
      <c r="H1430" s="17"/>
    </row>
    <row r="1431" spans="1:8" x14ac:dyDescent="0.2">
      <c r="A1431" s="16"/>
      <c r="B1431" s="16"/>
      <c r="C1431" s="17"/>
      <c r="D1431" s="17"/>
      <c r="E1431" s="17"/>
      <c r="F1431" s="17"/>
      <c r="G1431" s="17"/>
      <c r="H1431" s="17"/>
    </row>
    <row r="1432" spans="1:8" x14ac:dyDescent="0.2">
      <c r="A1432" s="16"/>
      <c r="B1432" s="16"/>
      <c r="C1432" s="17"/>
      <c r="D1432" s="17"/>
      <c r="E1432" s="17"/>
      <c r="F1432" s="17"/>
      <c r="G1432" s="17"/>
      <c r="H1432" s="17"/>
    </row>
    <row r="1433" spans="1:8" x14ac:dyDescent="0.2">
      <c r="A1433" s="16"/>
      <c r="B1433" s="16"/>
      <c r="C1433" s="17"/>
      <c r="D1433" s="17"/>
      <c r="E1433" s="17"/>
      <c r="F1433" s="17"/>
      <c r="G1433" s="17"/>
      <c r="H1433" s="17"/>
    </row>
    <row r="1434" spans="1:8" x14ac:dyDescent="0.2">
      <c r="A1434" s="16"/>
      <c r="B1434" s="16"/>
      <c r="C1434" s="17"/>
      <c r="D1434" s="17"/>
      <c r="E1434" s="17"/>
      <c r="F1434" s="17"/>
      <c r="G1434" s="17"/>
      <c r="H1434" s="17"/>
    </row>
    <row r="1435" spans="1:8" x14ac:dyDescent="0.2">
      <c r="A1435" s="16"/>
      <c r="B1435" s="16"/>
      <c r="C1435" s="17"/>
      <c r="D1435" s="17"/>
      <c r="E1435" s="17"/>
      <c r="F1435" s="17"/>
      <c r="G1435" s="17"/>
      <c r="H1435" s="17"/>
    </row>
    <row r="1436" spans="1:8" x14ac:dyDescent="0.2">
      <c r="A1436" s="16"/>
      <c r="B1436" s="16"/>
      <c r="C1436" s="17"/>
      <c r="D1436" s="17"/>
      <c r="E1436" s="17"/>
      <c r="F1436" s="17"/>
      <c r="G1436" s="17"/>
      <c r="H1436" s="17"/>
    </row>
    <row r="1437" spans="1:8" x14ac:dyDescent="0.2">
      <c r="A1437" s="16"/>
      <c r="B1437" s="16"/>
      <c r="C1437" s="17"/>
      <c r="D1437" s="17"/>
      <c r="E1437" s="17"/>
      <c r="F1437" s="17"/>
      <c r="G1437" s="17"/>
      <c r="H1437" s="17"/>
    </row>
    <row r="1438" spans="1:8" x14ac:dyDescent="0.2">
      <c r="A1438" s="16"/>
      <c r="B1438" s="16"/>
      <c r="C1438" s="17"/>
      <c r="D1438" s="17"/>
      <c r="E1438" s="17"/>
      <c r="F1438" s="17"/>
      <c r="G1438" s="17"/>
      <c r="H1438" s="17"/>
    </row>
    <row r="1439" spans="1:8" x14ac:dyDescent="0.2">
      <c r="A1439" s="16"/>
      <c r="B1439" s="16"/>
      <c r="C1439" s="17"/>
      <c r="D1439" s="17"/>
      <c r="E1439" s="17"/>
      <c r="F1439" s="17"/>
      <c r="G1439" s="17"/>
      <c r="H1439" s="17"/>
    </row>
    <row r="1440" spans="1:8" x14ac:dyDescent="0.2">
      <c r="A1440" s="16"/>
      <c r="B1440" s="16"/>
      <c r="C1440" s="17"/>
      <c r="D1440" s="17"/>
      <c r="E1440" s="17"/>
      <c r="F1440" s="17"/>
      <c r="G1440" s="17"/>
      <c r="H1440" s="17"/>
    </row>
    <row r="1441" spans="1:8" x14ac:dyDescent="0.2">
      <c r="A1441" s="16"/>
      <c r="B1441" s="16"/>
      <c r="C1441" s="17"/>
      <c r="D1441" s="17"/>
      <c r="E1441" s="17"/>
      <c r="F1441" s="17"/>
      <c r="G1441" s="17"/>
      <c r="H1441" s="17"/>
    </row>
    <row r="1442" spans="1:8" x14ac:dyDescent="0.2">
      <c r="A1442" s="16"/>
      <c r="B1442" s="16"/>
      <c r="C1442" s="17"/>
      <c r="D1442" s="17"/>
      <c r="E1442" s="17"/>
      <c r="F1442" s="17"/>
      <c r="G1442" s="17"/>
      <c r="H1442" s="17"/>
    </row>
    <row r="1443" spans="1:8" x14ac:dyDescent="0.2">
      <c r="A1443" s="16"/>
      <c r="B1443" s="16"/>
      <c r="C1443" s="17"/>
      <c r="D1443" s="17"/>
      <c r="E1443" s="17"/>
      <c r="F1443" s="17"/>
      <c r="G1443" s="17"/>
      <c r="H1443" s="17"/>
    </row>
    <row r="1444" spans="1:8" x14ac:dyDescent="0.2">
      <c r="A1444" s="16"/>
      <c r="B1444" s="16"/>
      <c r="C1444" s="17"/>
      <c r="D1444" s="17"/>
      <c r="E1444" s="17"/>
      <c r="F1444" s="17"/>
      <c r="G1444" s="17"/>
      <c r="H1444" s="17"/>
    </row>
    <row r="1445" spans="1:8" x14ac:dyDescent="0.2">
      <c r="A1445" s="16"/>
      <c r="B1445" s="16"/>
      <c r="C1445" s="17"/>
      <c r="D1445" s="17"/>
      <c r="E1445" s="17"/>
      <c r="F1445" s="17"/>
      <c r="G1445" s="17"/>
      <c r="H1445" s="17"/>
    </row>
    <row r="1446" spans="1:8" x14ac:dyDescent="0.2">
      <c r="A1446" s="16"/>
      <c r="B1446" s="16"/>
      <c r="C1446" s="17"/>
      <c r="D1446" s="17"/>
      <c r="E1446" s="17"/>
      <c r="F1446" s="17"/>
      <c r="G1446" s="17"/>
      <c r="H1446" s="17"/>
    </row>
    <row r="1447" spans="1:8" x14ac:dyDescent="0.2">
      <c r="A1447" s="16"/>
      <c r="B1447" s="16"/>
      <c r="C1447" s="17"/>
      <c r="D1447" s="17"/>
      <c r="E1447" s="17"/>
      <c r="F1447" s="17"/>
      <c r="G1447" s="17"/>
      <c r="H1447" s="17"/>
    </row>
    <row r="1448" spans="1:8" x14ac:dyDescent="0.2">
      <c r="A1448" s="16"/>
      <c r="B1448" s="16"/>
      <c r="C1448" s="17"/>
      <c r="D1448" s="17"/>
      <c r="E1448" s="17"/>
      <c r="F1448" s="17"/>
      <c r="G1448" s="17"/>
      <c r="H1448" s="17"/>
    </row>
    <row r="1449" spans="1:8" x14ac:dyDescent="0.2">
      <c r="A1449" s="16"/>
      <c r="B1449" s="16"/>
      <c r="C1449" s="17"/>
      <c r="D1449" s="17"/>
      <c r="E1449" s="17"/>
      <c r="F1449" s="17"/>
      <c r="G1449" s="17"/>
      <c r="H1449" s="17"/>
    </row>
    <row r="1450" spans="1:8" x14ac:dyDescent="0.2">
      <c r="A1450" s="16"/>
      <c r="B1450" s="16"/>
      <c r="C1450" s="17"/>
      <c r="D1450" s="17"/>
      <c r="E1450" s="17"/>
      <c r="F1450" s="17"/>
      <c r="G1450" s="17"/>
      <c r="H1450" s="17"/>
    </row>
    <row r="1451" spans="1:8" x14ac:dyDescent="0.2">
      <c r="A1451" s="16"/>
      <c r="B1451" s="16"/>
      <c r="C1451" s="17"/>
      <c r="D1451" s="17"/>
      <c r="E1451" s="17"/>
      <c r="F1451" s="17"/>
      <c r="G1451" s="17"/>
      <c r="H1451" s="17"/>
    </row>
    <row r="1452" spans="1:8" x14ac:dyDescent="0.2">
      <c r="A1452" s="16"/>
      <c r="B1452" s="16"/>
      <c r="C1452" s="17"/>
      <c r="D1452" s="17"/>
      <c r="E1452" s="17"/>
      <c r="F1452" s="17"/>
      <c r="G1452" s="17"/>
      <c r="H1452" s="17"/>
    </row>
    <row r="1453" spans="1:8" x14ac:dyDescent="0.2">
      <c r="A1453" s="16"/>
      <c r="B1453" s="16"/>
      <c r="C1453" s="17"/>
      <c r="D1453" s="17"/>
      <c r="E1453" s="17"/>
      <c r="F1453" s="17"/>
      <c r="G1453" s="17"/>
      <c r="H1453" s="17"/>
    </row>
    <row r="1454" spans="1:8" x14ac:dyDescent="0.2">
      <c r="A1454" s="16"/>
      <c r="B1454" s="16"/>
      <c r="C1454" s="17"/>
      <c r="D1454" s="17"/>
      <c r="E1454" s="17"/>
      <c r="F1454" s="17"/>
      <c r="G1454" s="17"/>
      <c r="H1454" s="17"/>
    </row>
    <row r="1455" spans="1:8" x14ac:dyDescent="0.2">
      <c r="A1455" s="16"/>
      <c r="B1455" s="16"/>
      <c r="C1455" s="17"/>
      <c r="D1455" s="17"/>
      <c r="E1455" s="17"/>
      <c r="F1455" s="17"/>
      <c r="G1455" s="17"/>
      <c r="H1455" s="17"/>
    </row>
    <row r="1456" spans="1:8" x14ac:dyDescent="0.2">
      <c r="A1456" s="16"/>
      <c r="B1456" s="16"/>
      <c r="C1456" s="17"/>
      <c r="D1456" s="17"/>
      <c r="E1456" s="17"/>
      <c r="F1456" s="17"/>
      <c r="G1456" s="17"/>
      <c r="H1456" s="17"/>
    </row>
    <row r="1457" spans="1:8" x14ac:dyDescent="0.2">
      <c r="A1457" s="16"/>
      <c r="B1457" s="16"/>
      <c r="C1457" s="17"/>
      <c r="D1457" s="17"/>
      <c r="E1457" s="17"/>
      <c r="F1457" s="17"/>
      <c r="G1457" s="17"/>
      <c r="H1457" s="17"/>
    </row>
    <row r="1458" spans="1:8" x14ac:dyDescent="0.2">
      <c r="A1458" s="16"/>
      <c r="B1458" s="16"/>
      <c r="C1458" s="17"/>
      <c r="D1458" s="17"/>
      <c r="E1458" s="17"/>
      <c r="F1458" s="17"/>
      <c r="G1458" s="17"/>
      <c r="H1458" s="17"/>
    </row>
    <row r="1459" spans="1:8" x14ac:dyDescent="0.2">
      <c r="A1459" s="16"/>
      <c r="B1459" s="16"/>
      <c r="C1459" s="17"/>
      <c r="D1459" s="17"/>
      <c r="E1459" s="17"/>
      <c r="F1459" s="17"/>
      <c r="G1459" s="17"/>
      <c r="H1459" s="17"/>
    </row>
    <row r="1460" spans="1:8" x14ac:dyDescent="0.2">
      <c r="A1460" s="16"/>
      <c r="B1460" s="16"/>
      <c r="C1460" s="17"/>
      <c r="D1460" s="17"/>
      <c r="E1460" s="17"/>
      <c r="F1460" s="17"/>
      <c r="G1460" s="17"/>
      <c r="H1460" s="17"/>
    </row>
    <row r="1461" spans="1:8" x14ac:dyDescent="0.2">
      <c r="A1461" s="16"/>
      <c r="B1461" s="16"/>
      <c r="C1461" s="17"/>
      <c r="D1461" s="17"/>
      <c r="E1461" s="17"/>
      <c r="F1461" s="17"/>
      <c r="G1461" s="17"/>
      <c r="H1461" s="17"/>
    </row>
    <row r="1462" spans="1:8" x14ac:dyDescent="0.2">
      <c r="A1462" s="16"/>
      <c r="B1462" s="16"/>
      <c r="C1462" s="17"/>
      <c r="D1462" s="17"/>
      <c r="E1462" s="17"/>
      <c r="F1462" s="17"/>
      <c r="G1462" s="17"/>
      <c r="H1462" s="17"/>
    </row>
    <row r="1463" spans="1:8" x14ac:dyDescent="0.2">
      <c r="A1463" s="16"/>
      <c r="B1463" s="16"/>
      <c r="C1463" s="17"/>
      <c r="D1463" s="17"/>
      <c r="E1463" s="17"/>
      <c r="F1463" s="17"/>
      <c r="G1463" s="17"/>
      <c r="H1463" s="17"/>
    </row>
    <row r="1464" spans="1:8" x14ac:dyDescent="0.2">
      <c r="A1464" s="16"/>
      <c r="B1464" s="16"/>
      <c r="C1464" s="17"/>
      <c r="D1464" s="17"/>
      <c r="E1464" s="17"/>
      <c r="F1464" s="17"/>
      <c r="G1464" s="17"/>
      <c r="H1464" s="17"/>
    </row>
    <row r="1465" spans="1:8" x14ac:dyDescent="0.2">
      <c r="A1465" s="16"/>
      <c r="B1465" s="16"/>
      <c r="C1465" s="17"/>
      <c r="D1465" s="17"/>
      <c r="E1465" s="17"/>
      <c r="F1465" s="17"/>
      <c r="G1465" s="17"/>
      <c r="H1465" s="17"/>
    </row>
    <row r="1466" spans="1:8" x14ac:dyDescent="0.2">
      <c r="A1466" s="16"/>
      <c r="B1466" s="16"/>
      <c r="C1466" s="17"/>
      <c r="D1466" s="17"/>
      <c r="E1466" s="17"/>
      <c r="F1466" s="17"/>
      <c r="G1466" s="17"/>
      <c r="H1466" s="17"/>
    </row>
    <row r="1467" spans="1:8" x14ac:dyDescent="0.2">
      <c r="A1467" s="16"/>
      <c r="B1467" s="16"/>
      <c r="C1467" s="17"/>
      <c r="D1467" s="17"/>
      <c r="E1467" s="17"/>
      <c r="F1467" s="17"/>
      <c r="G1467" s="17"/>
      <c r="H1467" s="17"/>
    </row>
    <row r="1468" spans="1:8" x14ac:dyDescent="0.2">
      <c r="A1468" s="16"/>
      <c r="B1468" s="16"/>
      <c r="C1468" s="17"/>
      <c r="D1468" s="17"/>
      <c r="E1468" s="17"/>
      <c r="F1468" s="17"/>
      <c r="G1468" s="17"/>
      <c r="H1468" s="17"/>
    </row>
    <row r="1469" spans="1:8" x14ac:dyDescent="0.2">
      <c r="A1469" s="16"/>
      <c r="B1469" s="16"/>
      <c r="C1469" s="17"/>
      <c r="D1469" s="17"/>
      <c r="E1469" s="17"/>
      <c r="F1469" s="17"/>
      <c r="G1469" s="17"/>
      <c r="H1469" s="17"/>
    </row>
    <row r="1470" spans="1:8" x14ac:dyDescent="0.2">
      <c r="A1470" s="16"/>
      <c r="B1470" s="16"/>
      <c r="C1470" s="17"/>
      <c r="D1470" s="17"/>
      <c r="E1470" s="17"/>
      <c r="F1470" s="17"/>
      <c r="G1470" s="17"/>
      <c r="H1470" s="17"/>
    </row>
    <row r="1471" spans="1:8" x14ac:dyDescent="0.2">
      <c r="A1471" s="16"/>
      <c r="B1471" s="16"/>
      <c r="C1471" s="17"/>
      <c r="D1471" s="17"/>
      <c r="E1471" s="17"/>
      <c r="F1471" s="17"/>
      <c r="G1471" s="17"/>
      <c r="H1471" s="17"/>
    </row>
    <row r="1472" spans="1:8" x14ac:dyDescent="0.2">
      <c r="A1472" s="16"/>
      <c r="B1472" s="16"/>
      <c r="C1472" s="17"/>
      <c r="D1472" s="17"/>
      <c r="E1472" s="17"/>
      <c r="F1472" s="17"/>
      <c r="G1472" s="17"/>
      <c r="H1472" s="17"/>
    </row>
    <row r="1473" spans="1:8" x14ac:dyDescent="0.2">
      <c r="A1473" s="16"/>
      <c r="B1473" s="16"/>
      <c r="C1473" s="17"/>
      <c r="D1473" s="17"/>
      <c r="E1473" s="17"/>
      <c r="F1473" s="17"/>
      <c r="G1473" s="17"/>
      <c r="H1473" s="17"/>
    </row>
    <row r="1474" spans="1:8" x14ac:dyDescent="0.2">
      <c r="A1474" s="16"/>
      <c r="B1474" s="16"/>
      <c r="C1474" s="17"/>
      <c r="D1474" s="17"/>
      <c r="E1474" s="17"/>
      <c r="F1474" s="17"/>
      <c r="G1474" s="17"/>
      <c r="H1474" s="17"/>
    </row>
    <row r="1475" spans="1:8" x14ac:dyDescent="0.2">
      <c r="A1475" s="16"/>
      <c r="B1475" s="16"/>
      <c r="C1475" s="17"/>
      <c r="D1475" s="17"/>
      <c r="E1475" s="17"/>
      <c r="F1475" s="17"/>
      <c r="G1475" s="17"/>
      <c r="H1475" s="17"/>
    </row>
    <row r="1476" spans="1:8" x14ac:dyDescent="0.2">
      <c r="A1476" s="16"/>
      <c r="B1476" s="16"/>
      <c r="C1476" s="17"/>
      <c r="D1476" s="17"/>
      <c r="E1476" s="17"/>
      <c r="F1476" s="17"/>
      <c r="G1476" s="17"/>
      <c r="H1476" s="17"/>
    </row>
    <row r="1477" spans="1:8" x14ac:dyDescent="0.2">
      <c r="A1477" s="16"/>
      <c r="B1477" s="16"/>
      <c r="C1477" s="17"/>
      <c r="D1477" s="17"/>
      <c r="E1477" s="17"/>
      <c r="F1477" s="17"/>
      <c r="G1477" s="17"/>
      <c r="H1477" s="17"/>
    </row>
    <row r="1478" spans="1:8" x14ac:dyDescent="0.2">
      <c r="A1478" s="16"/>
      <c r="B1478" s="16"/>
      <c r="C1478" s="17"/>
      <c r="D1478" s="17"/>
      <c r="E1478" s="17"/>
      <c r="F1478" s="17"/>
      <c r="G1478" s="17"/>
      <c r="H1478" s="17"/>
    </row>
    <row r="1479" spans="1:8" x14ac:dyDescent="0.2">
      <c r="A1479" s="16"/>
      <c r="B1479" s="16"/>
      <c r="C1479" s="17"/>
      <c r="D1479" s="17"/>
      <c r="E1479" s="17"/>
      <c r="F1479" s="17"/>
      <c r="G1479" s="17"/>
      <c r="H1479" s="17"/>
    </row>
    <row r="1480" spans="1:8" x14ac:dyDescent="0.2">
      <c r="A1480" s="16"/>
      <c r="B1480" s="16"/>
      <c r="C1480" s="17"/>
      <c r="D1480" s="17"/>
      <c r="E1480" s="17"/>
      <c r="F1480" s="17"/>
      <c r="G1480" s="17"/>
      <c r="H1480" s="17"/>
    </row>
    <row r="1481" spans="1:8" x14ac:dyDescent="0.2">
      <c r="A1481" s="16"/>
      <c r="B1481" s="16"/>
      <c r="C1481" s="17"/>
      <c r="D1481" s="17"/>
      <c r="E1481" s="17"/>
      <c r="F1481" s="17"/>
      <c r="G1481" s="17"/>
      <c r="H1481" s="17"/>
    </row>
    <row r="1482" spans="1:8" x14ac:dyDescent="0.2">
      <c r="A1482" s="16"/>
      <c r="B1482" s="16"/>
      <c r="C1482" s="17"/>
      <c r="D1482" s="17"/>
      <c r="E1482" s="17"/>
      <c r="F1482" s="17"/>
      <c r="G1482" s="17"/>
      <c r="H1482" s="17"/>
    </row>
    <row r="1483" spans="1:8" x14ac:dyDescent="0.2">
      <c r="A1483" s="16"/>
      <c r="B1483" s="16"/>
      <c r="C1483" s="17"/>
      <c r="D1483" s="17"/>
      <c r="E1483" s="17"/>
      <c r="F1483" s="17"/>
      <c r="G1483" s="17"/>
      <c r="H1483" s="17"/>
    </row>
    <row r="1484" spans="1:8" x14ac:dyDescent="0.2">
      <c r="A1484" s="16"/>
      <c r="B1484" s="16"/>
      <c r="C1484" s="17"/>
      <c r="D1484" s="17"/>
      <c r="E1484" s="17"/>
      <c r="F1484" s="17"/>
      <c r="G1484" s="17"/>
      <c r="H1484" s="17"/>
    </row>
    <row r="1485" spans="1:8" x14ac:dyDescent="0.2">
      <c r="A1485" s="16"/>
      <c r="B1485" s="16"/>
      <c r="C1485" s="17"/>
      <c r="D1485" s="17"/>
      <c r="E1485" s="17"/>
      <c r="F1485" s="17"/>
      <c r="G1485" s="17"/>
      <c r="H1485" s="17"/>
    </row>
    <row r="1486" spans="1:8" x14ac:dyDescent="0.2">
      <c r="A1486" s="16"/>
      <c r="B1486" s="16"/>
      <c r="C1486" s="17"/>
      <c r="D1486" s="17"/>
      <c r="E1486" s="17"/>
      <c r="F1486" s="17"/>
      <c r="G1486" s="17"/>
      <c r="H1486" s="17"/>
    </row>
    <row r="1487" spans="1:8" x14ac:dyDescent="0.2">
      <c r="A1487" s="16"/>
      <c r="B1487" s="16"/>
      <c r="C1487" s="17"/>
      <c r="D1487" s="17"/>
      <c r="E1487" s="17"/>
      <c r="F1487" s="17"/>
      <c r="G1487" s="17"/>
      <c r="H1487" s="17"/>
    </row>
    <row r="1488" spans="1:8" x14ac:dyDescent="0.2">
      <c r="A1488" s="16"/>
      <c r="B1488" s="16"/>
      <c r="C1488" s="17"/>
      <c r="D1488" s="17"/>
      <c r="E1488" s="17"/>
      <c r="F1488" s="17"/>
      <c r="G1488" s="17"/>
      <c r="H1488" s="17"/>
    </row>
    <row r="1489" spans="1:8" x14ac:dyDescent="0.2">
      <c r="A1489" s="16"/>
      <c r="B1489" s="16"/>
      <c r="C1489" s="17"/>
      <c r="D1489" s="17"/>
      <c r="E1489" s="17"/>
      <c r="F1489" s="17"/>
      <c r="G1489" s="17"/>
      <c r="H1489" s="17"/>
    </row>
    <row r="1490" spans="1:8" x14ac:dyDescent="0.2">
      <c r="A1490" s="16"/>
      <c r="B1490" s="16"/>
      <c r="C1490" s="17"/>
      <c r="D1490" s="17"/>
      <c r="E1490" s="17"/>
      <c r="F1490" s="17"/>
      <c r="G1490" s="17"/>
      <c r="H1490" s="17"/>
    </row>
    <row r="1491" spans="1:8" x14ac:dyDescent="0.2">
      <c r="A1491" s="16"/>
      <c r="B1491" s="16"/>
      <c r="C1491" s="17"/>
      <c r="D1491" s="17"/>
      <c r="E1491" s="17"/>
      <c r="F1491" s="17"/>
      <c r="G1491" s="17"/>
      <c r="H1491" s="17"/>
    </row>
    <row r="1492" spans="1:8" x14ac:dyDescent="0.2">
      <c r="A1492" s="16"/>
      <c r="B1492" s="16"/>
      <c r="C1492" s="17"/>
      <c r="D1492" s="17"/>
      <c r="E1492" s="17"/>
      <c r="F1492" s="17"/>
      <c r="G1492" s="17"/>
      <c r="H1492" s="17"/>
    </row>
    <row r="1493" spans="1:8" x14ac:dyDescent="0.2">
      <c r="A1493" s="16"/>
      <c r="B1493" s="16"/>
      <c r="C1493" s="17"/>
      <c r="D1493" s="17"/>
      <c r="E1493" s="17"/>
      <c r="F1493" s="17"/>
      <c r="G1493" s="17"/>
      <c r="H1493" s="17"/>
    </row>
    <row r="1494" spans="1:8" x14ac:dyDescent="0.2">
      <c r="A1494" s="16"/>
      <c r="B1494" s="16"/>
      <c r="C1494" s="17"/>
      <c r="D1494" s="17"/>
      <c r="E1494" s="17"/>
      <c r="F1494" s="17"/>
      <c r="G1494" s="17"/>
      <c r="H1494" s="17"/>
    </row>
    <row r="1495" spans="1:8" x14ac:dyDescent="0.2">
      <c r="A1495" s="16"/>
      <c r="B1495" s="16"/>
      <c r="C1495" s="17"/>
      <c r="D1495" s="17"/>
      <c r="E1495" s="17"/>
      <c r="F1495" s="17"/>
      <c r="G1495" s="17"/>
      <c r="H1495" s="17"/>
    </row>
    <row r="1496" spans="1:8" x14ac:dyDescent="0.2">
      <c r="A1496" s="16"/>
      <c r="B1496" s="16"/>
      <c r="C1496" s="17"/>
      <c r="D1496" s="17"/>
      <c r="E1496" s="17"/>
      <c r="F1496" s="17"/>
      <c r="G1496" s="17"/>
      <c r="H1496" s="17"/>
    </row>
    <row r="1497" spans="1:8" x14ac:dyDescent="0.2">
      <c r="A1497" s="16"/>
      <c r="B1497" s="16"/>
      <c r="C1497" s="17"/>
      <c r="D1497" s="17"/>
      <c r="E1497" s="17"/>
      <c r="F1497" s="17"/>
      <c r="G1497" s="17"/>
      <c r="H1497" s="17"/>
    </row>
    <row r="1498" spans="1:8" x14ac:dyDescent="0.2">
      <c r="A1498" s="16"/>
      <c r="B1498" s="16"/>
      <c r="C1498" s="17"/>
      <c r="D1498" s="17"/>
      <c r="E1498" s="17"/>
      <c r="F1498" s="17"/>
      <c r="G1498" s="17"/>
      <c r="H1498" s="17"/>
    </row>
    <row r="1499" spans="1:8" x14ac:dyDescent="0.2">
      <c r="A1499" s="16"/>
      <c r="B1499" s="16"/>
      <c r="C1499" s="17"/>
      <c r="D1499" s="17"/>
      <c r="E1499" s="17"/>
      <c r="F1499" s="17"/>
      <c r="G1499" s="17"/>
      <c r="H1499" s="17"/>
    </row>
    <row r="1500" spans="1:8" x14ac:dyDescent="0.2">
      <c r="A1500" s="16"/>
      <c r="B1500" s="16"/>
      <c r="C1500" s="17"/>
      <c r="D1500" s="17"/>
      <c r="E1500" s="17"/>
      <c r="F1500" s="17"/>
      <c r="G1500" s="17"/>
      <c r="H1500" s="17"/>
    </row>
    <row r="1501" spans="1:8" x14ac:dyDescent="0.2">
      <c r="A1501" s="16"/>
      <c r="B1501" s="16"/>
      <c r="C1501" s="17"/>
      <c r="D1501" s="17"/>
      <c r="E1501" s="17"/>
      <c r="F1501" s="17"/>
      <c r="G1501" s="17"/>
      <c r="H1501" s="17"/>
    </row>
    <row r="1502" spans="1:8" x14ac:dyDescent="0.2">
      <c r="A1502" s="16"/>
      <c r="B1502" s="16"/>
      <c r="C1502" s="17"/>
      <c r="D1502" s="17"/>
      <c r="E1502" s="17"/>
      <c r="F1502" s="17"/>
      <c r="G1502" s="17"/>
      <c r="H1502" s="17"/>
    </row>
    <row r="1503" spans="1:8" x14ac:dyDescent="0.2">
      <c r="A1503" s="16"/>
      <c r="B1503" s="16"/>
      <c r="C1503" s="17"/>
      <c r="D1503" s="17"/>
      <c r="E1503" s="17"/>
      <c r="F1503" s="17"/>
      <c r="G1503" s="17"/>
      <c r="H1503" s="17"/>
    </row>
    <row r="1504" spans="1:8" x14ac:dyDescent="0.2">
      <c r="A1504" s="16"/>
      <c r="B1504" s="16"/>
      <c r="C1504" s="17"/>
      <c r="D1504" s="17"/>
      <c r="E1504" s="17"/>
      <c r="F1504" s="17"/>
      <c r="G1504" s="17"/>
      <c r="H1504" s="17"/>
    </row>
    <row r="1505" spans="1:8" x14ac:dyDescent="0.2">
      <c r="A1505" s="16"/>
      <c r="B1505" s="16"/>
      <c r="C1505" s="17"/>
      <c r="D1505" s="17"/>
      <c r="E1505" s="17"/>
      <c r="F1505" s="17"/>
      <c r="G1505" s="17"/>
      <c r="H1505" s="17"/>
    </row>
    <row r="1506" spans="1:8" x14ac:dyDescent="0.2">
      <c r="A1506" s="16"/>
      <c r="B1506" s="16"/>
      <c r="C1506" s="17"/>
      <c r="D1506" s="17"/>
      <c r="E1506" s="17"/>
      <c r="F1506" s="17"/>
      <c r="G1506" s="17"/>
      <c r="H1506" s="17"/>
    </row>
    <row r="1507" spans="1:8" x14ac:dyDescent="0.2">
      <c r="A1507" s="16"/>
      <c r="B1507" s="16"/>
      <c r="C1507" s="17"/>
      <c r="D1507" s="17"/>
      <c r="E1507" s="17"/>
      <c r="F1507" s="17"/>
      <c r="G1507" s="17"/>
      <c r="H1507" s="17"/>
    </row>
    <row r="1508" spans="1:8" x14ac:dyDescent="0.2">
      <c r="A1508" s="16"/>
      <c r="B1508" s="16"/>
      <c r="C1508" s="17"/>
      <c r="D1508" s="17"/>
      <c r="E1508" s="17"/>
      <c r="F1508" s="17"/>
      <c r="G1508" s="17"/>
      <c r="H1508" s="17"/>
    </row>
    <row r="1509" spans="1:8" x14ac:dyDescent="0.2">
      <c r="A1509" s="16"/>
      <c r="B1509" s="16"/>
      <c r="C1509" s="17"/>
      <c r="D1509" s="17"/>
      <c r="E1509" s="17"/>
      <c r="F1509" s="17"/>
      <c r="G1509" s="17"/>
      <c r="H1509" s="17"/>
    </row>
    <row r="1510" spans="1:8" x14ac:dyDescent="0.2">
      <c r="A1510" s="16"/>
      <c r="B1510" s="16"/>
      <c r="C1510" s="17"/>
      <c r="D1510" s="17"/>
      <c r="E1510" s="17"/>
      <c r="F1510" s="17"/>
      <c r="G1510" s="17"/>
      <c r="H1510" s="17"/>
    </row>
    <row r="1511" spans="1:8" x14ac:dyDescent="0.2">
      <c r="A1511" s="16"/>
      <c r="B1511" s="16"/>
      <c r="C1511" s="17"/>
      <c r="D1511" s="17"/>
      <c r="E1511" s="17"/>
      <c r="F1511" s="17"/>
      <c r="G1511" s="17"/>
      <c r="H1511" s="17"/>
    </row>
    <row r="1512" spans="1:8" x14ac:dyDescent="0.2">
      <c r="A1512" s="16"/>
      <c r="B1512" s="16"/>
      <c r="C1512" s="17"/>
      <c r="D1512" s="17"/>
      <c r="E1512" s="17"/>
      <c r="F1512" s="17"/>
      <c r="G1512" s="17"/>
      <c r="H1512" s="17"/>
    </row>
    <row r="1513" spans="1:8" x14ac:dyDescent="0.2">
      <c r="A1513" s="16"/>
      <c r="B1513" s="16"/>
      <c r="C1513" s="17"/>
      <c r="D1513" s="17"/>
      <c r="E1513" s="17"/>
      <c r="F1513" s="17"/>
      <c r="G1513" s="17"/>
      <c r="H1513" s="17"/>
    </row>
    <row r="1514" spans="1:8" x14ac:dyDescent="0.2">
      <c r="A1514" s="16"/>
      <c r="B1514" s="16"/>
      <c r="C1514" s="17"/>
      <c r="D1514" s="17"/>
      <c r="E1514" s="17"/>
      <c r="F1514" s="17"/>
      <c r="G1514" s="17"/>
      <c r="H1514" s="17"/>
    </row>
    <row r="1515" spans="1:8" x14ac:dyDescent="0.2">
      <c r="A1515" s="16"/>
      <c r="B1515" s="16"/>
      <c r="C1515" s="17"/>
      <c r="D1515" s="17"/>
      <c r="E1515" s="17"/>
      <c r="F1515" s="17"/>
      <c r="G1515" s="17"/>
      <c r="H1515" s="17"/>
    </row>
    <row r="1516" spans="1:8" x14ac:dyDescent="0.2">
      <c r="A1516" s="16"/>
      <c r="B1516" s="16"/>
      <c r="C1516" s="17"/>
      <c r="D1516" s="17"/>
      <c r="E1516" s="17"/>
      <c r="F1516" s="17"/>
      <c r="G1516" s="17"/>
      <c r="H1516" s="17"/>
    </row>
    <row r="1517" spans="1:8" x14ac:dyDescent="0.2">
      <c r="A1517" s="16"/>
      <c r="B1517" s="16"/>
      <c r="C1517" s="17"/>
      <c r="D1517" s="17"/>
      <c r="E1517" s="17"/>
      <c r="F1517" s="17"/>
      <c r="G1517" s="17"/>
      <c r="H1517" s="17"/>
    </row>
    <row r="1518" spans="1:8" x14ac:dyDescent="0.2">
      <c r="A1518" s="16"/>
      <c r="B1518" s="16"/>
      <c r="C1518" s="17"/>
      <c r="D1518" s="17"/>
      <c r="E1518" s="17"/>
      <c r="F1518" s="17"/>
      <c r="G1518" s="17"/>
      <c r="H1518" s="17"/>
    </row>
    <row r="1519" spans="1:8" x14ac:dyDescent="0.2">
      <c r="A1519" s="16"/>
      <c r="B1519" s="16"/>
      <c r="C1519" s="17"/>
      <c r="D1519" s="17"/>
      <c r="E1519" s="17"/>
      <c r="F1519" s="17"/>
      <c r="G1519" s="17"/>
      <c r="H1519" s="17"/>
    </row>
    <row r="1520" spans="1:8" x14ac:dyDescent="0.2">
      <c r="A1520" s="16"/>
      <c r="B1520" s="16"/>
      <c r="C1520" s="17"/>
      <c r="D1520" s="17"/>
      <c r="E1520" s="17"/>
      <c r="F1520" s="17"/>
      <c r="G1520" s="17"/>
      <c r="H1520" s="17"/>
    </row>
    <row r="1521" spans="1:8" x14ac:dyDescent="0.2">
      <c r="A1521" s="16"/>
      <c r="B1521" s="16"/>
      <c r="C1521" s="17"/>
      <c r="D1521" s="17"/>
      <c r="E1521" s="17"/>
      <c r="F1521" s="17"/>
      <c r="G1521" s="17"/>
      <c r="H1521" s="17"/>
    </row>
    <row r="1522" spans="1:8" x14ac:dyDescent="0.2">
      <c r="A1522" s="16"/>
      <c r="B1522" s="16"/>
      <c r="C1522" s="17"/>
      <c r="D1522" s="17"/>
      <c r="E1522" s="17"/>
      <c r="F1522" s="17"/>
      <c r="G1522" s="17"/>
      <c r="H1522" s="17"/>
    </row>
    <row r="1523" spans="1:8" x14ac:dyDescent="0.2">
      <c r="A1523" s="16"/>
      <c r="B1523" s="16"/>
      <c r="C1523" s="17"/>
      <c r="D1523" s="17"/>
      <c r="E1523" s="17"/>
      <c r="F1523" s="17"/>
      <c r="G1523" s="17"/>
      <c r="H1523" s="17"/>
    </row>
    <row r="1524" spans="1:8" x14ac:dyDescent="0.2">
      <c r="A1524" s="16"/>
      <c r="B1524" s="16"/>
      <c r="C1524" s="17"/>
      <c r="D1524" s="17"/>
      <c r="E1524" s="17"/>
      <c r="F1524" s="17"/>
      <c r="G1524" s="17"/>
      <c r="H1524" s="17"/>
    </row>
    <row r="1525" spans="1:8" x14ac:dyDescent="0.2">
      <c r="A1525" s="16"/>
      <c r="B1525" s="16"/>
      <c r="C1525" s="17"/>
      <c r="D1525" s="17"/>
      <c r="E1525" s="17"/>
      <c r="F1525" s="17"/>
      <c r="G1525" s="17"/>
      <c r="H1525" s="17"/>
    </row>
    <row r="1526" spans="1:8" x14ac:dyDescent="0.2">
      <c r="A1526" s="16"/>
      <c r="B1526" s="16"/>
      <c r="C1526" s="17"/>
      <c r="D1526" s="17"/>
      <c r="E1526" s="17"/>
      <c r="F1526" s="17"/>
      <c r="G1526" s="17"/>
      <c r="H1526" s="17"/>
    </row>
    <row r="1527" spans="1:8" x14ac:dyDescent="0.2">
      <c r="A1527" s="16"/>
      <c r="B1527" s="16"/>
      <c r="C1527" s="17"/>
      <c r="D1527" s="17"/>
      <c r="E1527" s="17"/>
      <c r="F1527" s="17"/>
      <c r="G1527" s="17"/>
      <c r="H1527" s="17"/>
    </row>
    <row r="1528" spans="1:8" x14ac:dyDescent="0.2">
      <c r="A1528" s="16"/>
      <c r="B1528" s="16"/>
      <c r="C1528" s="17"/>
      <c r="D1528" s="17"/>
      <c r="E1528" s="17"/>
      <c r="F1528" s="17"/>
      <c r="G1528" s="17"/>
      <c r="H1528" s="17"/>
    </row>
    <row r="1529" spans="1:8" x14ac:dyDescent="0.2">
      <c r="A1529" s="16"/>
      <c r="B1529" s="16"/>
      <c r="C1529" s="17"/>
      <c r="D1529" s="17"/>
      <c r="E1529" s="17"/>
      <c r="F1529" s="17"/>
      <c r="G1529" s="17"/>
      <c r="H1529" s="17"/>
    </row>
    <row r="1530" spans="1:8" x14ac:dyDescent="0.2">
      <c r="A1530" s="16"/>
      <c r="B1530" s="16"/>
      <c r="C1530" s="17"/>
      <c r="D1530" s="17"/>
      <c r="E1530" s="17"/>
      <c r="F1530" s="17"/>
      <c r="G1530" s="17"/>
      <c r="H1530" s="17"/>
    </row>
    <row r="1531" spans="1:8" x14ac:dyDescent="0.2">
      <c r="A1531" s="16"/>
      <c r="B1531" s="16"/>
      <c r="C1531" s="17"/>
      <c r="D1531" s="17"/>
      <c r="E1531" s="17"/>
      <c r="F1531" s="17"/>
      <c r="G1531" s="17"/>
      <c r="H1531" s="17"/>
    </row>
    <row r="1532" spans="1:8" x14ac:dyDescent="0.2">
      <c r="A1532" s="16"/>
      <c r="B1532" s="16"/>
      <c r="C1532" s="17"/>
      <c r="D1532" s="17"/>
      <c r="E1532" s="17"/>
      <c r="F1532" s="17"/>
      <c r="G1532" s="17"/>
      <c r="H1532" s="17"/>
    </row>
    <row r="1533" spans="1:8" x14ac:dyDescent="0.2">
      <c r="A1533" s="16"/>
      <c r="B1533" s="16"/>
      <c r="C1533" s="17"/>
      <c r="D1533" s="17"/>
      <c r="E1533" s="17"/>
      <c r="F1533" s="17"/>
      <c r="G1533" s="17"/>
      <c r="H1533" s="17"/>
    </row>
    <row r="1534" spans="1:8" x14ac:dyDescent="0.2">
      <c r="A1534" s="16"/>
      <c r="B1534" s="16"/>
      <c r="C1534" s="17"/>
      <c r="D1534" s="17"/>
      <c r="E1534" s="17"/>
      <c r="F1534" s="17"/>
      <c r="G1534" s="17"/>
      <c r="H1534" s="17"/>
    </row>
    <row r="1535" spans="1:8" x14ac:dyDescent="0.2">
      <c r="A1535" s="16"/>
      <c r="B1535" s="16"/>
      <c r="C1535" s="17"/>
      <c r="D1535" s="17"/>
      <c r="E1535" s="17"/>
      <c r="F1535" s="17"/>
      <c r="G1535" s="17"/>
      <c r="H1535" s="17"/>
    </row>
    <row r="1536" spans="1:8" x14ac:dyDescent="0.2">
      <c r="A1536" s="16"/>
      <c r="B1536" s="16"/>
      <c r="C1536" s="17"/>
      <c r="D1536" s="17"/>
      <c r="E1536" s="17"/>
      <c r="F1536" s="17"/>
      <c r="G1536" s="17"/>
      <c r="H1536" s="17"/>
    </row>
    <row r="1537" spans="1:8" x14ac:dyDescent="0.2">
      <c r="A1537" s="16"/>
      <c r="B1537" s="16"/>
      <c r="C1537" s="17"/>
      <c r="D1537" s="17"/>
      <c r="E1537" s="17"/>
      <c r="F1537" s="17"/>
      <c r="G1537" s="17"/>
      <c r="H1537" s="17"/>
    </row>
    <row r="1538" spans="1:8" x14ac:dyDescent="0.2">
      <c r="A1538" s="16"/>
      <c r="B1538" s="16"/>
      <c r="C1538" s="17"/>
      <c r="D1538" s="17"/>
      <c r="E1538" s="17"/>
      <c r="F1538" s="17"/>
      <c r="G1538" s="17"/>
      <c r="H1538" s="17"/>
    </row>
    <row r="1539" spans="1:8" x14ac:dyDescent="0.2">
      <c r="A1539" s="16"/>
      <c r="B1539" s="16"/>
      <c r="C1539" s="17"/>
      <c r="D1539" s="17"/>
      <c r="E1539" s="17"/>
      <c r="F1539" s="17"/>
      <c r="G1539" s="17"/>
      <c r="H1539" s="17"/>
    </row>
    <row r="1540" spans="1:8" x14ac:dyDescent="0.2">
      <c r="A1540" s="16"/>
      <c r="B1540" s="16"/>
      <c r="C1540" s="17"/>
      <c r="D1540" s="17"/>
      <c r="E1540" s="17"/>
      <c r="F1540" s="17"/>
      <c r="G1540" s="17"/>
      <c r="H1540" s="17"/>
    </row>
    <row r="1541" spans="1:8" x14ac:dyDescent="0.2">
      <c r="A1541" s="16"/>
      <c r="B1541" s="16"/>
      <c r="C1541" s="17"/>
      <c r="D1541" s="17"/>
      <c r="E1541" s="17"/>
      <c r="F1541" s="17"/>
      <c r="G1541" s="17"/>
      <c r="H1541" s="17"/>
    </row>
    <row r="1542" spans="1:8" x14ac:dyDescent="0.2">
      <c r="A1542" s="16"/>
      <c r="B1542" s="16"/>
      <c r="C1542" s="17"/>
      <c r="D1542" s="17"/>
      <c r="E1542" s="17"/>
      <c r="F1542" s="17"/>
      <c r="G1542" s="17"/>
      <c r="H1542" s="17"/>
    </row>
    <row r="1543" spans="1:8" x14ac:dyDescent="0.2">
      <c r="A1543" s="16"/>
      <c r="B1543" s="16"/>
      <c r="C1543" s="17"/>
      <c r="D1543" s="17"/>
      <c r="E1543" s="17"/>
      <c r="F1543" s="17"/>
      <c r="G1543" s="17"/>
      <c r="H1543" s="17"/>
    </row>
    <row r="1544" spans="1:8" x14ac:dyDescent="0.2">
      <c r="A1544" s="16"/>
      <c r="B1544" s="16"/>
      <c r="C1544" s="17"/>
      <c r="D1544" s="17"/>
      <c r="E1544" s="17"/>
      <c r="F1544" s="17"/>
      <c r="G1544" s="17"/>
      <c r="H1544" s="17"/>
    </row>
    <row r="1545" spans="1:8" x14ac:dyDescent="0.2">
      <c r="A1545" s="16"/>
      <c r="B1545" s="16"/>
      <c r="C1545" s="17"/>
      <c r="D1545" s="17"/>
      <c r="E1545" s="17"/>
      <c r="F1545" s="17"/>
      <c r="G1545" s="17"/>
      <c r="H1545" s="17"/>
    </row>
    <row r="1546" spans="1:8" x14ac:dyDescent="0.2">
      <c r="A1546" s="16"/>
      <c r="B1546" s="16"/>
      <c r="C1546" s="17"/>
      <c r="D1546" s="17"/>
      <c r="E1546" s="17"/>
      <c r="F1546" s="17"/>
      <c r="G1546" s="17"/>
      <c r="H1546" s="17"/>
    </row>
    <row r="1547" spans="1:8" x14ac:dyDescent="0.2">
      <c r="A1547" s="16"/>
      <c r="B1547" s="16"/>
      <c r="C1547" s="17"/>
      <c r="D1547" s="17"/>
      <c r="E1547" s="17"/>
      <c r="F1547" s="17"/>
      <c r="G1547" s="17"/>
      <c r="H1547" s="17"/>
    </row>
    <row r="1548" spans="1:8" x14ac:dyDescent="0.2">
      <c r="A1548" s="16"/>
      <c r="B1548" s="16"/>
      <c r="C1548" s="17"/>
      <c r="D1548" s="17"/>
      <c r="E1548" s="17"/>
      <c r="F1548" s="17"/>
      <c r="G1548" s="17"/>
      <c r="H1548" s="17"/>
    </row>
    <row r="1549" spans="1:8" x14ac:dyDescent="0.2">
      <c r="A1549" s="16"/>
      <c r="B1549" s="16"/>
      <c r="C1549" s="17"/>
      <c r="D1549" s="17"/>
      <c r="E1549" s="17"/>
      <c r="F1549" s="17"/>
      <c r="G1549" s="17"/>
      <c r="H1549" s="17"/>
    </row>
    <row r="1550" spans="1:8" x14ac:dyDescent="0.2">
      <c r="A1550" s="16"/>
      <c r="B1550" s="16"/>
      <c r="C1550" s="17"/>
      <c r="D1550" s="17"/>
      <c r="E1550" s="17"/>
      <c r="F1550" s="17"/>
      <c r="G1550" s="17"/>
      <c r="H1550" s="17"/>
    </row>
    <row r="1551" spans="1:8" x14ac:dyDescent="0.2">
      <c r="A1551" s="16"/>
      <c r="B1551" s="16"/>
      <c r="C1551" s="17"/>
      <c r="D1551" s="17"/>
      <c r="E1551" s="17"/>
      <c r="F1551" s="17"/>
      <c r="G1551" s="17"/>
      <c r="H1551" s="17"/>
    </row>
    <row r="1552" spans="1:8" x14ac:dyDescent="0.2">
      <c r="A1552" s="16"/>
      <c r="B1552" s="16"/>
      <c r="C1552" s="17"/>
      <c r="D1552" s="17"/>
      <c r="E1552" s="17"/>
      <c r="F1552" s="17"/>
      <c r="G1552" s="17"/>
      <c r="H1552" s="17"/>
    </row>
    <row r="1553" spans="1:8" x14ac:dyDescent="0.2">
      <c r="A1553" s="16"/>
      <c r="B1553" s="16"/>
      <c r="C1553" s="17"/>
      <c r="D1553" s="17"/>
      <c r="E1553" s="17"/>
      <c r="F1553" s="17"/>
      <c r="G1553" s="17"/>
      <c r="H1553" s="17"/>
    </row>
    <row r="1554" spans="1:8" x14ac:dyDescent="0.2">
      <c r="A1554" s="16"/>
      <c r="B1554" s="16"/>
      <c r="C1554" s="17"/>
      <c r="D1554" s="17"/>
      <c r="E1554" s="17"/>
      <c r="F1554" s="17"/>
      <c r="G1554" s="17"/>
      <c r="H1554" s="17"/>
    </row>
    <row r="1555" spans="1:8" x14ac:dyDescent="0.2">
      <c r="A1555" s="16"/>
      <c r="B1555" s="16"/>
      <c r="C1555" s="17"/>
      <c r="D1555" s="17"/>
      <c r="E1555" s="17"/>
      <c r="F1555" s="17"/>
      <c r="G1555" s="17"/>
      <c r="H1555" s="17"/>
    </row>
    <row r="1556" spans="1:8" x14ac:dyDescent="0.2">
      <c r="A1556" s="16"/>
      <c r="B1556" s="16"/>
      <c r="C1556" s="17"/>
      <c r="D1556" s="17"/>
      <c r="E1556" s="17"/>
      <c r="F1556" s="17"/>
      <c r="G1556" s="17"/>
      <c r="H1556" s="17"/>
    </row>
    <row r="1557" spans="1:8" x14ac:dyDescent="0.2">
      <c r="A1557" s="16"/>
      <c r="B1557" s="16"/>
      <c r="C1557" s="17"/>
      <c r="D1557" s="17"/>
      <c r="E1557" s="17"/>
      <c r="F1557" s="17"/>
      <c r="G1557" s="17"/>
      <c r="H1557" s="17"/>
    </row>
    <row r="1558" spans="1:8" x14ac:dyDescent="0.2">
      <c r="A1558" s="16"/>
      <c r="B1558" s="16"/>
      <c r="C1558" s="17"/>
      <c r="D1558" s="17"/>
      <c r="E1558" s="17"/>
      <c r="F1558" s="17"/>
      <c r="G1558" s="17"/>
      <c r="H1558" s="17"/>
    </row>
    <row r="1559" spans="1:8" x14ac:dyDescent="0.2">
      <c r="A1559" s="16"/>
      <c r="B1559" s="16"/>
      <c r="C1559" s="17"/>
      <c r="D1559" s="17"/>
      <c r="E1559" s="17"/>
      <c r="F1559" s="17"/>
      <c r="G1559" s="17"/>
      <c r="H1559" s="17"/>
    </row>
    <row r="1560" spans="1:8" x14ac:dyDescent="0.2">
      <c r="A1560" s="16"/>
      <c r="B1560" s="16"/>
      <c r="C1560" s="17"/>
      <c r="D1560" s="17"/>
      <c r="E1560" s="17"/>
      <c r="F1560" s="17"/>
      <c r="G1560" s="17"/>
      <c r="H1560" s="17"/>
    </row>
    <row r="1561" spans="1:8" x14ac:dyDescent="0.2">
      <c r="A1561" s="16"/>
      <c r="B1561" s="16"/>
      <c r="C1561" s="17"/>
      <c r="D1561" s="17"/>
      <c r="E1561" s="17"/>
      <c r="F1561" s="17"/>
      <c r="G1561" s="17"/>
      <c r="H1561" s="17"/>
    </row>
    <row r="1562" spans="1:8" x14ac:dyDescent="0.2">
      <c r="A1562" s="16"/>
      <c r="B1562" s="16"/>
      <c r="C1562" s="17"/>
      <c r="D1562" s="17"/>
      <c r="E1562" s="17"/>
      <c r="F1562" s="17"/>
      <c r="G1562" s="17"/>
      <c r="H1562" s="17"/>
    </row>
    <row r="1563" spans="1:8" x14ac:dyDescent="0.2">
      <c r="A1563" s="16"/>
      <c r="B1563" s="16"/>
      <c r="C1563" s="17"/>
      <c r="D1563" s="17"/>
      <c r="E1563" s="17"/>
      <c r="F1563" s="17"/>
      <c r="G1563" s="17"/>
      <c r="H1563" s="17"/>
    </row>
    <row r="1564" spans="1:8" x14ac:dyDescent="0.2">
      <c r="A1564" s="16"/>
      <c r="B1564" s="16"/>
      <c r="C1564" s="17"/>
      <c r="D1564" s="17"/>
      <c r="E1564" s="17"/>
      <c r="F1564" s="17"/>
      <c r="G1564" s="17"/>
      <c r="H1564" s="17"/>
    </row>
    <row r="1565" spans="1:8" x14ac:dyDescent="0.2">
      <c r="A1565" s="16"/>
      <c r="B1565" s="16"/>
      <c r="C1565" s="17"/>
      <c r="D1565" s="17"/>
      <c r="E1565" s="17"/>
      <c r="F1565" s="17"/>
      <c r="G1565" s="17"/>
      <c r="H1565" s="17"/>
    </row>
    <row r="1566" spans="1:8" x14ac:dyDescent="0.2">
      <c r="A1566" s="16"/>
      <c r="B1566" s="16"/>
      <c r="C1566" s="17"/>
      <c r="D1566" s="17"/>
      <c r="E1566" s="17"/>
      <c r="F1566" s="17"/>
      <c r="G1566" s="17"/>
      <c r="H1566" s="17"/>
    </row>
    <row r="1567" spans="1:8" x14ac:dyDescent="0.2">
      <c r="A1567" s="16"/>
      <c r="B1567" s="16"/>
      <c r="C1567" s="17"/>
      <c r="D1567" s="17"/>
      <c r="E1567" s="17"/>
      <c r="F1567" s="17"/>
      <c r="G1567" s="17"/>
      <c r="H1567" s="17"/>
    </row>
    <row r="1568" spans="1:8" x14ac:dyDescent="0.2">
      <c r="A1568" s="16"/>
      <c r="B1568" s="16"/>
      <c r="C1568" s="17"/>
      <c r="D1568" s="17"/>
      <c r="E1568" s="17"/>
      <c r="F1568" s="17"/>
      <c r="G1568" s="17"/>
      <c r="H1568" s="17"/>
    </row>
    <row r="1569" spans="1:8" x14ac:dyDescent="0.2">
      <c r="A1569" s="16"/>
      <c r="B1569" s="16"/>
      <c r="C1569" s="17"/>
      <c r="D1569" s="17"/>
      <c r="E1569" s="17"/>
      <c r="F1569" s="17"/>
      <c r="G1569" s="17"/>
      <c r="H1569" s="17"/>
    </row>
    <row r="1570" spans="1:8" x14ac:dyDescent="0.2">
      <c r="A1570" s="16"/>
      <c r="B1570" s="16"/>
      <c r="C1570" s="17"/>
      <c r="D1570" s="17"/>
      <c r="E1570" s="17"/>
      <c r="F1570" s="17"/>
      <c r="G1570" s="17"/>
      <c r="H1570" s="17"/>
    </row>
    <row r="1571" spans="1:8" x14ac:dyDescent="0.2">
      <c r="A1571" s="16"/>
      <c r="B1571" s="16"/>
      <c r="C1571" s="17"/>
      <c r="D1571" s="17"/>
      <c r="E1571" s="17"/>
      <c r="F1571" s="17"/>
      <c r="G1571" s="17"/>
      <c r="H1571" s="17"/>
    </row>
    <row r="1572" spans="1:8" x14ac:dyDescent="0.2">
      <c r="A1572" s="16"/>
      <c r="B1572" s="16"/>
      <c r="C1572" s="17"/>
      <c r="D1572" s="17"/>
      <c r="E1572" s="17"/>
      <c r="F1572" s="17"/>
      <c r="G1572" s="17"/>
      <c r="H1572" s="17"/>
    </row>
    <row r="1573" spans="1:8" x14ac:dyDescent="0.2">
      <c r="A1573" s="16"/>
      <c r="B1573" s="16"/>
      <c r="C1573" s="17"/>
      <c r="D1573" s="17"/>
      <c r="E1573" s="17"/>
      <c r="F1573" s="17"/>
      <c r="G1573" s="17"/>
      <c r="H1573" s="17"/>
    </row>
    <row r="1574" spans="1:8" x14ac:dyDescent="0.2">
      <c r="A1574" s="16"/>
      <c r="B1574" s="16"/>
      <c r="C1574" s="17"/>
      <c r="D1574" s="17"/>
      <c r="E1574" s="17"/>
      <c r="F1574" s="17"/>
      <c r="G1574" s="17"/>
      <c r="H1574" s="17"/>
    </row>
    <row r="1575" spans="1:8" x14ac:dyDescent="0.2">
      <c r="A1575" s="16"/>
      <c r="B1575" s="16"/>
      <c r="C1575" s="17"/>
      <c r="D1575" s="17"/>
      <c r="E1575" s="17"/>
      <c r="F1575" s="17"/>
      <c r="G1575" s="17"/>
      <c r="H1575" s="17"/>
    </row>
    <row r="1576" spans="1:8" x14ac:dyDescent="0.2">
      <c r="A1576" s="16"/>
      <c r="B1576" s="16"/>
      <c r="C1576" s="17"/>
      <c r="D1576" s="17"/>
      <c r="E1576" s="17"/>
      <c r="F1576" s="17"/>
      <c r="G1576" s="17"/>
      <c r="H1576" s="17"/>
    </row>
    <row r="1577" spans="1:8" x14ac:dyDescent="0.2">
      <c r="A1577" s="16"/>
      <c r="B1577" s="16"/>
      <c r="C1577" s="17"/>
      <c r="D1577" s="17"/>
      <c r="E1577" s="17"/>
      <c r="F1577" s="17"/>
      <c r="G1577" s="17"/>
      <c r="H1577" s="17"/>
    </row>
    <row r="1578" spans="1:8" x14ac:dyDescent="0.2">
      <c r="A1578" s="16"/>
      <c r="B1578" s="16"/>
      <c r="C1578" s="17"/>
      <c r="D1578" s="17"/>
      <c r="E1578" s="17"/>
      <c r="F1578" s="17"/>
      <c r="G1578" s="17"/>
      <c r="H1578" s="17"/>
    </row>
    <row r="1579" spans="1:8" x14ac:dyDescent="0.2">
      <c r="A1579" s="16"/>
      <c r="B1579" s="16"/>
      <c r="C1579" s="17"/>
      <c r="D1579" s="17"/>
      <c r="E1579" s="17"/>
      <c r="F1579" s="17"/>
      <c r="G1579" s="17"/>
      <c r="H1579" s="17"/>
    </row>
    <row r="1580" spans="1:8" x14ac:dyDescent="0.2">
      <c r="A1580" s="16"/>
      <c r="B1580" s="16"/>
      <c r="C1580" s="17"/>
      <c r="D1580" s="17"/>
      <c r="E1580" s="17"/>
      <c r="F1580" s="17"/>
      <c r="G1580" s="17"/>
      <c r="H1580" s="17"/>
    </row>
    <row r="1581" spans="1:8" x14ac:dyDescent="0.2">
      <c r="A1581" s="16"/>
      <c r="B1581" s="16"/>
      <c r="C1581" s="17"/>
      <c r="D1581" s="17"/>
      <c r="E1581" s="17"/>
      <c r="F1581" s="17"/>
      <c r="G1581" s="17"/>
      <c r="H1581" s="17"/>
    </row>
    <row r="1582" spans="1:8" x14ac:dyDescent="0.2">
      <c r="A1582" s="16"/>
      <c r="B1582" s="16"/>
      <c r="C1582" s="17"/>
      <c r="D1582" s="17"/>
      <c r="E1582" s="17"/>
      <c r="F1582" s="17"/>
      <c r="G1582" s="17"/>
      <c r="H1582" s="17"/>
    </row>
    <row r="1583" spans="1:8" x14ac:dyDescent="0.2">
      <c r="A1583" s="16"/>
      <c r="B1583" s="16"/>
      <c r="C1583" s="17"/>
      <c r="D1583" s="17"/>
      <c r="E1583" s="17"/>
      <c r="F1583" s="17"/>
      <c r="G1583" s="17"/>
      <c r="H1583" s="17"/>
    </row>
    <row r="1584" spans="1:8" x14ac:dyDescent="0.2">
      <c r="A1584" s="16"/>
      <c r="B1584" s="16"/>
      <c r="C1584" s="17"/>
      <c r="D1584" s="17"/>
      <c r="E1584" s="17"/>
      <c r="F1584" s="17"/>
      <c r="G1584" s="17"/>
      <c r="H1584" s="17"/>
    </row>
    <row r="1585" spans="1:8" x14ac:dyDescent="0.2">
      <c r="A1585" s="16"/>
      <c r="B1585" s="16"/>
      <c r="C1585" s="17"/>
      <c r="D1585" s="17"/>
      <c r="E1585" s="17"/>
      <c r="F1585" s="17"/>
      <c r="G1585" s="17"/>
      <c r="H1585" s="17"/>
    </row>
    <row r="1586" spans="1:8" x14ac:dyDescent="0.2">
      <c r="A1586" s="16"/>
      <c r="B1586" s="16"/>
      <c r="C1586" s="17"/>
      <c r="D1586" s="17"/>
      <c r="E1586" s="17"/>
      <c r="F1586" s="17"/>
      <c r="G1586" s="17"/>
      <c r="H1586" s="17"/>
    </row>
    <row r="1587" spans="1:8" x14ac:dyDescent="0.2">
      <c r="A1587" s="16"/>
      <c r="B1587" s="16"/>
      <c r="C1587" s="17"/>
      <c r="D1587" s="17"/>
      <c r="E1587" s="17"/>
      <c r="F1587" s="17"/>
      <c r="G1587" s="17"/>
      <c r="H1587" s="17"/>
    </row>
    <row r="1588" spans="1:8" x14ac:dyDescent="0.2">
      <c r="A1588" s="16"/>
      <c r="B1588" s="16"/>
      <c r="C1588" s="17"/>
      <c r="D1588" s="17"/>
      <c r="E1588" s="17"/>
      <c r="F1588" s="17"/>
      <c r="G1588" s="17"/>
      <c r="H1588" s="17"/>
    </row>
    <row r="1589" spans="1:8" x14ac:dyDescent="0.2">
      <c r="A1589" s="16"/>
      <c r="B1589" s="16"/>
      <c r="C1589" s="17"/>
      <c r="D1589" s="17"/>
      <c r="E1589" s="17"/>
      <c r="F1589" s="17"/>
      <c r="G1589" s="17"/>
      <c r="H1589" s="17"/>
    </row>
    <row r="1590" spans="1:8" x14ac:dyDescent="0.2">
      <c r="A1590" s="16"/>
      <c r="B1590" s="16"/>
      <c r="C1590" s="17"/>
      <c r="D1590" s="17"/>
      <c r="E1590" s="17"/>
      <c r="F1590" s="17"/>
      <c r="G1590" s="17"/>
      <c r="H1590" s="17"/>
    </row>
    <row r="1591" spans="1:8" x14ac:dyDescent="0.2">
      <c r="A1591" s="16"/>
      <c r="B1591" s="16"/>
      <c r="C1591" s="17"/>
      <c r="D1591" s="17"/>
      <c r="E1591" s="17"/>
      <c r="F1591" s="17"/>
      <c r="G1591" s="17"/>
      <c r="H1591" s="17"/>
    </row>
    <row r="1592" spans="1:8" x14ac:dyDescent="0.2">
      <c r="A1592" s="16"/>
      <c r="B1592" s="16"/>
      <c r="C1592" s="17"/>
      <c r="D1592" s="17"/>
      <c r="E1592" s="17"/>
      <c r="F1592" s="17"/>
      <c r="G1592" s="17"/>
      <c r="H1592" s="17"/>
    </row>
    <row r="1593" spans="1:8" x14ac:dyDescent="0.2">
      <c r="A1593" s="16"/>
      <c r="B1593" s="16"/>
      <c r="C1593" s="17"/>
      <c r="D1593" s="17"/>
      <c r="E1593" s="17"/>
      <c r="F1593" s="17"/>
      <c r="G1593" s="17"/>
      <c r="H1593" s="17"/>
    </row>
    <row r="1594" spans="1:8" x14ac:dyDescent="0.2">
      <c r="A1594" s="16"/>
      <c r="B1594" s="16"/>
      <c r="C1594" s="17"/>
      <c r="D1594" s="17"/>
      <c r="E1594" s="17"/>
      <c r="F1594" s="17"/>
      <c r="G1594" s="17"/>
      <c r="H1594" s="17"/>
    </row>
    <row r="1595" spans="1:8" x14ac:dyDescent="0.2">
      <c r="A1595" s="16"/>
      <c r="B1595" s="16"/>
      <c r="C1595" s="17"/>
      <c r="D1595" s="17"/>
      <c r="E1595" s="17"/>
      <c r="F1595" s="17"/>
      <c r="G1595" s="17"/>
      <c r="H1595" s="17"/>
    </row>
    <row r="1596" spans="1:8" x14ac:dyDescent="0.2">
      <c r="A1596" s="16"/>
      <c r="B1596" s="16"/>
      <c r="C1596" s="17"/>
      <c r="D1596" s="17"/>
      <c r="E1596" s="17"/>
      <c r="F1596" s="17"/>
      <c r="G1596" s="17"/>
      <c r="H1596" s="17"/>
    </row>
    <row r="1597" spans="1:8" x14ac:dyDescent="0.2">
      <c r="A1597" s="16"/>
      <c r="B1597" s="16"/>
      <c r="C1597" s="17"/>
      <c r="D1597" s="17"/>
      <c r="E1597" s="17"/>
      <c r="F1597" s="17"/>
      <c r="G1597" s="17"/>
      <c r="H1597" s="17"/>
    </row>
    <row r="1598" spans="1:8" x14ac:dyDescent="0.2">
      <c r="A1598" s="16"/>
      <c r="B1598" s="16"/>
      <c r="C1598" s="17"/>
      <c r="D1598" s="17"/>
      <c r="E1598" s="17"/>
      <c r="F1598" s="17"/>
      <c r="G1598" s="17"/>
      <c r="H1598" s="17"/>
    </row>
    <row r="1599" spans="1:8" x14ac:dyDescent="0.2">
      <c r="A1599" s="16"/>
      <c r="B1599" s="16"/>
      <c r="C1599" s="17"/>
      <c r="D1599" s="17"/>
      <c r="E1599" s="17"/>
      <c r="F1599" s="17"/>
      <c r="G1599" s="17"/>
      <c r="H1599" s="17"/>
    </row>
    <row r="1600" spans="1:8" x14ac:dyDescent="0.2">
      <c r="A1600" s="16"/>
      <c r="B1600" s="16"/>
      <c r="C1600" s="17"/>
      <c r="D1600" s="17"/>
      <c r="E1600" s="17"/>
      <c r="F1600" s="17"/>
      <c r="G1600" s="17"/>
      <c r="H1600" s="17"/>
    </row>
    <row r="1601" spans="1:8" x14ac:dyDescent="0.2">
      <c r="A1601" s="16"/>
      <c r="B1601" s="16"/>
      <c r="C1601" s="17"/>
      <c r="D1601" s="17"/>
      <c r="E1601" s="17"/>
      <c r="F1601" s="17"/>
      <c r="G1601" s="17"/>
      <c r="H1601" s="17"/>
    </row>
    <row r="1602" spans="1:8" x14ac:dyDescent="0.2">
      <c r="A1602" s="16"/>
      <c r="B1602" s="16"/>
      <c r="C1602" s="17"/>
      <c r="D1602" s="17"/>
      <c r="E1602" s="17"/>
      <c r="F1602" s="17"/>
      <c r="G1602" s="17"/>
      <c r="H1602" s="17"/>
    </row>
    <row r="1603" spans="1:8" x14ac:dyDescent="0.2">
      <c r="A1603" s="16"/>
      <c r="B1603" s="16"/>
      <c r="C1603" s="17"/>
      <c r="D1603" s="17"/>
      <c r="E1603" s="17"/>
      <c r="F1603" s="17"/>
      <c r="G1603" s="17"/>
      <c r="H1603" s="17"/>
    </row>
    <row r="1604" spans="1:8" x14ac:dyDescent="0.2">
      <c r="A1604" s="16"/>
      <c r="B1604" s="16"/>
      <c r="C1604" s="17"/>
      <c r="D1604" s="17"/>
      <c r="E1604" s="17"/>
      <c r="F1604" s="17"/>
      <c r="G1604" s="17"/>
      <c r="H1604" s="17"/>
    </row>
    <row r="1605" spans="1:8" x14ac:dyDescent="0.2">
      <c r="A1605" s="16"/>
      <c r="B1605" s="16"/>
      <c r="C1605" s="17"/>
      <c r="D1605" s="17"/>
      <c r="E1605" s="17"/>
      <c r="F1605" s="17"/>
      <c r="G1605" s="17"/>
      <c r="H1605" s="17"/>
    </row>
    <row r="1606" spans="1:8" x14ac:dyDescent="0.2">
      <c r="A1606" s="16"/>
      <c r="B1606" s="16"/>
      <c r="C1606" s="17"/>
      <c r="D1606" s="17"/>
      <c r="E1606" s="17"/>
      <c r="F1606" s="17"/>
      <c r="G1606" s="17"/>
      <c r="H1606" s="17"/>
    </row>
    <row r="1607" spans="1:8" x14ac:dyDescent="0.2">
      <c r="A1607" s="16"/>
      <c r="B1607" s="16"/>
      <c r="C1607" s="17"/>
      <c r="D1607" s="17"/>
      <c r="E1607" s="17"/>
      <c r="F1607" s="17"/>
      <c r="G1607" s="17"/>
      <c r="H1607" s="17"/>
    </row>
    <row r="1608" spans="1:8" x14ac:dyDescent="0.2">
      <c r="A1608" s="16"/>
      <c r="B1608" s="16"/>
      <c r="C1608" s="17"/>
      <c r="D1608" s="17"/>
      <c r="E1608" s="17"/>
      <c r="F1608" s="17"/>
      <c r="G1608" s="17"/>
      <c r="H1608" s="17"/>
    </row>
    <row r="1609" spans="1:8" x14ac:dyDescent="0.2">
      <c r="A1609" s="16"/>
      <c r="B1609" s="16"/>
      <c r="C1609" s="17"/>
      <c r="D1609" s="17"/>
      <c r="E1609" s="17"/>
      <c r="F1609" s="17"/>
      <c r="G1609" s="17"/>
      <c r="H1609" s="17"/>
    </row>
    <row r="1610" spans="1:8" x14ac:dyDescent="0.2">
      <c r="A1610" s="16"/>
      <c r="B1610" s="16"/>
      <c r="C1610" s="17"/>
      <c r="D1610" s="17"/>
      <c r="E1610" s="17"/>
      <c r="F1610" s="17"/>
      <c r="G1610" s="17"/>
      <c r="H1610" s="17"/>
    </row>
    <row r="1611" spans="1:8" x14ac:dyDescent="0.2">
      <c r="A1611" s="16"/>
      <c r="B1611" s="16"/>
      <c r="C1611" s="17"/>
      <c r="D1611" s="17"/>
      <c r="E1611" s="17"/>
      <c r="F1611" s="17"/>
      <c r="G1611" s="17"/>
      <c r="H1611" s="17"/>
    </row>
    <row r="1612" spans="1:8" x14ac:dyDescent="0.2">
      <c r="A1612" s="16"/>
      <c r="B1612" s="16"/>
      <c r="C1612" s="17"/>
      <c r="D1612" s="17"/>
      <c r="E1612" s="17"/>
      <c r="F1612" s="17"/>
      <c r="G1612" s="17"/>
      <c r="H1612" s="17"/>
    </row>
    <row r="1613" spans="1:8" x14ac:dyDescent="0.2">
      <c r="A1613" s="16"/>
      <c r="B1613" s="16"/>
      <c r="C1613" s="17"/>
      <c r="D1613" s="17"/>
      <c r="E1613" s="17"/>
      <c r="F1613" s="17"/>
      <c r="G1613" s="17"/>
      <c r="H1613" s="17"/>
    </row>
    <row r="1614" spans="1:8" x14ac:dyDescent="0.2">
      <c r="A1614" s="16"/>
      <c r="B1614" s="16"/>
      <c r="C1614" s="17"/>
      <c r="D1614" s="17"/>
      <c r="E1614" s="17"/>
      <c r="F1614" s="17"/>
      <c r="G1614" s="17"/>
      <c r="H1614" s="17"/>
    </row>
    <row r="1615" spans="1:8" x14ac:dyDescent="0.2">
      <c r="A1615" s="16"/>
      <c r="B1615" s="16"/>
      <c r="C1615" s="17"/>
      <c r="D1615" s="17"/>
      <c r="E1615" s="17"/>
      <c r="F1615" s="17"/>
      <c r="G1615" s="17"/>
      <c r="H1615" s="17"/>
    </row>
    <row r="1616" spans="1:8" x14ac:dyDescent="0.2">
      <c r="A1616" s="16"/>
      <c r="B1616" s="16"/>
      <c r="C1616" s="17"/>
      <c r="D1616" s="17"/>
      <c r="E1616" s="17"/>
      <c r="F1616" s="17"/>
      <c r="G1616" s="17"/>
      <c r="H1616" s="17"/>
    </row>
    <row r="1617" spans="1:8" x14ac:dyDescent="0.2">
      <c r="A1617" s="16"/>
      <c r="B1617" s="16"/>
      <c r="C1617" s="17"/>
      <c r="D1617" s="17"/>
      <c r="E1617" s="17"/>
      <c r="F1617" s="17"/>
      <c r="G1617" s="17"/>
      <c r="H1617" s="17"/>
    </row>
    <row r="1618" spans="1:8" x14ac:dyDescent="0.2">
      <c r="A1618" s="16"/>
      <c r="B1618" s="16"/>
      <c r="C1618" s="17"/>
      <c r="D1618" s="17"/>
      <c r="E1618" s="17"/>
      <c r="F1618" s="17"/>
      <c r="G1618" s="17"/>
      <c r="H1618" s="17"/>
    </row>
    <row r="1619" spans="1:8" x14ac:dyDescent="0.2">
      <c r="A1619" s="16"/>
      <c r="B1619" s="16"/>
      <c r="C1619" s="17"/>
      <c r="D1619" s="17"/>
      <c r="E1619" s="17"/>
      <c r="F1619" s="17"/>
      <c r="G1619" s="17"/>
      <c r="H1619" s="17"/>
    </row>
    <row r="1620" spans="1:8" x14ac:dyDescent="0.2">
      <c r="A1620" s="16"/>
      <c r="B1620" s="16"/>
      <c r="C1620" s="17"/>
      <c r="D1620" s="17"/>
      <c r="E1620" s="17"/>
      <c r="F1620" s="17"/>
      <c r="G1620" s="17"/>
      <c r="H1620" s="17"/>
    </row>
    <row r="1621" spans="1:8" x14ac:dyDescent="0.2">
      <c r="A1621" s="16"/>
      <c r="B1621" s="16"/>
      <c r="C1621" s="17"/>
      <c r="D1621" s="17"/>
      <c r="E1621" s="17"/>
      <c r="F1621" s="17"/>
      <c r="G1621" s="17"/>
      <c r="H1621" s="17"/>
    </row>
    <row r="1622" spans="1:8" x14ac:dyDescent="0.2">
      <c r="A1622" s="16"/>
      <c r="B1622" s="16"/>
      <c r="C1622" s="17"/>
      <c r="D1622" s="17"/>
      <c r="E1622" s="17"/>
      <c r="F1622" s="17"/>
      <c r="G1622" s="17"/>
      <c r="H1622" s="17"/>
    </row>
    <row r="1623" spans="1:8" x14ac:dyDescent="0.2">
      <c r="A1623" s="16"/>
      <c r="B1623" s="16"/>
      <c r="C1623" s="17"/>
      <c r="D1623" s="17"/>
      <c r="E1623" s="17"/>
      <c r="F1623" s="17"/>
      <c r="G1623" s="17"/>
      <c r="H1623" s="17"/>
    </row>
    <row r="1624" spans="1:8" x14ac:dyDescent="0.2">
      <c r="A1624" s="16"/>
      <c r="B1624" s="16"/>
      <c r="C1624" s="17"/>
      <c r="D1624" s="17"/>
      <c r="E1624" s="17"/>
      <c r="F1624" s="17"/>
      <c r="G1624" s="17"/>
      <c r="H1624" s="17"/>
    </row>
    <row r="1625" spans="1:8" x14ac:dyDescent="0.2">
      <c r="A1625" s="16"/>
      <c r="B1625" s="16"/>
      <c r="C1625" s="17"/>
      <c r="D1625" s="17"/>
      <c r="E1625" s="17"/>
      <c r="F1625" s="17"/>
      <c r="G1625" s="17"/>
      <c r="H1625" s="17"/>
    </row>
    <row r="1626" spans="1:8" x14ac:dyDescent="0.2">
      <c r="A1626" s="16"/>
      <c r="B1626" s="16"/>
      <c r="C1626" s="17"/>
      <c r="D1626" s="17"/>
      <c r="E1626" s="17"/>
      <c r="F1626" s="17"/>
      <c r="G1626" s="17"/>
      <c r="H1626" s="17"/>
    </row>
    <row r="1627" spans="1:8" x14ac:dyDescent="0.2">
      <c r="A1627" s="16"/>
      <c r="B1627" s="16"/>
      <c r="C1627" s="17"/>
      <c r="D1627" s="17"/>
      <c r="E1627" s="17"/>
      <c r="F1627" s="17"/>
      <c r="G1627" s="17"/>
      <c r="H1627" s="17"/>
    </row>
    <row r="1628" spans="1:8" x14ac:dyDescent="0.2">
      <c r="A1628" s="16"/>
      <c r="B1628" s="16"/>
      <c r="C1628" s="17"/>
      <c r="D1628" s="17"/>
      <c r="E1628" s="17"/>
      <c r="F1628" s="17"/>
      <c r="G1628" s="17"/>
      <c r="H1628" s="17"/>
    </row>
    <row r="1629" spans="1:8" x14ac:dyDescent="0.2">
      <c r="A1629" s="16"/>
      <c r="B1629" s="16"/>
      <c r="C1629" s="17"/>
      <c r="D1629" s="17"/>
      <c r="E1629" s="17"/>
      <c r="F1629" s="17"/>
      <c r="G1629" s="17"/>
      <c r="H1629" s="17"/>
    </row>
    <row r="1630" spans="1:8" x14ac:dyDescent="0.2">
      <c r="A1630" s="16"/>
      <c r="B1630" s="16"/>
      <c r="C1630" s="17"/>
      <c r="D1630" s="17"/>
      <c r="E1630" s="17"/>
      <c r="F1630" s="17"/>
      <c r="G1630" s="17"/>
      <c r="H1630" s="17"/>
    </row>
    <row r="1631" spans="1:8" x14ac:dyDescent="0.2">
      <c r="A1631" s="16"/>
      <c r="B1631" s="16"/>
      <c r="C1631" s="17"/>
      <c r="D1631" s="17"/>
      <c r="E1631" s="17"/>
      <c r="F1631" s="17"/>
      <c r="G1631" s="17"/>
      <c r="H1631" s="17"/>
    </row>
    <row r="1632" spans="1:8" x14ac:dyDescent="0.2">
      <c r="A1632" s="16"/>
      <c r="B1632" s="16"/>
      <c r="C1632" s="17"/>
      <c r="D1632" s="17"/>
      <c r="E1632" s="17"/>
      <c r="F1632" s="17"/>
      <c r="G1632" s="17"/>
      <c r="H1632" s="17"/>
    </row>
    <row r="1633" spans="1:8" x14ac:dyDescent="0.2">
      <c r="A1633" s="16"/>
      <c r="B1633" s="16"/>
      <c r="C1633" s="17"/>
      <c r="D1633" s="17"/>
      <c r="E1633" s="17"/>
      <c r="F1633" s="17"/>
      <c r="G1633" s="17"/>
      <c r="H1633" s="17"/>
    </row>
    <row r="1634" spans="1:8" x14ac:dyDescent="0.2">
      <c r="A1634" s="16"/>
      <c r="B1634" s="16"/>
      <c r="C1634" s="17"/>
      <c r="D1634" s="17"/>
      <c r="E1634" s="17"/>
      <c r="F1634" s="17"/>
      <c r="G1634" s="17"/>
      <c r="H1634" s="17"/>
    </row>
    <row r="1635" spans="1:8" x14ac:dyDescent="0.2">
      <c r="A1635" s="16"/>
      <c r="B1635" s="16"/>
      <c r="C1635" s="17"/>
      <c r="D1635" s="17"/>
      <c r="E1635" s="17"/>
      <c r="F1635" s="17"/>
      <c r="G1635" s="17"/>
      <c r="H1635" s="17"/>
    </row>
    <row r="1636" spans="1:8" x14ac:dyDescent="0.2">
      <c r="A1636" s="16"/>
      <c r="B1636" s="16"/>
      <c r="C1636" s="17"/>
      <c r="D1636" s="17"/>
      <c r="E1636" s="17"/>
      <c r="F1636" s="17"/>
      <c r="G1636" s="17"/>
      <c r="H1636" s="17"/>
    </row>
    <row r="1637" spans="1:8" x14ac:dyDescent="0.2">
      <c r="A1637" s="16"/>
      <c r="B1637" s="16"/>
      <c r="C1637" s="17"/>
      <c r="D1637" s="17"/>
      <c r="E1637" s="17"/>
      <c r="F1637" s="17"/>
      <c r="G1637" s="17"/>
      <c r="H1637" s="17"/>
    </row>
    <row r="1638" spans="1:8" x14ac:dyDescent="0.2">
      <c r="A1638" s="16"/>
      <c r="B1638" s="16"/>
      <c r="C1638" s="17"/>
      <c r="D1638" s="17"/>
      <c r="E1638" s="17"/>
      <c r="F1638" s="17"/>
      <c r="G1638" s="17"/>
      <c r="H1638" s="17"/>
    </row>
    <row r="1639" spans="1:8" x14ac:dyDescent="0.2">
      <c r="A1639" s="16"/>
      <c r="B1639" s="16"/>
      <c r="C1639" s="17"/>
      <c r="D1639" s="17"/>
      <c r="E1639" s="17"/>
      <c r="F1639" s="17"/>
      <c r="G1639" s="17"/>
      <c r="H1639" s="17"/>
    </row>
    <row r="1640" spans="1:8" x14ac:dyDescent="0.2">
      <c r="A1640" s="16"/>
      <c r="B1640" s="16"/>
      <c r="C1640" s="17"/>
      <c r="D1640" s="17"/>
      <c r="E1640" s="17"/>
      <c r="F1640" s="17"/>
      <c r="G1640" s="17"/>
      <c r="H1640" s="17"/>
    </row>
    <row r="1641" spans="1:8" x14ac:dyDescent="0.2">
      <c r="A1641" s="16"/>
      <c r="B1641" s="16"/>
      <c r="C1641" s="17"/>
      <c r="D1641" s="17"/>
      <c r="E1641" s="17"/>
      <c r="F1641" s="17"/>
      <c r="G1641" s="17"/>
      <c r="H1641" s="17"/>
    </row>
    <row r="1642" spans="1:8" x14ac:dyDescent="0.2">
      <c r="A1642" s="16"/>
      <c r="B1642" s="16"/>
      <c r="C1642" s="17"/>
      <c r="D1642" s="17"/>
      <c r="E1642" s="17"/>
      <c r="F1642" s="17"/>
      <c r="G1642" s="17"/>
      <c r="H1642" s="17"/>
    </row>
    <row r="1643" spans="1:8" x14ac:dyDescent="0.2">
      <c r="A1643" s="16"/>
      <c r="B1643" s="16"/>
      <c r="C1643" s="17"/>
      <c r="D1643" s="17"/>
      <c r="E1643" s="17"/>
      <c r="F1643" s="17"/>
      <c r="G1643" s="17"/>
      <c r="H1643" s="17"/>
    </row>
    <row r="1644" spans="1:8" x14ac:dyDescent="0.2">
      <c r="A1644" s="16"/>
      <c r="B1644" s="16"/>
      <c r="C1644" s="17"/>
      <c r="D1644" s="17"/>
      <c r="E1644" s="17"/>
      <c r="F1644" s="17"/>
      <c r="G1644" s="17"/>
      <c r="H1644" s="17"/>
    </row>
    <row r="1645" spans="1:8" x14ac:dyDescent="0.2">
      <c r="A1645" s="16"/>
      <c r="B1645" s="16"/>
      <c r="C1645" s="17"/>
      <c r="D1645" s="17"/>
      <c r="E1645" s="17"/>
      <c r="F1645" s="17"/>
      <c r="G1645" s="17"/>
      <c r="H1645" s="17"/>
    </row>
    <row r="1646" spans="1:8" x14ac:dyDescent="0.2">
      <c r="A1646" s="16"/>
      <c r="B1646" s="16"/>
      <c r="C1646" s="17"/>
      <c r="D1646" s="17"/>
      <c r="E1646" s="17"/>
      <c r="F1646" s="17"/>
      <c r="G1646" s="17"/>
      <c r="H1646" s="17"/>
    </row>
    <row r="1647" spans="1:8" x14ac:dyDescent="0.2">
      <c r="A1647" s="16"/>
      <c r="B1647" s="16"/>
      <c r="C1647" s="17"/>
      <c r="D1647" s="17"/>
      <c r="E1647" s="17"/>
      <c r="F1647" s="17"/>
      <c r="G1647" s="17"/>
      <c r="H1647" s="17"/>
    </row>
    <row r="1648" spans="1:8" x14ac:dyDescent="0.2">
      <c r="A1648" s="16"/>
      <c r="B1648" s="16"/>
      <c r="C1648" s="17"/>
      <c r="D1648" s="17"/>
      <c r="E1648" s="17"/>
      <c r="F1648" s="17"/>
      <c r="G1648" s="17"/>
      <c r="H1648" s="17"/>
    </row>
    <row r="1649" spans="1:8" x14ac:dyDescent="0.2">
      <c r="A1649" s="16"/>
      <c r="B1649" s="16"/>
      <c r="C1649" s="17"/>
      <c r="D1649" s="17"/>
      <c r="E1649" s="17"/>
      <c r="F1649" s="17"/>
      <c r="G1649" s="17"/>
      <c r="H1649" s="17"/>
    </row>
    <row r="1650" spans="1:8" x14ac:dyDescent="0.2">
      <c r="A1650" s="16"/>
      <c r="B1650" s="16"/>
      <c r="C1650" s="17"/>
      <c r="D1650" s="17"/>
      <c r="E1650" s="17"/>
      <c r="F1650" s="17"/>
      <c r="G1650" s="17"/>
      <c r="H1650" s="17"/>
    </row>
    <row r="1651" spans="1:8" x14ac:dyDescent="0.2">
      <c r="A1651" s="16"/>
      <c r="B1651" s="16"/>
      <c r="C1651" s="17"/>
      <c r="D1651" s="17"/>
      <c r="E1651" s="17"/>
      <c r="F1651" s="17"/>
      <c r="G1651" s="17"/>
      <c r="H1651" s="17"/>
    </row>
    <row r="1652" spans="1:8" x14ac:dyDescent="0.2">
      <c r="A1652" s="16"/>
      <c r="B1652" s="16"/>
      <c r="C1652" s="17"/>
      <c r="D1652" s="17"/>
      <c r="E1652" s="17"/>
      <c r="F1652" s="17"/>
      <c r="G1652" s="17"/>
      <c r="H1652" s="17"/>
    </row>
    <row r="1653" spans="1:8" x14ac:dyDescent="0.2">
      <c r="A1653" s="16"/>
      <c r="B1653" s="16"/>
      <c r="C1653" s="17"/>
      <c r="D1653" s="17"/>
      <c r="E1653" s="17"/>
      <c r="F1653" s="17"/>
      <c r="G1653" s="17"/>
      <c r="H1653" s="17"/>
    </row>
    <row r="1654" spans="1:8" x14ac:dyDescent="0.2">
      <c r="A1654" s="16"/>
      <c r="B1654" s="16"/>
      <c r="C1654" s="17"/>
      <c r="D1654" s="17"/>
      <c r="E1654" s="17"/>
      <c r="F1654" s="17"/>
      <c r="G1654" s="17"/>
      <c r="H1654" s="17"/>
    </row>
    <row r="1655" spans="1:8" x14ac:dyDescent="0.2">
      <c r="A1655" s="16"/>
      <c r="B1655" s="16"/>
      <c r="C1655" s="17"/>
      <c r="D1655" s="17"/>
      <c r="E1655" s="17"/>
      <c r="F1655" s="17"/>
      <c r="G1655" s="17"/>
      <c r="H1655" s="17"/>
    </row>
    <row r="1656" spans="1:8" x14ac:dyDescent="0.2">
      <c r="A1656" s="16"/>
      <c r="B1656" s="16"/>
      <c r="C1656" s="17"/>
      <c r="D1656" s="17"/>
      <c r="E1656" s="17"/>
      <c r="F1656" s="17"/>
      <c r="G1656" s="17"/>
      <c r="H1656" s="17"/>
    </row>
    <row r="1657" spans="1:8" x14ac:dyDescent="0.2">
      <c r="A1657" s="16"/>
      <c r="B1657" s="16"/>
      <c r="C1657" s="17"/>
      <c r="D1657" s="17"/>
      <c r="E1657" s="17"/>
      <c r="F1657" s="17"/>
      <c r="G1657" s="17"/>
      <c r="H1657" s="17"/>
    </row>
    <row r="1658" spans="1:8" x14ac:dyDescent="0.2">
      <c r="A1658" s="16"/>
      <c r="B1658" s="16"/>
      <c r="C1658" s="17"/>
      <c r="D1658" s="17"/>
      <c r="E1658" s="17"/>
      <c r="F1658" s="17"/>
      <c r="G1658" s="17"/>
      <c r="H1658" s="17"/>
    </row>
    <row r="1659" spans="1:8" x14ac:dyDescent="0.2">
      <c r="A1659" s="16"/>
      <c r="B1659" s="16"/>
      <c r="C1659" s="17"/>
      <c r="D1659" s="17"/>
      <c r="E1659" s="17"/>
      <c r="F1659" s="17"/>
      <c r="G1659" s="17"/>
      <c r="H1659" s="17"/>
    </row>
    <row r="1660" spans="1:8" x14ac:dyDescent="0.2">
      <c r="A1660" s="16"/>
      <c r="B1660" s="16"/>
      <c r="C1660" s="17"/>
      <c r="D1660" s="17"/>
      <c r="E1660" s="17"/>
      <c r="F1660" s="17"/>
      <c r="G1660" s="17"/>
      <c r="H1660" s="17"/>
    </row>
    <row r="1661" spans="1:8" x14ac:dyDescent="0.2">
      <c r="A1661" s="16"/>
      <c r="B1661" s="16"/>
      <c r="C1661" s="17"/>
      <c r="D1661" s="17"/>
      <c r="E1661" s="17"/>
      <c r="F1661" s="17"/>
      <c r="G1661" s="17"/>
      <c r="H1661" s="17"/>
    </row>
    <row r="1662" spans="1:8" x14ac:dyDescent="0.2">
      <c r="A1662" s="16"/>
      <c r="B1662" s="16"/>
      <c r="C1662" s="17"/>
      <c r="D1662" s="17"/>
      <c r="E1662" s="17"/>
      <c r="F1662" s="17"/>
      <c r="G1662" s="17"/>
      <c r="H1662" s="17"/>
    </row>
    <row r="1663" spans="1:8" x14ac:dyDescent="0.2">
      <c r="A1663" s="16"/>
      <c r="B1663" s="16"/>
      <c r="C1663" s="17"/>
      <c r="D1663" s="17"/>
      <c r="E1663" s="17"/>
      <c r="F1663" s="17"/>
      <c r="G1663" s="17"/>
      <c r="H1663" s="17"/>
    </row>
    <row r="1664" spans="1:8" x14ac:dyDescent="0.2">
      <c r="A1664" s="16"/>
      <c r="B1664" s="16"/>
      <c r="C1664" s="17"/>
      <c r="D1664" s="17"/>
      <c r="E1664" s="17"/>
      <c r="F1664" s="17"/>
      <c r="G1664" s="17"/>
      <c r="H1664" s="17"/>
    </row>
    <row r="1665" spans="1:8" x14ac:dyDescent="0.2">
      <c r="A1665" s="16"/>
      <c r="B1665" s="16"/>
      <c r="C1665" s="17"/>
      <c r="D1665" s="17"/>
      <c r="E1665" s="17"/>
      <c r="F1665" s="17"/>
      <c r="G1665" s="17"/>
      <c r="H1665" s="17"/>
    </row>
    <row r="1666" spans="1:8" x14ac:dyDescent="0.2">
      <c r="A1666" s="16"/>
      <c r="B1666" s="16"/>
      <c r="C1666" s="17"/>
      <c r="D1666" s="17"/>
      <c r="E1666" s="17"/>
      <c r="F1666" s="17"/>
      <c r="G1666" s="17"/>
      <c r="H1666" s="17"/>
    </row>
    <row r="1667" spans="1:8" x14ac:dyDescent="0.2">
      <c r="A1667" s="16"/>
      <c r="B1667" s="16"/>
      <c r="C1667" s="17"/>
      <c r="D1667" s="17"/>
      <c r="E1667" s="17"/>
      <c r="F1667" s="17"/>
      <c r="G1667" s="17"/>
      <c r="H1667" s="17"/>
    </row>
    <row r="1668" spans="1:8" x14ac:dyDescent="0.2">
      <c r="A1668" s="16"/>
      <c r="B1668" s="16"/>
      <c r="C1668" s="17"/>
      <c r="D1668" s="17"/>
      <c r="E1668" s="17"/>
      <c r="F1668" s="17"/>
      <c r="G1668" s="17"/>
      <c r="H1668" s="17"/>
    </row>
    <row r="1669" spans="1:8" x14ac:dyDescent="0.2">
      <c r="A1669" s="16"/>
      <c r="B1669" s="16"/>
      <c r="C1669" s="17"/>
      <c r="D1669" s="17"/>
      <c r="E1669" s="17"/>
      <c r="F1669" s="17"/>
      <c r="G1669" s="17"/>
      <c r="H1669" s="17"/>
    </row>
    <row r="1670" spans="1:8" x14ac:dyDescent="0.2">
      <c r="A1670" s="16"/>
      <c r="B1670" s="16"/>
      <c r="C1670" s="17"/>
      <c r="D1670" s="17"/>
      <c r="E1670" s="17"/>
      <c r="F1670" s="17"/>
      <c r="G1670" s="17"/>
      <c r="H1670" s="17"/>
    </row>
    <row r="1671" spans="1:8" x14ac:dyDescent="0.2">
      <c r="A1671" s="16"/>
      <c r="B1671" s="16"/>
      <c r="C1671" s="17"/>
      <c r="D1671" s="17"/>
      <c r="E1671" s="17"/>
      <c r="F1671" s="17"/>
      <c r="G1671" s="17"/>
      <c r="H1671" s="17"/>
    </row>
    <row r="1672" spans="1:8" x14ac:dyDescent="0.2">
      <c r="A1672" s="16"/>
      <c r="B1672" s="16"/>
      <c r="C1672" s="17"/>
      <c r="D1672" s="17"/>
      <c r="E1672" s="17"/>
      <c r="F1672" s="17"/>
      <c r="G1672" s="17"/>
      <c r="H1672" s="17"/>
    </row>
    <row r="1673" spans="1:8" x14ac:dyDescent="0.2">
      <c r="A1673" s="16"/>
      <c r="B1673" s="16"/>
      <c r="C1673" s="17"/>
      <c r="D1673" s="17"/>
      <c r="E1673" s="17"/>
      <c r="F1673" s="17"/>
      <c r="G1673" s="17"/>
      <c r="H1673" s="17"/>
    </row>
    <row r="1674" spans="1:8" x14ac:dyDescent="0.2">
      <c r="A1674" s="16"/>
      <c r="B1674" s="16"/>
      <c r="C1674" s="17"/>
      <c r="D1674" s="17"/>
      <c r="E1674" s="17"/>
      <c r="F1674" s="17"/>
      <c r="G1674" s="17"/>
      <c r="H1674" s="17"/>
    </row>
    <row r="1675" spans="1:8" x14ac:dyDescent="0.2">
      <c r="A1675" s="16"/>
      <c r="B1675" s="16"/>
      <c r="C1675" s="17"/>
      <c r="D1675" s="17"/>
      <c r="E1675" s="17"/>
      <c r="F1675" s="17"/>
      <c r="G1675" s="17"/>
      <c r="H1675" s="17"/>
    </row>
    <row r="1676" spans="1:8" x14ac:dyDescent="0.2">
      <c r="A1676" s="16"/>
      <c r="B1676" s="16"/>
      <c r="C1676" s="17"/>
      <c r="D1676" s="17"/>
      <c r="E1676" s="17"/>
      <c r="F1676" s="17"/>
      <c r="G1676" s="17"/>
      <c r="H1676" s="17"/>
    </row>
    <row r="1677" spans="1:8" x14ac:dyDescent="0.2">
      <c r="A1677" s="16"/>
      <c r="B1677" s="16"/>
      <c r="C1677" s="17"/>
      <c r="D1677" s="17"/>
      <c r="E1677" s="17"/>
      <c r="F1677" s="17"/>
      <c r="G1677" s="17"/>
      <c r="H1677" s="17"/>
    </row>
    <row r="1678" spans="1:8" x14ac:dyDescent="0.2">
      <c r="A1678" s="16"/>
      <c r="B1678" s="16"/>
      <c r="C1678" s="17"/>
      <c r="D1678" s="17"/>
      <c r="E1678" s="17"/>
      <c r="F1678" s="17"/>
      <c r="G1678" s="17"/>
      <c r="H1678" s="17"/>
    </row>
    <row r="1679" spans="1:8" x14ac:dyDescent="0.2">
      <c r="A1679" s="16"/>
      <c r="B1679" s="16"/>
      <c r="C1679" s="17"/>
      <c r="D1679" s="17"/>
      <c r="E1679" s="17"/>
      <c r="F1679" s="17"/>
      <c r="G1679" s="17"/>
      <c r="H1679" s="17"/>
    </row>
    <row r="1680" spans="1:8" x14ac:dyDescent="0.2">
      <c r="A1680" s="16"/>
      <c r="B1680" s="16"/>
      <c r="C1680" s="17"/>
      <c r="D1680" s="17"/>
      <c r="E1680" s="17"/>
      <c r="F1680" s="17"/>
      <c r="G1680" s="17"/>
      <c r="H1680" s="17"/>
    </row>
    <row r="1681" spans="1:8" x14ac:dyDescent="0.2">
      <c r="A1681" s="16"/>
      <c r="B1681" s="16"/>
      <c r="C1681" s="17"/>
      <c r="D1681" s="17"/>
      <c r="E1681" s="17"/>
      <c r="F1681" s="17"/>
      <c r="G1681" s="17"/>
      <c r="H1681" s="17"/>
    </row>
    <row r="1682" spans="1:8" x14ac:dyDescent="0.2">
      <c r="A1682" s="16"/>
      <c r="B1682" s="16"/>
      <c r="C1682" s="17"/>
      <c r="D1682" s="17"/>
      <c r="E1682" s="17"/>
      <c r="F1682" s="17"/>
      <c r="G1682" s="17"/>
      <c r="H1682" s="17"/>
    </row>
    <row r="1683" spans="1:8" x14ac:dyDescent="0.2">
      <c r="A1683" s="16"/>
      <c r="B1683" s="16"/>
      <c r="C1683" s="17"/>
      <c r="D1683" s="17"/>
      <c r="E1683" s="17"/>
      <c r="F1683" s="17"/>
      <c r="G1683" s="17"/>
      <c r="H1683" s="17"/>
    </row>
    <row r="1684" spans="1:8" x14ac:dyDescent="0.2">
      <c r="A1684" s="16"/>
      <c r="B1684" s="16"/>
      <c r="C1684" s="17"/>
      <c r="D1684" s="17"/>
      <c r="E1684" s="17"/>
      <c r="F1684" s="17"/>
      <c r="G1684" s="17"/>
      <c r="H1684" s="17"/>
    </row>
    <row r="1685" spans="1:8" x14ac:dyDescent="0.2">
      <c r="A1685" s="16"/>
      <c r="B1685" s="16"/>
      <c r="C1685" s="17"/>
      <c r="D1685" s="17"/>
      <c r="E1685" s="17"/>
      <c r="F1685" s="17"/>
      <c r="G1685" s="17"/>
      <c r="H1685" s="17"/>
    </row>
    <row r="1686" spans="1:8" x14ac:dyDescent="0.2">
      <c r="A1686" s="16"/>
      <c r="B1686" s="16"/>
      <c r="C1686" s="17"/>
      <c r="D1686" s="17"/>
      <c r="E1686" s="17"/>
      <c r="F1686" s="17"/>
      <c r="G1686" s="17"/>
      <c r="H1686" s="17"/>
    </row>
    <row r="1687" spans="1:8" x14ac:dyDescent="0.2">
      <c r="A1687" s="16"/>
      <c r="B1687" s="16"/>
      <c r="C1687" s="17"/>
      <c r="D1687" s="17"/>
      <c r="E1687" s="17"/>
      <c r="F1687" s="17"/>
      <c r="G1687" s="17"/>
      <c r="H1687" s="17"/>
    </row>
    <row r="1688" spans="1:8" x14ac:dyDescent="0.2">
      <c r="A1688" s="16"/>
      <c r="B1688" s="16"/>
      <c r="C1688" s="17"/>
      <c r="D1688" s="17"/>
      <c r="E1688" s="17"/>
      <c r="F1688" s="17"/>
      <c r="G1688" s="17"/>
      <c r="H1688" s="17"/>
    </row>
    <row r="1689" spans="1:8" x14ac:dyDescent="0.2">
      <c r="A1689" s="16"/>
      <c r="B1689" s="16"/>
      <c r="C1689" s="17"/>
      <c r="D1689" s="17"/>
      <c r="E1689" s="17"/>
      <c r="F1689" s="17"/>
      <c r="G1689" s="17"/>
      <c r="H1689" s="17"/>
    </row>
    <row r="1690" spans="1:8" x14ac:dyDescent="0.2">
      <c r="A1690" s="16"/>
      <c r="B1690" s="16"/>
      <c r="C1690" s="17"/>
      <c r="D1690" s="17"/>
      <c r="E1690" s="17"/>
      <c r="F1690" s="17"/>
      <c r="G1690" s="17"/>
      <c r="H1690" s="17"/>
    </row>
    <row r="1691" spans="1:8" x14ac:dyDescent="0.2">
      <c r="A1691" s="16"/>
      <c r="B1691" s="16"/>
      <c r="C1691" s="17"/>
      <c r="D1691" s="17"/>
      <c r="E1691" s="17"/>
      <c r="F1691" s="17"/>
      <c r="G1691" s="17"/>
      <c r="H1691" s="17"/>
    </row>
    <row r="1692" spans="1:8" x14ac:dyDescent="0.2">
      <c r="A1692" s="16"/>
      <c r="B1692" s="16"/>
      <c r="C1692" s="17"/>
      <c r="D1692" s="17"/>
      <c r="E1692" s="17"/>
      <c r="F1692" s="17"/>
      <c r="G1692" s="17"/>
      <c r="H1692" s="17"/>
    </row>
    <row r="1693" spans="1:8" x14ac:dyDescent="0.2">
      <c r="A1693" s="16"/>
      <c r="B1693" s="16"/>
      <c r="C1693" s="17"/>
      <c r="D1693" s="17"/>
      <c r="E1693" s="17"/>
      <c r="F1693" s="17"/>
      <c r="G1693" s="17"/>
      <c r="H1693" s="17"/>
    </row>
    <row r="1694" spans="1:8" x14ac:dyDescent="0.2">
      <c r="A1694" s="16"/>
      <c r="B1694" s="16"/>
      <c r="C1694" s="17"/>
      <c r="D1694" s="17"/>
      <c r="E1694" s="17"/>
      <c r="F1694" s="17"/>
      <c r="G1694" s="17"/>
      <c r="H1694" s="17"/>
    </row>
    <row r="1695" spans="1:8" x14ac:dyDescent="0.2">
      <c r="A1695" s="16"/>
      <c r="B1695" s="16"/>
      <c r="C1695" s="17"/>
      <c r="D1695" s="17"/>
      <c r="E1695" s="17"/>
      <c r="F1695" s="17"/>
      <c r="G1695" s="17"/>
      <c r="H1695" s="17"/>
    </row>
    <row r="1696" spans="1:8" x14ac:dyDescent="0.2">
      <c r="A1696" s="16"/>
      <c r="B1696" s="16"/>
      <c r="C1696" s="17"/>
      <c r="D1696" s="17"/>
      <c r="E1696" s="17"/>
      <c r="F1696" s="17"/>
      <c r="G1696" s="17"/>
      <c r="H1696" s="17"/>
    </row>
    <row r="1697" spans="1:8" x14ac:dyDescent="0.2">
      <c r="A1697" s="16"/>
      <c r="B1697" s="16"/>
      <c r="C1697" s="17"/>
      <c r="D1697" s="17"/>
      <c r="E1697" s="17"/>
      <c r="F1697" s="17"/>
      <c r="G1697" s="17"/>
      <c r="H1697" s="17"/>
    </row>
    <row r="1698" spans="1:8" x14ac:dyDescent="0.2">
      <c r="A1698" s="16"/>
      <c r="B1698" s="16"/>
      <c r="C1698" s="17"/>
      <c r="D1698" s="17"/>
      <c r="E1698" s="17"/>
      <c r="F1698" s="17"/>
      <c r="G1698" s="17"/>
      <c r="H1698" s="17"/>
    </row>
    <row r="1699" spans="1:8" x14ac:dyDescent="0.2">
      <c r="A1699" s="16"/>
      <c r="B1699" s="16"/>
      <c r="C1699" s="17"/>
      <c r="D1699" s="17"/>
      <c r="E1699" s="17"/>
      <c r="F1699" s="17"/>
      <c r="G1699" s="17"/>
      <c r="H1699" s="17"/>
    </row>
    <row r="1700" spans="1:8" x14ac:dyDescent="0.2">
      <c r="A1700" s="16"/>
      <c r="B1700" s="16"/>
      <c r="C1700" s="17"/>
      <c r="D1700" s="17"/>
      <c r="E1700" s="17"/>
      <c r="F1700" s="17"/>
      <c r="G1700" s="17"/>
      <c r="H1700" s="17"/>
    </row>
    <row r="1701" spans="1:8" x14ac:dyDescent="0.2">
      <c r="A1701" s="16"/>
      <c r="B1701" s="16"/>
      <c r="C1701" s="17"/>
      <c r="D1701" s="17"/>
      <c r="E1701" s="17"/>
      <c r="F1701" s="17"/>
      <c r="G1701" s="17"/>
      <c r="H1701" s="17"/>
    </row>
    <row r="1702" spans="1:8" x14ac:dyDescent="0.2">
      <c r="A1702" s="16"/>
      <c r="B1702" s="16"/>
      <c r="C1702" s="17"/>
      <c r="D1702" s="17"/>
      <c r="E1702" s="17"/>
      <c r="F1702" s="17"/>
      <c r="G1702" s="17"/>
      <c r="H1702" s="17"/>
    </row>
    <row r="1703" spans="1:8" x14ac:dyDescent="0.2">
      <c r="A1703" s="16"/>
      <c r="B1703" s="16"/>
      <c r="C1703" s="17"/>
      <c r="D1703" s="17"/>
      <c r="E1703" s="17"/>
      <c r="F1703" s="17"/>
      <c r="G1703" s="17"/>
      <c r="H1703" s="17"/>
    </row>
    <row r="1704" spans="1:8" x14ac:dyDescent="0.2">
      <c r="A1704" s="16"/>
      <c r="B1704" s="16"/>
      <c r="C1704" s="17"/>
      <c r="D1704" s="17"/>
      <c r="E1704" s="17"/>
      <c r="F1704" s="17"/>
      <c r="G1704" s="17"/>
      <c r="H1704" s="17"/>
    </row>
    <row r="1705" spans="1:8" x14ac:dyDescent="0.2">
      <c r="A1705" s="16"/>
      <c r="B1705" s="16"/>
      <c r="C1705" s="17"/>
      <c r="D1705" s="17"/>
      <c r="E1705" s="17"/>
      <c r="F1705" s="17"/>
      <c r="G1705" s="17"/>
      <c r="H1705" s="17"/>
    </row>
    <row r="1706" spans="1:8" x14ac:dyDescent="0.2">
      <c r="A1706" s="16"/>
      <c r="B1706" s="16"/>
      <c r="C1706" s="17"/>
      <c r="D1706" s="17"/>
      <c r="E1706" s="17"/>
      <c r="F1706" s="17"/>
      <c r="G1706" s="17"/>
      <c r="H1706" s="17"/>
    </row>
    <row r="1707" spans="1:8" x14ac:dyDescent="0.2">
      <c r="A1707" s="16"/>
      <c r="B1707" s="16"/>
      <c r="C1707" s="17"/>
      <c r="D1707" s="17"/>
      <c r="E1707" s="17"/>
      <c r="F1707" s="17"/>
      <c r="G1707" s="17"/>
      <c r="H1707" s="17"/>
    </row>
    <row r="1708" spans="1:8" x14ac:dyDescent="0.2">
      <c r="A1708" s="16"/>
      <c r="B1708" s="16"/>
      <c r="C1708" s="17"/>
      <c r="D1708" s="17"/>
      <c r="E1708" s="17"/>
      <c r="F1708" s="17"/>
      <c r="G1708" s="17"/>
      <c r="H1708" s="17"/>
    </row>
    <row r="1709" spans="1:8" x14ac:dyDescent="0.2">
      <c r="A1709" s="16"/>
      <c r="B1709" s="16"/>
      <c r="C1709" s="17"/>
      <c r="D1709" s="17"/>
      <c r="E1709" s="17"/>
      <c r="F1709" s="17"/>
      <c r="G1709" s="17"/>
      <c r="H1709" s="17"/>
    </row>
    <row r="1710" spans="1:8" x14ac:dyDescent="0.2">
      <c r="A1710" s="16"/>
      <c r="B1710" s="16"/>
      <c r="C1710" s="17"/>
      <c r="D1710" s="17"/>
      <c r="E1710" s="17"/>
      <c r="F1710" s="17"/>
      <c r="G1710" s="17"/>
      <c r="H1710" s="17"/>
    </row>
    <row r="1711" spans="1:8" x14ac:dyDescent="0.2">
      <c r="A1711" s="16"/>
      <c r="B1711" s="16"/>
      <c r="C1711" s="17"/>
      <c r="D1711" s="17"/>
      <c r="E1711" s="17"/>
      <c r="F1711" s="17"/>
      <c r="G1711" s="17"/>
      <c r="H1711" s="17"/>
    </row>
    <row r="1712" spans="1:8" x14ac:dyDescent="0.2">
      <c r="A1712" s="16"/>
      <c r="B1712" s="16"/>
      <c r="C1712" s="17"/>
      <c r="D1712" s="17"/>
      <c r="E1712" s="17"/>
      <c r="F1712" s="17"/>
      <c r="G1712" s="17"/>
      <c r="H1712" s="17"/>
    </row>
    <row r="1713" spans="1:8" x14ac:dyDescent="0.2">
      <c r="A1713" s="16"/>
      <c r="B1713" s="16"/>
      <c r="C1713" s="17"/>
      <c r="D1713" s="17"/>
      <c r="E1713" s="17"/>
      <c r="F1713" s="17"/>
      <c r="G1713" s="17"/>
      <c r="H1713" s="17"/>
    </row>
    <row r="1714" spans="1:8" x14ac:dyDescent="0.2">
      <c r="A1714" s="16"/>
      <c r="B1714" s="16"/>
      <c r="C1714" s="17"/>
      <c r="D1714" s="17"/>
      <c r="E1714" s="17"/>
      <c r="F1714" s="17"/>
      <c r="G1714" s="17"/>
      <c r="H1714" s="17"/>
    </row>
    <row r="1715" spans="1:8" x14ac:dyDescent="0.2">
      <c r="A1715" s="16"/>
      <c r="B1715" s="16"/>
      <c r="C1715" s="17"/>
      <c r="D1715" s="17"/>
      <c r="E1715" s="17"/>
      <c r="F1715" s="17"/>
      <c r="G1715" s="17"/>
      <c r="H1715" s="17"/>
    </row>
    <row r="1716" spans="1:8" x14ac:dyDescent="0.2">
      <c r="A1716" s="16"/>
      <c r="B1716" s="16"/>
      <c r="C1716" s="17"/>
      <c r="D1716" s="17"/>
      <c r="E1716" s="17"/>
      <c r="F1716" s="17"/>
      <c r="G1716" s="17"/>
      <c r="H1716" s="17"/>
    </row>
    <row r="1717" spans="1:8" x14ac:dyDescent="0.2">
      <c r="A1717" s="16"/>
      <c r="B1717" s="16"/>
      <c r="C1717" s="17"/>
      <c r="D1717" s="17"/>
      <c r="E1717" s="17"/>
      <c r="F1717" s="17"/>
      <c r="G1717" s="17"/>
      <c r="H1717" s="17"/>
    </row>
    <row r="1718" spans="1:8" x14ac:dyDescent="0.2">
      <c r="A1718" s="16"/>
      <c r="B1718" s="16"/>
      <c r="C1718" s="17"/>
      <c r="D1718" s="17"/>
      <c r="E1718" s="17"/>
      <c r="F1718" s="17"/>
      <c r="G1718" s="17"/>
      <c r="H1718" s="17"/>
    </row>
    <row r="1719" spans="1:8" x14ac:dyDescent="0.2">
      <c r="A1719" s="16"/>
      <c r="B1719" s="16"/>
      <c r="C1719" s="17"/>
      <c r="D1719" s="17"/>
      <c r="E1719" s="17"/>
      <c r="F1719" s="17"/>
      <c r="G1719" s="17"/>
      <c r="H1719" s="17"/>
    </row>
    <row r="1720" spans="1:8" x14ac:dyDescent="0.2">
      <c r="A1720" s="16"/>
      <c r="B1720" s="16"/>
      <c r="C1720" s="17"/>
      <c r="D1720" s="17"/>
      <c r="E1720" s="17"/>
      <c r="F1720" s="17"/>
      <c r="G1720" s="17"/>
      <c r="H1720" s="17"/>
    </row>
    <row r="1721" spans="1:8" x14ac:dyDescent="0.2">
      <c r="A1721" s="16"/>
      <c r="B1721" s="16"/>
      <c r="C1721" s="17"/>
      <c r="D1721" s="17"/>
      <c r="E1721" s="17"/>
      <c r="F1721" s="17"/>
      <c r="G1721" s="17"/>
      <c r="H1721" s="17"/>
    </row>
    <row r="1722" spans="1:8" x14ac:dyDescent="0.2">
      <c r="A1722" s="16"/>
      <c r="B1722" s="16"/>
      <c r="C1722" s="17"/>
      <c r="D1722" s="17"/>
      <c r="E1722" s="17"/>
      <c r="F1722" s="17"/>
      <c r="G1722" s="17"/>
      <c r="H1722" s="17"/>
    </row>
    <row r="1723" spans="1:8" x14ac:dyDescent="0.2">
      <c r="A1723" s="16"/>
      <c r="B1723" s="16"/>
      <c r="C1723" s="17"/>
      <c r="D1723" s="17"/>
      <c r="E1723" s="17"/>
      <c r="F1723" s="17"/>
      <c r="G1723" s="17"/>
      <c r="H1723" s="17"/>
    </row>
    <row r="1724" spans="1:8" x14ac:dyDescent="0.2">
      <c r="A1724" s="16"/>
      <c r="B1724" s="16"/>
      <c r="C1724" s="17"/>
      <c r="D1724" s="17"/>
      <c r="E1724" s="17"/>
      <c r="F1724" s="17"/>
      <c r="G1724" s="17"/>
      <c r="H1724" s="17"/>
    </row>
    <row r="1725" spans="1:8" x14ac:dyDescent="0.2">
      <c r="A1725" s="16"/>
      <c r="B1725" s="16"/>
      <c r="C1725" s="17"/>
      <c r="D1725" s="17"/>
      <c r="E1725" s="17"/>
      <c r="F1725" s="17"/>
      <c r="G1725" s="17"/>
      <c r="H1725" s="17"/>
    </row>
    <row r="1726" spans="1:8" x14ac:dyDescent="0.2">
      <c r="A1726" s="16"/>
      <c r="B1726" s="16"/>
      <c r="C1726" s="17"/>
      <c r="D1726" s="17"/>
      <c r="E1726" s="17"/>
      <c r="F1726" s="17"/>
      <c r="G1726" s="17"/>
      <c r="H1726" s="17"/>
    </row>
    <row r="1727" spans="1:8" x14ac:dyDescent="0.2">
      <c r="A1727" s="16"/>
      <c r="B1727" s="16"/>
      <c r="C1727" s="17"/>
      <c r="D1727" s="17"/>
      <c r="E1727" s="17"/>
      <c r="F1727" s="17"/>
      <c r="G1727" s="17"/>
      <c r="H1727" s="17"/>
    </row>
    <row r="1728" spans="1:8" x14ac:dyDescent="0.2">
      <c r="A1728" s="16"/>
      <c r="B1728" s="16"/>
      <c r="C1728" s="17"/>
      <c r="D1728" s="17"/>
      <c r="E1728" s="17"/>
      <c r="F1728" s="17"/>
      <c r="G1728" s="17"/>
      <c r="H1728" s="17"/>
    </row>
    <row r="1729" spans="1:8" x14ac:dyDescent="0.2">
      <c r="A1729" s="16"/>
      <c r="B1729" s="16"/>
      <c r="C1729" s="17"/>
      <c r="D1729" s="17"/>
      <c r="E1729" s="17"/>
      <c r="F1729" s="17"/>
      <c r="G1729" s="17"/>
      <c r="H1729" s="17"/>
    </row>
    <row r="1730" spans="1:8" x14ac:dyDescent="0.2">
      <c r="A1730" s="16"/>
      <c r="B1730" s="16"/>
      <c r="C1730" s="17"/>
      <c r="D1730" s="17"/>
      <c r="E1730" s="17"/>
      <c r="F1730" s="17"/>
      <c r="G1730" s="17"/>
      <c r="H1730" s="17"/>
    </row>
    <row r="1731" spans="1:8" x14ac:dyDescent="0.2">
      <c r="A1731" s="16"/>
      <c r="B1731" s="16"/>
      <c r="C1731" s="17"/>
      <c r="D1731" s="17"/>
      <c r="E1731" s="17"/>
      <c r="F1731" s="17"/>
      <c r="G1731" s="17"/>
      <c r="H1731" s="17"/>
    </row>
    <row r="1732" spans="1:8" x14ac:dyDescent="0.2">
      <c r="A1732" s="16"/>
      <c r="B1732" s="16"/>
      <c r="C1732" s="17"/>
      <c r="D1732" s="17"/>
      <c r="E1732" s="17"/>
      <c r="F1732" s="17"/>
      <c r="G1732" s="17"/>
      <c r="H1732" s="17"/>
    </row>
    <row r="1733" spans="1:8" x14ac:dyDescent="0.2">
      <c r="A1733" s="16"/>
      <c r="B1733" s="16"/>
      <c r="C1733" s="17"/>
      <c r="D1733" s="17"/>
      <c r="E1733" s="17"/>
      <c r="F1733" s="17"/>
      <c r="G1733" s="17"/>
      <c r="H1733" s="17"/>
    </row>
    <row r="1734" spans="1:8" x14ac:dyDescent="0.2">
      <c r="A1734" s="16"/>
      <c r="B1734" s="16"/>
      <c r="C1734" s="17"/>
      <c r="D1734" s="17"/>
      <c r="E1734" s="17"/>
      <c r="F1734" s="17"/>
      <c r="G1734" s="17"/>
      <c r="H1734" s="17"/>
    </row>
    <row r="1735" spans="1:8" x14ac:dyDescent="0.2">
      <c r="A1735" s="16"/>
      <c r="B1735" s="16"/>
      <c r="C1735" s="17"/>
      <c r="D1735" s="17"/>
      <c r="E1735" s="17"/>
      <c r="F1735" s="17"/>
      <c r="G1735" s="17"/>
      <c r="H1735" s="17"/>
    </row>
    <row r="1736" spans="1:8" x14ac:dyDescent="0.2">
      <c r="A1736" s="16"/>
      <c r="B1736" s="16"/>
      <c r="C1736" s="17"/>
      <c r="D1736" s="17"/>
      <c r="E1736" s="17"/>
      <c r="F1736" s="17"/>
      <c r="G1736" s="17"/>
      <c r="H1736" s="17"/>
    </row>
    <row r="1737" spans="1:8" x14ac:dyDescent="0.2">
      <c r="A1737" s="16"/>
      <c r="B1737" s="16"/>
      <c r="C1737" s="17"/>
      <c r="D1737" s="17"/>
      <c r="E1737" s="17"/>
      <c r="F1737" s="17"/>
      <c r="G1737" s="17"/>
      <c r="H1737" s="17"/>
    </row>
    <row r="1738" spans="1:8" x14ac:dyDescent="0.2">
      <c r="A1738" s="16"/>
      <c r="B1738" s="16"/>
      <c r="C1738" s="17"/>
      <c r="D1738" s="17"/>
      <c r="E1738" s="17"/>
      <c r="F1738" s="17"/>
      <c r="G1738" s="17"/>
      <c r="H1738" s="17"/>
    </row>
    <row r="1739" spans="1:8" x14ac:dyDescent="0.2">
      <c r="A1739" s="16"/>
      <c r="B1739" s="16"/>
      <c r="C1739" s="17"/>
      <c r="D1739" s="17"/>
      <c r="E1739" s="17"/>
      <c r="F1739" s="17"/>
      <c r="G1739" s="17"/>
      <c r="H1739" s="17"/>
    </row>
    <row r="1740" spans="1:8" x14ac:dyDescent="0.2">
      <c r="A1740" s="16"/>
      <c r="B1740" s="16"/>
      <c r="C1740" s="17"/>
      <c r="D1740" s="17"/>
      <c r="E1740" s="17"/>
      <c r="F1740" s="17"/>
      <c r="G1740" s="17"/>
      <c r="H1740" s="17"/>
    </row>
    <row r="1741" spans="1:8" x14ac:dyDescent="0.2">
      <c r="A1741" s="16"/>
      <c r="B1741" s="16"/>
      <c r="C1741" s="17"/>
      <c r="D1741" s="17"/>
      <c r="E1741" s="17"/>
      <c r="F1741" s="17"/>
      <c r="G1741" s="17"/>
      <c r="H1741" s="17"/>
    </row>
    <row r="1742" spans="1:8" x14ac:dyDescent="0.2">
      <c r="A1742" s="16"/>
      <c r="B1742" s="16"/>
      <c r="C1742" s="17"/>
      <c r="D1742" s="17"/>
      <c r="E1742" s="17"/>
      <c r="F1742" s="17"/>
      <c r="G1742" s="17"/>
      <c r="H1742" s="17"/>
    </row>
    <row r="1743" spans="1:8" x14ac:dyDescent="0.2">
      <c r="A1743" s="16"/>
      <c r="B1743" s="16"/>
      <c r="C1743" s="17"/>
      <c r="D1743" s="17"/>
      <c r="E1743" s="17"/>
      <c r="F1743" s="17"/>
      <c r="G1743" s="17"/>
      <c r="H1743" s="17"/>
    </row>
    <row r="1744" spans="1:8" x14ac:dyDescent="0.2">
      <c r="A1744" s="16"/>
      <c r="B1744" s="16"/>
      <c r="C1744" s="17"/>
      <c r="D1744" s="17"/>
      <c r="E1744" s="17"/>
      <c r="F1744" s="17"/>
      <c r="G1744" s="17"/>
      <c r="H1744" s="17"/>
    </row>
    <row r="1745" spans="1:8" x14ac:dyDescent="0.2">
      <c r="A1745" s="16"/>
      <c r="B1745" s="16"/>
      <c r="C1745" s="17"/>
      <c r="D1745" s="17"/>
      <c r="E1745" s="17"/>
      <c r="F1745" s="17"/>
      <c r="G1745" s="17"/>
      <c r="H1745" s="17"/>
    </row>
    <row r="1746" spans="1:8" x14ac:dyDescent="0.2">
      <c r="A1746" s="16"/>
      <c r="B1746" s="16"/>
      <c r="C1746" s="17"/>
      <c r="D1746" s="17"/>
      <c r="E1746" s="17"/>
      <c r="F1746" s="17"/>
      <c r="G1746" s="17"/>
      <c r="H1746" s="17"/>
    </row>
    <row r="1747" spans="1:8" x14ac:dyDescent="0.2">
      <c r="A1747" s="16"/>
      <c r="B1747" s="16"/>
      <c r="C1747" s="17"/>
      <c r="D1747" s="17"/>
      <c r="E1747" s="17"/>
      <c r="F1747" s="17"/>
      <c r="G1747" s="17"/>
      <c r="H1747" s="17"/>
    </row>
    <row r="1748" spans="1:8" x14ac:dyDescent="0.2">
      <c r="A1748" s="16"/>
      <c r="B1748" s="16"/>
      <c r="C1748" s="17"/>
      <c r="D1748" s="17"/>
      <c r="E1748" s="17"/>
      <c r="F1748" s="17"/>
      <c r="G1748" s="17"/>
      <c r="H1748" s="17"/>
    </row>
    <row r="1749" spans="1:8" x14ac:dyDescent="0.2">
      <c r="A1749" s="16"/>
      <c r="B1749" s="16"/>
      <c r="C1749" s="17"/>
      <c r="D1749" s="17"/>
      <c r="E1749" s="17"/>
      <c r="F1749" s="17"/>
      <c r="G1749" s="17"/>
      <c r="H1749" s="17"/>
    </row>
    <row r="1750" spans="1:8" x14ac:dyDescent="0.2">
      <c r="A1750" s="16"/>
      <c r="B1750" s="16"/>
      <c r="C1750" s="17"/>
      <c r="D1750" s="17"/>
      <c r="E1750" s="17"/>
      <c r="F1750" s="17"/>
      <c r="G1750" s="17"/>
      <c r="H1750" s="17"/>
    </row>
    <row r="1751" spans="1:8" x14ac:dyDescent="0.2">
      <c r="A1751" s="16"/>
      <c r="B1751" s="16"/>
      <c r="C1751" s="17"/>
      <c r="D1751" s="17"/>
      <c r="E1751" s="17"/>
      <c r="F1751" s="17"/>
      <c r="G1751" s="17"/>
      <c r="H1751" s="17"/>
    </row>
    <row r="1752" spans="1:8" x14ac:dyDescent="0.2">
      <c r="A1752" s="16"/>
      <c r="B1752" s="16"/>
      <c r="C1752" s="17"/>
      <c r="D1752" s="17"/>
      <c r="E1752" s="17"/>
      <c r="F1752" s="17"/>
      <c r="G1752" s="17"/>
      <c r="H1752" s="17"/>
    </row>
    <row r="1753" spans="1:8" x14ac:dyDescent="0.2">
      <c r="A1753" s="16"/>
      <c r="B1753" s="16"/>
      <c r="C1753" s="17"/>
      <c r="D1753" s="17"/>
      <c r="E1753" s="17"/>
      <c r="F1753" s="17"/>
      <c r="G1753" s="17"/>
      <c r="H1753" s="17"/>
    </row>
    <row r="1754" spans="1:8" x14ac:dyDescent="0.2">
      <c r="A1754" s="16"/>
      <c r="B1754" s="16"/>
      <c r="C1754" s="17"/>
      <c r="D1754" s="17"/>
      <c r="E1754" s="17"/>
      <c r="F1754" s="17"/>
      <c r="G1754" s="17"/>
      <c r="H1754" s="17"/>
    </row>
    <row r="1755" spans="1:8" x14ac:dyDescent="0.2">
      <c r="A1755" s="16"/>
      <c r="B1755" s="16"/>
      <c r="C1755" s="17"/>
      <c r="D1755" s="17"/>
      <c r="E1755" s="17"/>
      <c r="F1755" s="17"/>
      <c r="G1755" s="17"/>
      <c r="H1755" s="17"/>
    </row>
    <row r="1756" spans="1:8" x14ac:dyDescent="0.2">
      <c r="A1756" s="16"/>
      <c r="B1756" s="16"/>
      <c r="C1756" s="17"/>
      <c r="D1756" s="17"/>
      <c r="E1756" s="17"/>
      <c r="F1756" s="17"/>
      <c r="G1756" s="17"/>
      <c r="H1756" s="17"/>
    </row>
    <row r="1757" spans="1:8" x14ac:dyDescent="0.2">
      <c r="A1757" s="16"/>
      <c r="B1757" s="16"/>
      <c r="C1757" s="17"/>
      <c r="D1757" s="17"/>
      <c r="E1757" s="17"/>
      <c r="F1757" s="17"/>
      <c r="G1757" s="17"/>
      <c r="H1757" s="17"/>
    </row>
    <row r="1758" spans="1:8" x14ac:dyDescent="0.2">
      <c r="A1758" s="16"/>
      <c r="B1758" s="16"/>
      <c r="C1758" s="17"/>
      <c r="D1758" s="17"/>
      <c r="E1758" s="17"/>
      <c r="F1758" s="17"/>
      <c r="G1758" s="17"/>
      <c r="H1758" s="17"/>
    </row>
    <row r="1759" spans="1:8" x14ac:dyDescent="0.2">
      <c r="A1759" s="16"/>
      <c r="B1759" s="16"/>
      <c r="C1759" s="17"/>
      <c r="D1759" s="17"/>
      <c r="E1759" s="17"/>
      <c r="F1759" s="17"/>
      <c r="G1759" s="17"/>
      <c r="H1759" s="17"/>
    </row>
    <row r="1760" spans="1:8" x14ac:dyDescent="0.2">
      <c r="A1760" s="16"/>
      <c r="B1760" s="16"/>
      <c r="C1760" s="17"/>
      <c r="D1760" s="17"/>
      <c r="E1760" s="17"/>
      <c r="F1760" s="17"/>
      <c r="G1760" s="17"/>
      <c r="H1760" s="17"/>
    </row>
    <row r="1761" spans="1:8" x14ac:dyDescent="0.2">
      <c r="A1761" s="16"/>
      <c r="B1761" s="16"/>
      <c r="C1761" s="17"/>
      <c r="D1761" s="17"/>
      <c r="E1761" s="17"/>
      <c r="F1761" s="17"/>
      <c r="G1761" s="17"/>
      <c r="H1761" s="17"/>
    </row>
    <row r="1762" spans="1:8" x14ac:dyDescent="0.2">
      <c r="A1762" s="16"/>
      <c r="B1762" s="16"/>
      <c r="C1762" s="17"/>
      <c r="D1762" s="17"/>
      <c r="E1762" s="17"/>
      <c r="F1762" s="17"/>
      <c r="G1762" s="17"/>
      <c r="H1762" s="17"/>
    </row>
    <row r="1763" spans="1:8" x14ac:dyDescent="0.2">
      <c r="A1763" s="16"/>
      <c r="B1763" s="16"/>
      <c r="C1763" s="17"/>
      <c r="D1763" s="17"/>
      <c r="E1763" s="17"/>
      <c r="F1763" s="17"/>
      <c r="G1763" s="17"/>
      <c r="H1763" s="17"/>
    </row>
    <row r="1764" spans="1:8" x14ac:dyDescent="0.2">
      <c r="A1764" s="16"/>
      <c r="B1764" s="16"/>
      <c r="C1764" s="17"/>
      <c r="D1764" s="17"/>
      <c r="E1764" s="17"/>
      <c r="F1764" s="17"/>
      <c r="G1764" s="17"/>
      <c r="H1764" s="17"/>
    </row>
    <row r="1765" spans="1:8" x14ac:dyDescent="0.2">
      <c r="A1765" s="16"/>
      <c r="B1765" s="16"/>
      <c r="C1765" s="17"/>
      <c r="D1765" s="17"/>
      <c r="E1765" s="17"/>
      <c r="F1765" s="17"/>
      <c r="G1765" s="17"/>
      <c r="H1765" s="17"/>
    </row>
    <row r="1766" spans="1:8" x14ac:dyDescent="0.2">
      <c r="A1766" s="16"/>
      <c r="B1766" s="16"/>
      <c r="C1766" s="17"/>
      <c r="D1766" s="17"/>
      <c r="E1766" s="17"/>
      <c r="F1766" s="17"/>
      <c r="G1766" s="17"/>
      <c r="H1766" s="17"/>
    </row>
    <row r="1767" spans="1:8" x14ac:dyDescent="0.2">
      <c r="A1767" s="16"/>
      <c r="B1767" s="16"/>
      <c r="C1767" s="17"/>
      <c r="D1767" s="17"/>
      <c r="E1767" s="17"/>
      <c r="F1767" s="17"/>
      <c r="G1767" s="17"/>
      <c r="H1767" s="17"/>
    </row>
    <row r="1768" spans="1:8" x14ac:dyDescent="0.2">
      <c r="A1768" s="16"/>
      <c r="B1768" s="16"/>
      <c r="C1768" s="17"/>
      <c r="D1768" s="17"/>
      <c r="E1768" s="17"/>
      <c r="F1768" s="17"/>
      <c r="G1768" s="17"/>
      <c r="H1768" s="17"/>
    </row>
    <row r="1769" spans="1:8" x14ac:dyDescent="0.2">
      <c r="A1769" s="16"/>
      <c r="B1769" s="16"/>
      <c r="C1769" s="17"/>
      <c r="D1769" s="17"/>
      <c r="E1769" s="17"/>
      <c r="F1769" s="17"/>
      <c r="G1769" s="17"/>
      <c r="H1769" s="17"/>
    </row>
    <row r="1770" spans="1:8" x14ac:dyDescent="0.2">
      <c r="A1770" s="16"/>
      <c r="B1770" s="16"/>
      <c r="C1770" s="17"/>
      <c r="D1770" s="17"/>
      <c r="E1770" s="17"/>
      <c r="F1770" s="17"/>
      <c r="G1770" s="17"/>
      <c r="H1770" s="17"/>
    </row>
    <row r="1771" spans="1:8" x14ac:dyDescent="0.2">
      <c r="A1771" s="16"/>
      <c r="B1771" s="16"/>
      <c r="C1771" s="17"/>
      <c r="D1771" s="17"/>
      <c r="E1771" s="17"/>
      <c r="F1771" s="17"/>
      <c r="G1771" s="17"/>
      <c r="H1771" s="17"/>
    </row>
    <row r="1772" spans="1:8" x14ac:dyDescent="0.2">
      <c r="A1772" s="16"/>
      <c r="B1772" s="16"/>
      <c r="C1772" s="17"/>
      <c r="D1772" s="17"/>
      <c r="E1772" s="17"/>
      <c r="F1772" s="17"/>
      <c r="G1772" s="17"/>
      <c r="H1772" s="17"/>
    </row>
    <row r="1773" spans="1:8" x14ac:dyDescent="0.2">
      <c r="A1773" s="16"/>
      <c r="B1773" s="16"/>
      <c r="C1773" s="17"/>
      <c r="D1773" s="17"/>
      <c r="E1773" s="17"/>
      <c r="F1773" s="17"/>
      <c r="G1773" s="17"/>
      <c r="H1773" s="17"/>
    </row>
    <row r="1774" spans="1:8" x14ac:dyDescent="0.2">
      <c r="A1774" s="16"/>
      <c r="B1774" s="16"/>
      <c r="C1774" s="17"/>
      <c r="D1774" s="17"/>
      <c r="E1774" s="17"/>
      <c r="F1774" s="17"/>
      <c r="G1774" s="17"/>
      <c r="H1774" s="17"/>
    </row>
    <row r="1775" spans="1:8" x14ac:dyDescent="0.2">
      <c r="A1775" s="16"/>
      <c r="B1775" s="16"/>
      <c r="C1775" s="17"/>
      <c r="D1775" s="17"/>
      <c r="E1775" s="17"/>
      <c r="F1775" s="17"/>
      <c r="G1775" s="17"/>
      <c r="H1775" s="17"/>
    </row>
    <row r="1776" spans="1:8" x14ac:dyDescent="0.2">
      <c r="A1776" s="16"/>
      <c r="B1776" s="16"/>
      <c r="C1776" s="17"/>
      <c r="D1776" s="17"/>
      <c r="E1776" s="17"/>
      <c r="F1776" s="17"/>
      <c r="G1776" s="17"/>
      <c r="H1776" s="17"/>
    </row>
    <row r="1777" spans="1:8" x14ac:dyDescent="0.2">
      <c r="A1777" s="16"/>
      <c r="B1777" s="16"/>
      <c r="C1777" s="17"/>
      <c r="D1777" s="17"/>
      <c r="E1777" s="17"/>
      <c r="F1777" s="17"/>
      <c r="G1777" s="17"/>
      <c r="H1777" s="17"/>
    </row>
    <row r="1778" spans="1:8" x14ac:dyDescent="0.2">
      <c r="A1778" s="16"/>
      <c r="B1778" s="16"/>
      <c r="C1778" s="17"/>
      <c r="D1778" s="17"/>
      <c r="E1778" s="17"/>
      <c r="F1778" s="17"/>
      <c r="G1778" s="17"/>
      <c r="H1778" s="17"/>
    </row>
    <row r="1779" spans="1:8" x14ac:dyDescent="0.2">
      <c r="A1779" s="16"/>
      <c r="B1779" s="16"/>
      <c r="C1779" s="17"/>
      <c r="D1779" s="17"/>
      <c r="E1779" s="17"/>
      <c r="F1779" s="17"/>
      <c r="G1779" s="17"/>
      <c r="H1779" s="17"/>
    </row>
    <row r="1780" spans="1:8" x14ac:dyDescent="0.2">
      <c r="A1780" s="16"/>
      <c r="B1780" s="16"/>
      <c r="C1780" s="17"/>
      <c r="D1780" s="17"/>
      <c r="E1780" s="17"/>
      <c r="F1780" s="17"/>
      <c r="G1780" s="17"/>
      <c r="H1780" s="17"/>
    </row>
    <row r="1781" spans="1:8" x14ac:dyDescent="0.2">
      <c r="A1781" s="16"/>
      <c r="B1781" s="16"/>
      <c r="C1781" s="17"/>
      <c r="D1781" s="17"/>
      <c r="E1781" s="17"/>
      <c r="F1781" s="17"/>
      <c r="G1781" s="17"/>
      <c r="H1781" s="17"/>
    </row>
    <row r="1782" spans="1:8" x14ac:dyDescent="0.2">
      <c r="A1782" s="16"/>
      <c r="B1782" s="16"/>
      <c r="C1782" s="17"/>
      <c r="D1782" s="17"/>
      <c r="E1782" s="17"/>
      <c r="F1782" s="17"/>
      <c r="G1782" s="17"/>
      <c r="H1782" s="17"/>
    </row>
    <row r="1783" spans="1:8" x14ac:dyDescent="0.2">
      <c r="A1783" s="16"/>
      <c r="B1783" s="16"/>
      <c r="C1783" s="17"/>
      <c r="D1783" s="17"/>
      <c r="E1783" s="17"/>
      <c r="F1783" s="17"/>
      <c r="G1783" s="17"/>
      <c r="H1783" s="17"/>
    </row>
    <row r="1784" spans="1:8" x14ac:dyDescent="0.2">
      <c r="A1784" s="16"/>
      <c r="B1784" s="16"/>
      <c r="C1784" s="17"/>
      <c r="D1784" s="17"/>
      <c r="E1784" s="17"/>
      <c r="F1784" s="17"/>
      <c r="G1784" s="17"/>
      <c r="H1784" s="17"/>
    </row>
    <row r="1785" spans="1:8" x14ac:dyDescent="0.2">
      <c r="A1785" s="16"/>
      <c r="B1785" s="16"/>
      <c r="C1785" s="17"/>
      <c r="D1785" s="17"/>
      <c r="E1785" s="17"/>
      <c r="F1785" s="17"/>
      <c r="G1785" s="17"/>
      <c r="H1785" s="17"/>
    </row>
    <row r="1786" spans="1:8" x14ac:dyDescent="0.2">
      <c r="A1786" s="16"/>
      <c r="B1786" s="16"/>
      <c r="C1786" s="17"/>
      <c r="D1786" s="17"/>
      <c r="E1786" s="17"/>
      <c r="F1786" s="17"/>
      <c r="G1786" s="17"/>
      <c r="H1786" s="17"/>
    </row>
    <row r="1787" spans="1:8" x14ac:dyDescent="0.2">
      <c r="A1787" s="16"/>
      <c r="B1787" s="16"/>
      <c r="C1787" s="17"/>
      <c r="D1787" s="17"/>
      <c r="E1787" s="17"/>
      <c r="F1787" s="17"/>
      <c r="G1787" s="17"/>
      <c r="H1787" s="17"/>
    </row>
    <row r="1788" spans="1:8" x14ac:dyDescent="0.2">
      <c r="A1788" s="16"/>
      <c r="B1788" s="16"/>
      <c r="C1788" s="17"/>
      <c r="D1788" s="17"/>
      <c r="E1788" s="17"/>
      <c r="F1788" s="17"/>
      <c r="G1788" s="17"/>
      <c r="H1788" s="17"/>
    </row>
    <row r="1789" spans="1:8" x14ac:dyDescent="0.2">
      <c r="A1789" s="16"/>
      <c r="B1789" s="16"/>
      <c r="C1789" s="17"/>
      <c r="D1789" s="17"/>
      <c r="E1789" s="17"/>
      <c r="F1789" s="17"/>
      <c r="G1789" s="17"/>
      <c r="H1789" s="17"/>
    </row>
    <row r="1790" spans="1:8" x14ac:dyDescent="0.2">
      <c r="A1790" s="16"/>
      <c r="B1790" s="16"/>
      <c r="C1790" s="17"/>
      <c r="D1790" s="17"/>
      <c r="E1790" s="17"/>
      <c r="F1790" s="17"/>
      <c r="G1790" s="17"/>
      <c r="H1790" s="17"/>
    </row>
    <row r="1791" spans="1:8" x14ac:dyDescent="0.2">
      <c r="A1791" s="16"/>
      <c r="B1791" s="16"/>
      <c r="C1791" s="17"/>
      <c r="D1791" s="17"/>
      <c r="E1791" s="17"/>
      <c r="F1791" s="17"/>
      <c r="G1791" s="17"/>
      <c r="H1791" s="17"/>
    </row>
    <row r="1792" spans="1:8" x14ac:dyDescent="0.2">
      <c r="A1792" s="16"/>
      <c r="B1792" s="16"/>
      <c r="C1792" s="17"/>
      <c r="D1792" s="17"/>
      <c r="E1792" s="17"/>
      <c r="F1792" s="17"/>
      <c r="G1792" s="17"/>
      <c r="H1792" s="17"/>
    </row>
    <row r="1793" spans="1:8" x14ac:dyDescent="0.2">
      <c r="A1793" s="16"/>
      <c r="B1793" s="16"/>
      <c r="C1793" s="17"/>
      <c r="D1793" s="17"/>
      <c r="E1793" s="17"/>
      <c r="F1793" s="17"/>
      <c r="G1793" s="17"/>
      <c r="H1793" s="17"/>
    </row>
    <row r="1794" spans="1:8" x14ac:dyDescent="0.2">
      <c r="A1794" s="16"/>
      <c r="B1794" s="16"/>
      <c r="C1794" s="17"/>
      <c r="D1794" s="17"/>
      <c r="E1794" s="17"/>
      <c r="F1794" s="17"/>
      <c r="G1794" s="17"/>
      <c r="H1794" s="17"/>
    </row>
    <row r="1795" spans="1:8" x14ac:dyDescent="0.2">
      <c r="A1795" s="16"/>
      <c r="B1795" s="16"/>
      <c r="C1795" s="17"/>
      <c r="D1795" s="17"/>
      <c r="E1795" s="17"/>
      <c r="F1795" s="17"/>
      <c r="G1795" s="17"/>
      <c r="H1795" s="17"/>
    </row>
    <row r="1796" spans="1:8" x14ac:dyDescent="0.2">
      <c r="A1796" s="16"/>
      <c r="B1796" s="16"/>
      <c r="C1796" s="17"/>
      <c r="D1796" s="17"/>
      <c r="E1796" s="17"/>
      <c r="F1796" s="17"/>
      <c r="G1796" s="17"/>
      <c r="H1796" s="17"/>
    </row>
    <row r="1797" spans="1:8" x14ac:dyDescent="0.2">
      <c r="A1797" s="16"/>
      <c r="B1797" s="16"/>
      <c r="C1797" s="17"/>
      <c r="D1797" s="17"/>
      <c r="E1797" s="17"/>
      <c r="F1797" s="17"/>
      <c r="G1797" s="17"/>
      <c r="H1797" s="17"/>
    </row>
    <row r="1798" spans="1:8" x14ac:dyDescent="0.2">
      <c r="A1798" s="16"/>
      <c r="B1798" s="16"/>
      <c r="C1798" s="17"/>
      <c r="D1798" s="17"/>
      <c r="E1798" s="17"/>
      <c r="F1798" s="17"/>
      <c r="G1798" s="17"/>
      <c r="H1798" s="17"/>
    </row>
    <row r="1799" spans="1:8" x14ac:dyDescent="0.2">
      <c r="A1799" s="16"/>
      <c r="B1799" s="16"/>
      <c r="C1799" s="17"/>
      <c r="D1799" s="17"/>
      <c r="E1799" s="17"/>
      <c r="F1799" s="17"/>
      <c r="G1799" s="17"/>
      <c r="H1799" s="17"/>
    </row>
    <row r="1800" spans="1:8" x14ac:dyDescent="0.2">
      <c r="A1800" s="16"/>
      <c r="B1800" s="16"/>
      <c r="C1800" s="17"/>
      <c r="D1800" s="17"/>
      <c r="E1800" s="17"/>
      <c r="F1800" s="17"/>
      <c r="G1800" s="17"/>
      <c r="H1800" s="17"/>
    </row>
    <row r="1801" spans="1:8" x14ac:dyDescent="0.2">
      <c r="A1801" s="16"/>
      <c r="B1801" s="16"/>
      <c r="C1801" s="17"/>
      <c r="D1801" s="17"/>
      <c r="E1801" s="17"/>
      <c r="F1801" s="17"/>
      <c r="G1801" s="17"/>
      <c r="H1801" s="17"/>
    </row>
    <row r="1802" spans="1:8" x14ac:dyDescent="0.2">
      <c r="A1802" s="16"/>
      <c r="B1802" s="16"/>
      <c r="C1802" s="17"/>
      <c r="D1802" s="17"/>
      <c r="E1802" s="17"/>
      <c r="F1802" s="17"/>
      <c r="G1802" s="17"/>
      <c r="H1802" s="17"/>
    </row>
    <row r="1803" spans="1:8" x14ac:dyDescent="0.2">
      <c r="A1803" s="16"/>
      <c r="B1803" s="16"/>
      <c r="C1803" s="17"/>
      <c r="D1803" s="17"/>
      <c r="E1803" s="17"/>
      <c r="F1803" s="17"/>
      <c r="G1803" s="17"/>
      <c r="H1803" s="17"/>
    </row>
    <row r="1804" spans="1:8" x14ac:dyDescent="0.2">
      <c r="A1804" s="16"/>
      <c r="B1804" s="16"/>
      <c r="C1804" s="17"/>
      <c r="D1804" s="17"/>
      <c r="E1804" s="17"/>
      <c r="F1804" s="17"/>
      <c r="G1804" s="17"/>
      <c r="H1804" s="17"/>
    </row>
    <row r="1805" spans="1:8" x14ac:dyDescent="0.2">
      <c r="A1805" s="16"/>
      <c r="B1805" s="16"/>
      <c r="C1805" s="17"/>
      <c r="D1805" s="17"/>
      <c r="E1805" s="17"/>
      <c r="F1805" s="17"/>
      <c r="G1805" s="17"/>
      <c r="H1805" s="17"/>
    </row>
    <row r="1806" spans="1:8" x14ac:dyDescent="0.2">
      <c r="A1806" s="16"/>
      <c r="B1806" s="16"/>
      <c r="C1806" s="17"/>
      <c r="D1806" s="17"/>
      <c r="E1806" s="17"/>
      <c r="F1806" s="17"/>
      <c r="G1806" s="17"/>
      <c r="H1806" s="17"/>
    </row>
    <row r="1807" spans="1:8" x14ac:dyDescent="0.2">
      <c r="A1807" s="16"/>
      <c r="B1807" s="16"/>
      <c r="C1807" s="17"/>
      <c r="D1807" s="17"/>
      <c r="E1807" s="17"/>
      <c r="F1807" s="17"/>
      <c r="G1807" s="17"/>
      <c r="H1807" s="17"/>
    </row>
    <row r="1808" spans="1:8" x14ac:dyDescent="0.2">
      <c r="A1808" s="16"/>
      <c r="B1808" s="16"/>
      <c r="C1808" s="17"/>
      <c r="D1808" s="17"/>
      <c r="E1808" s="17"/>
      <c r="F1808" s="17"/>
      <c r="G1808" s="17"/>
      <c r="H1808" s="17"/>
    </row>
    <row r="1809" spans="1:8" x14ac:dyDescent="0.2">
      <c r="A1809" s="16"/>
      <c r="B1809" s="16"/>
      <c r="C1809" s="17"/>
      <c r="D1809" s="17"/>
      <c r="E1809" s="17"/>
      <c r="F1809" s="17"/>
      <c r="G1809" s="17"/>
      <c r="H1809" s="17"/>
    </row>
    <row r="1810" spans="1:8" x14ac:dyDescent="0.2">
      <c r="A1810" s="16"/>
      <c r="B1810" s="16"/>
      <c r="C1810" s="17"/>
      <c r="D1810" s="17"/>
      <c r="E1810" s="17"/>
      <c r="F1810" s="17"/>
      <c r="G1810" s="17"/>
      <c r="H1810" s="17"/>
    </row>
    <row r="1811" spans="1:8" x14ac:dyDescent="0.2">
      <c r="A1811" s="16"/>
      <c r="B1811" s="16"/>
      <c r="C1811" s="17"/>
      <c r="D1811" s="17"/>
      <c r="E1811" s="17"/>
      <c r="F1811" s="17"/>
      <c r="G1811" s="17"/>
      <c r="H1811" s="17"/>
    </row>
    <row r="1812" spans="1:8" x14ac:dyDescent="0.2">
      <c r="A1812" s="16"/>
      <c r="B1812" s="16"/>
      <c r="C1812" s="17"/>
      <c r="D1812" s="17"/>
      <c r="E1812" s="17"/>
      <c r="F1812" s="17"/>
      <c r="G1812" s="17"/>
      <c r="H1812" s="17"/>
    </row>
    <row r="1813" spans="1:8" x14ac:dyDescent="0.2">
      <c r="A1813" s="16"/>
      <c r="B1813" s="16"/>
      <c r="C1813" s="17"/>
      <c r="D1813" s="17"/>
      <c r="E1813" s="17"/>
      <c r="F1813" s="17"/>
      <c r="G1813" s="17"/>
      <c r="H1813" s="17"/>
    </row>
    <row r="1814" spans="1:8" x14ac:dyDescent="0.2">
      <c r="A1814" s="16"/>
      <c r="B1814" s="16"/>
      <c r="C1814" s="17"/>
      <c r="D1814" s="17"/>
      <c r="E1814" s="17"/>
      <c r="F1814" s="17"/>
      <c r="G1814" s="17"/>
      <c r="H1814" s="17"/>
    </row>
    <row r="1815" spans="1:8" x14ac:dyDescent="0.2">
      <c r="A1815" s="16"/>
      <c r="B1815" s="16"/>
      <c r="C1815" s="17"/>
      <c r="D1815" s="17"/>
      <c r="E1815" s="17"/>
      <c r="F1815" s="17"/>
      <c r="G1815" s="17"/>
      <c r="H1815" s="17"/>
    </row>
    <row r="1816" spans="1:8" x14ac:dyDescent="0.2">
      <c r="A1816" s="16"/>
      <c r="B1816" s="16"/>
      <c r="C1816" s="17"/>
      <c r="D1816" s="17"/>
      <c r="E1816" s="17"/>
      <c r="F1816" s="17"/>
      <c r="G1816" s="17"/>
      <c r="H1816" s="17"/>
    </row>
    <row r="1817" spans="1:8" x14ac:dyDescent="0.2">
      <c r="A1817" s="16"/>
      <c r="B1817" s="16"/>
      <c r="C1817" s="17"/>
      <c r="D1817" s="17"/>
      <c r="E1817" s="17"/>
      <c r="F1817" s="17"/>
      <c r="G1817" s="17"/>
      <c r="H1817" s="17"/>
    </row>
    <row r="1818" spans="1:8" x14ac:dyDescent="0.2">
      <c r="A1818" s="16"/>
      <c r="B1818" s="16"/>
      <c r="C1818" s="17"/>
      <c r="D1818" s="17"/>
      <c r="E1818" s="17"/>
      <c r="F1818" s="17"/>
      <c r="G1818" s="17"/>
      <c r="H1818" s="17"/>
    </row>
    <row r="1819" spans="1:8" x14ac:dyDescent="0.2">
      <c r="A1819" s="16"/>
      <c r="B1819" s="16"/>
      <c r="C1819" s="17"/>
      <c r="D1819" s="17"/>
      <c r="E1819" s="17"/>
      <c r="F1819" s="17"/>
      <c r="G1819" s="17"/>
      <c r="H1819" s="17"/>
    </row>
    <row r="1820" spans="1:8" x14ac:dyDescent="0.2">
      <c r="A1820" s="16"/>
      <c r="B1820" s="16"/>
      <c r="C1820" s="17"/>
      <c r="D1820" s="17"/>
      <c r="E1820" s="17"/>
      <c r="F1820" s="17"/>
      <c r="G1820" s="17"/>
      <c r="H1820" s="17"/>
    </row>
    <row r="1821" spans="1:8" x14ac:dyDescent="0.2">
      <c r="A1821" s="16"/>
      <c r="B1821" s="16"/>
      <c r="C1821" s="17"/>
      <c r="D1821" s="17"/>
      <c r="E1821" s="17"/>
      <c r="F1821" s="17"/>
      <c r="G1821" s="17"/>
      <c r="H1821" s="17"/>
    </row>
    <row r="1822" spans="1:8" x14ac:dyDescent="0.2">
      <c r="A1822" s="16"/>
      <c r="B1822" s="16"/>
      <c r="C1822" s="17"/>
      <c r="D1822" s="17"/>
      <c r="E1822" s="17"/>
      <c r="F1822" s="17"/>
      <c r="G1822" s="17"/>
      <c r="H1822" s="17"/>
    </row>
    <row r="1823" spans="1:8" x14ac:dyDescent="0.2">
      <c r="A1823" s="16"/>
      <c r="B1823" s="16"/>
      <c r="C1823" s="17"/>
      <c r="D1823" s="17"/>
      <c r="E1823" s="17"/>
      <c r="F1823" s="17"/>
      <c r="G1823" s="17"/>
      <c r="H1823" s="17"/>
    </row>
    <row r="1824" spans="1:8" x14ac:dyDescent="0.2">
      <c r="A1824" s="16"/>
      <c r="B1824" s="16"/>
      <c r="C1824" s="17"/>
      <c r="D1824" s="17"/>
      <c r="E1824" s="17"/>
      <c r="F1824" s="17"/>
      <c r="G1824" s="17"/>
      <c r="H1824" s="17"/>
    </row>
    <row r="1825" spans="1:8" x14ac:dyDescent="0.2">
      <c r="A1825" s="16"/>
      <c r="B1825" s="16"/>
      <c r="C1825" s="17"/>
      <c r="D1825" s="17"/>
      <c r="E1825" s="17"/>
      <c r="F1825" s="17"/>
      <c r="G1825" s="17"/>
      <c r="H1825" s="17"/>
    </row>
    <row r="1826" spans="1:8" x14ac:dyDescent="0.2">
      <c r="A1826" s="16"/>
      <c r="B1826" s="16"/>
      <c r="C1826" s="17"/>
      <c r="D1826" s="17"/>
      <c r="E1826" s="17"/>
      <c r="F1826" s="17"/>
      <c r="G1826" s="17"/>
      <c r="H1826" s="17"/>
    </row>
    <row r="1827" spans="1:8" x14ac:dyDescent="0.2">
      <c r="A1827" s="16"/>
      <c r="B1827" s="16"/>
      <c r="C1827" s="17"/>
      <c r="D1827" s="17"/>
      <c r="E1827" s="17"/>
      <c r="F1827" s="17"/>
      <c r="G1827" s="17"/>
      <c r="H1827" s="17"/>
    </row>
    <row r="1828" spans="1:8" x14ac:dyDescent="0.2">
      <c r="A1828" s="16"/>
      <c r="B1828" s="16"/>
      <c r="C1828" s="17"/>
      <c r="D1828" s="17"/>
      <c r="E1828" s="17"/>
      <c r="F1828" s="17"/>
      <c r="G1828" s="17"/>
      <c r="H1828" s="17"/>
    </row>
    <row r="1829" spans="1:8" x14ac:dyDescent="0.2">
      <c r="A1829" s="16"/>
      <c r="B1829" s="16"/>
      <c r="C1829" s="17"/>
      <c r="D1829" s="17"/>
      <c r="E1829" s="17"/>
      <c r="F1829" s="17"/>
      <c r="G1829" s="17"/>
      <c r="H1829" s="17"/>
    </row>
    <row r="1830" spans="1:8" x14ac:dyDescent="0.2">
      <c r="A1830" s="16"/>
      <c r="B1830" s="16"/>
      <c r="C1830" s="17"/>
      <c r="D1830" s="17"/>
      <c r="E1830" s="17"/>
      <c r="F1830" s="17"/>
      <c r="G1830" s="17"/>
      <c r="H1830" s="17"/>
    </row>
    <row r="1831" spans="1:8" x14ac:dyDescent="0.2">
      <c r="A1831" s="16"/>
      <c r="B1831" s="16"/>
      <c r="C1831" s="17"/>
      <c r="D1831" s="17"/>
      <c r="E1831" s="17"/>
      <c r="F1831" s="17"/>
      <c r="G1831" s="17"/>
      <c r="H1831" s="17"/>
    </row>
    <row r="1832" spans="1:8" x14ac:dyDescent="0.2">
      <c r="A1832" s="16"/>
      <c r="B1832" s="16"/>
      <c r="C1832" s="17"/>
      <c r="D1832" s="17"/>
      <c r="E1832" s="17"/>
      <c r="F1832" s="17"/>
      <c r="G1832" s="17"/>
      <c r="H1832" s="17"/>
    </row>
    <row r="1833" spans="1:8" x14ac:dyDescent="0.2">
      <c r="A1833" s="16"/>
      <c r="B1833" s="16"/>
      <c r="C1833" s="17"/>
      <c r="D1833" s="17"/>
      <c r="E1833" s="17"/>
      <c r="F1833" s="17"/>
      <c r="G1833" s="17"/>
      <c r="H1833" s="17"/>
    </row>
    <row r="1834" spans="1:8" x14ac:dyDescent="0.2">
      <c r="A1834" s="16"/>
      <c r="B1834" s="16"/>
      <c r="C1834" s="17"/>
      <c r="D1834" s="17"/>
      <c r="E1834" s="17"/>
      <c r="F1834" s="17"/>
      <c r="G1834" s="17"/>
      <c r="H1834" s="17"/>
    </row>
    <row r="1835" spans="1:8" x14ac:dyDescent="0.2">
      <c r="A1835" s="16"/>
      <c r="B1835" s="16"/>
      <c r="C1835" s="17"/>
      <c r="D1835" s="17"/>
      <c r="E1835" s="17"/>
      <c r="F1835" s="17"/>
      <c r="G1835" s="17"/>
      <c r="H1835" s="17"/>
    </row>
    <row r="1836" spans="1:8" x14ac:dyDescent="0.2">
      <c r="A1836" s="16"/>
      <c r="B1836" s="16"/>
      <c r="C1836" s="17"/>
      <c r="D1836" s="17"/>
      <c r="E1836" s="17"/>
      <c r="F1836" s="17"/>
      <c r="G1836" s="17"/>
      <c r="H1836" s="17"/>
    </row>
    <row r="1837" spans="1:8" x14ac:dyDescent="0.2">
      <c r="A1837" s="16"/>
      <c r="B1837" s="16"/>
      <c r="C1837" s="17"/>
      <c r="D1837" s="17"/>
      <c r="E1837" s="17"/>
      <c r="F1837" s="17"/>
      <c r="G1837" s="17"/>
      <c r="H1837" s="17"/>
    </row>
    <row r="1838" spans="1:8" x14ac:dyDescent="0.2">
      <c r="A1838" s="16"/>
      <c r="B1838" s="16"/>
      <c r="C1838" s="17"/>
      <c r="D1838" s="17"/>
      <c r="E1838" s="17"/>
      <c r="F1838" s="17"/>
      <c r="G1838" s="17"/>
      <c r="H1838" s="17"/>
    </row>
    <row r="1839" spans="1:8" x14ac:dyDescent="0.2">
      <c r="A1839" s="16"/>
      <c r="B1839" s="16"/>
      <c r="C1839" s="17"/>
      <c r="D1839" s="17"/>
      <c r="E1839" s="17"/>
      <c r="F1839" s="17"/>
      <c r="G1839" s="17"/>
      <c r="H1839" s="17"/>
    </row>
    <row r="1840" spans="1:8" x14ac:dyDescent="0.2">
      <c r="A1840" s="16"/>
      <c r="B1840" s="16"/>
      <c r="C1840" s="17"/>
      <c r="D1840" s="17"/>
      <c r="E1840" s="17"/>
      <c r="F1840" s="17"/>
      <c r="G1840" s="17"/>
      <c r="H1840" s="17"/>
    </row>
    <row r="1841" spans="1:8" x14ac:dyDescent="0.2">
      <c r="A1841" s="16"/>
      <c r="B1841" s="16"/>
      <c r="C1841" s="17"/>
      <c r="D1841" s="17"/>
      <c r="E1841" s="17"/>
      <c r="F1841" s="17"/>
      <c r="G1841" s="17"/>
      <c r="H1841" s="17"/>
    </row>
    <row r="1842" spans="1:8" x14ac:dyDescent="0.2">
      <c r="A1842" s="16"/>
      <c r="B1842" s="16"/>
      <c r="C1842" s="17"/>
      <c r="D1842" s="17"/>
      <c r="E1842" s="17"/>
      <c r="F1842" s="17"/>
      <c r="G1842" s="17"/>
      <c r="H1842" s="17"/>
    </row>
    <row r="1843" spans="1:8" x14ac:dyDescent="0.2">
      <c r="A1843" s="16"/>
      <c r="B1843" s="16"/>
      <c r="C1843" s="17"/>
      <c r="D1843" s="17"/>
      <c r="E1843" s="17"/>
      <c r="F1843" s="17"/>
      <c r="G1843" s="17"/>
      <c r="H1843" s="17"/>
    </row>
    <row r="1844" spans="1:8" x14ac:dyDescent="0.2">
      <c r="A1844" s="16"/>
      <c r="B1844" s="16"/>
      <c r="C1844" s="17"/>
      <c r="D1844" s="17"/>
      <c r="E1844" s="17"/>
      <c r="F1844" s="17"/>
      <c r="G1844" s="17"/>
      <c r="H1844" s="17"/>
    </row>
    <row r="1845" spans="1:8" x14ac:dyDescent="0.2">
      <c r="A1845" s="16"/>
      <c r="B1845" s="16"/>
      <c r="C1845" s="17"/>
      <c r="D1845" s="17"/>
      <c r="E1845" s="17"/>
      <c r="F1845" s="17"/>
      <c r="G1845" s="17"/>
      <c r="H1845" s="17"/>
    </row>
    <row r="1846" spans="1:8" x14ac:dyDescent="0.2">
      <c r="A1846" s="16"/>
      <c r="B1846" s="16"/>
      <c r="C1846" s="17"/>
      <c r="D1846" s="17"/>
      <c r="E1846" s="17"/>
      <c r="F1846" s="17"/>
      <c r="G1846" s="17"/>
      <c r="H1846" s="17"/>
    </row>
    <row r="1847" spans="1:8" x14ac:dyDescent="0.2">
      <c r="A1847" s="16"/>
      <c r="B1847" s="16"/>
      <c r="C1847" s="17"/>
      <c r="D1847" s="17"/>
      <c r="E1847" s="17"/>
      <c r="F1847" s="17"/>
      <c r="G1847" s="17"/>
      <c r="H1847" s="17"/>
    </row>
    <row r="1848" spans="1:8" x14ac:dyDescent="0.2">
      <c r="A1848" s="16"/>
      <c r="B1848" s="16"/>
      <c r="C1848" s="17"/>
      <c r="D1848" s="17"/>
      <c r="E1848" s="17"/>
      <c r="F1848" s="17"/>
      <c r="G1848" s="17"/>
      <c r="H1848" s="17"/>
    </row>
    <row r="1849" spans="1:8" x14ac:dyDescent="0.2">
      <c r="A1849" s="16"/>
      <c r="B1849" s="16"/>
      <c r="C1849" s="17"/>
      <c r="D1849" s="17"/>
      <c r="E1849" s="17"/>
      <c r="F1849" s="17"/>
      <c r="G1849" s="17"/>
      <c r="H1849" s="17"/>
    </row>
    <row r="1850" spans="1:8" x14ac:dyDescent="0.2">
      <c r="A1850" s="16"/>
      <c r="B1850" s="16"/>
      <c r="C1850" s="17"/>
      <c r="D1850" s="17"/>
      <c r="E1850" s="17"/>
      <c r="F1850" s="17"/>
      <c r="G1850" s="17"/>
      <c r="H1850" s="17"/>
    </row>
    <row r="1851" spans="1:8" x14ac:dyDescent="0.2">
      <c r="A1851" s="16"/>
      <c r="B1851" s="16"/>
      <c r="C1851" s="17"/>
      <c r="D1851" s="17"/>
      <c r="E1851" s="17"/>
      <c r="F1851" s="17"/>
      <c r="G1851" s="17"/>
      <c r="H1851" s="17"/>
    </row>
    <row r="1852" spans="1:8" x14ac:dyDescent="0.2">
      <c r="A1852" s="16"/>
      <c r="B1852" s="16"/>
      <c r="C1852" s="17"/>
      <c r="D1852" s="17"/>
      <c r="E1852" s="17"/>
      <c r="F1852" s="17"/>
      <c r="G1852" s="17"/>
      <c r="H1852" s="17"/>
    </row>
    <row r="1853" spans="1:8" x14ac:dyDescent="0.2">
      <c r="A1853" s="16"/>
      <c r="B1853" s="16"/>
      <c r="C1853" s="17"/>
      <c r="D1853" s="17"/>
      <c r="E1853" s="17"/>
      <c r="F1853" s="17"/>
      <c r="G1853" s="17"/>
      <c r="H1853" s="17"/>
    </row>
    <row r="1854" spans="1:8" x14ac:dyDescent="0.2">
      <c r="A1854" s="16"/>
      <c r="B1854" s="16"/>
      <c r="C1854" s="17"/>
      <c r="D1854" s="17"/>
      <c r="E1854" s="17"/>
      <c r="F1854" s="17"/>
      <c r="G1854" s="17"/>
      <c r="H1854" s="17"/>
    </row>
    <row r="1855" spans="1:8" x14ac:dyDescent="0.2">
      <c r="A1855" s="16"/>
      <c r="B1855" s="16"/>
      <c r="C1855" s="17"/>
      <c r="D1855" s="17"/>
      <c r="E1855" s="17"/>
      <c r="F1855" s="17"/>
      <c r="G1855" s="17"/>
      <c r="H1855" s="17"/>
    </row>
    <row r="1856" spans="1:8" x14ac:dyDescent="0.2">
      <c r="A1856" s="16"/>
      <c r="B1856" s="16"/>
      <c r="C1856" s="17"/>
      <c r="D1856" s="17"/>
      <c r="E1856" s="17"/>
      <c r="F1856" s="17"/>
      <c r="G1856" s="17"/>
      <c r="H1856" s="17"/>
    </row>
    <row r="1857" spans="1:8" x14ac:dyDescent="0.2">
      <c r="A1857" s="16"/>
      <c r="B1857" s="16"/>
      <c r="C1857" s="17"/>
      <c r="D1857" s="17"/>
      <c r="E1857" s="17"/>
      <c r="F1857" s="17"/>
      <c r="G1857" s="17"/>
      <c r="H1857" s="17"/>
    </row>
    <row r="1858" spans="1:8" x14ac:dyDescent="0.2">
      <c r="A1858" s="16"/>
      <c r="B1858" s="16"/>
      <c r="C1858" s="17"/>
      <c r="D1858" s="17"/>
      <c r="E1858" s="17"/>
      <c r="F1858" s="17"/>
      <c r="G1858" s="17"/>
      <c r="H1858" s="17"/>
    </row>
    <row r="1859" spans="1:8" x14ac:dyDescent="0.2">
      <c r="A1859" s="16"/>
      <c r="B1859" s="16"/>
      <c r="C1859" s="17"/>
      <c r="D1859" s="17"/>
      <c r="E1859" s="17"/>
      <c r="F1859" s="17"/>
      <c r="G1859" s="17"/>
      <c r="H1859" s="17"/>
    </row>
    <row r="1860" spans="1:8" x14ac:dyDescent="0.2">
      <c r="A1860" s="16"/>
      <c r="B1860" s="16"/>
      <c r="C1860" s="17"/>
      <c r="D1860" s="17"/>
      <c r="E1860" s="17"/>
      <c r="F1860" s="17"/>
      <c r="G1860" s="17"/>
      <c r="H1860" s="17"/>
    </row>
    <row r="1861" spans="1:8" x14ac:dyDescent="0.2">
      <c r="A1861" s="16"/>
      <c r="B1861" s="16"/>
      <c r="C1861" s="17"/>
      <c r="D1861" s="17"/>
      <c r="E1861" s="17"/>
      <c r="F1861" s="17"/>
      <c r="G1861" s="17"/>
      <c r="H1861" s="17"/>
    </row>
    <row r="1862" spans="1:8" x14ac:dyDescent="0.2">
      <c r="A1862" s="16"/>
      <c r="B1862" s="16"/>
      <c r="C1862" s="17"/>
      <c r="D1862" s="17"/>
      <c r="E1862" s="17"/>
      <c r="F1862" s="17"/>
      <c r="G1862" s="17"/>
      <c r="H1862" s="17"/>
    </row>
    <row r="1863" spans="1:8" x14ac:dyDescent="0.2">
      <c r="A1863" s="16"/>
      <c r="B1863" s="16"/>
      <c r="C1863" s="17"/>
      <c r="D1863" s="17"/>
      <c r="E1863" s="17"/>
      <c r="F1863" s="17"/>
      <c r="G1863" s="17"/>
      <c r="H1863" s="17"/>
    </row>
    <row r="1864" spans="1:8" x14ac:dyDescent="0.2">
      <c r="A1864" s="16"/>
      <c r="B1864" s="16"/>
      <c r="C1864" s="17"/>
      <c r="D1864" s="17"/>
      <c r="E1864" s="17"/>
      <c r="F1864" s="17"/>
      <c r="G1864" s="17"/>
      <c r="H1864" s="17"/>
    </row>
    <row r="1865" spans="1:8" x14ac:dyDescent="0.2">
      <c r="A1865" s="16"/>
      <c r="B1865" s="16"/>
      <c r="C1865" s="17"/>
      <c r="D1865" s="17"/>
      <c r="E1865" s="17"/>
      <c r="F1865" s="17"/>
      <c r="G1865" s="17"/>
      <c r="H1865" s="17"/>
    </row>
    <row r="1866" spans="1:8" x14ac:dyDescent="0.2">
      <c r="A1866" s="16"/>
      <c r="B1866" s="16"/>
      <c r="C1866" s="17"/>
      <c r="D1866" s="17"/>
      <c r="E1866" s="17"/>
      <c r="F1866" s="17"/>
      <c r="G1866" s="17"/>
      <c r="H1866" s="17"/>
    </row>
    <row r="1867" spans="1:8" x14ac:dyDescent="0.2">
      <c r="A1867" s="16"/>
      <c r="B1867" s="16"/>
      <c r="C1867" s="17"/>
      <c r="D1867" s="17"/>
      <c r="E1867" s="17"/>
      <c r="F1867" s="17"/>
      <c r="G1867" s="17"/>
      <c r="H1867" s="17"/>
    </row>
    <row r="1868" spans="1:8" x14ac:dyDescent="0.2">
      <c r="A1868" s="16"/>
      <c r="B1868" s="16"/>
      <c r="C1868" s="17"/>
      <c r="D1868" s="17"/>
      <c r="E1868" s="17"/>
      <c r="F1868" s="17"/>
      <c r="G1868" s="17"/>
      <c r="H1868" s="17"/>
    </row>
    <row r="1869" spans="1:8" x14ac:dyDescent="0.2">
      <c r="A1869" s="16"/>
      <c r="B1869" s="16"/>
      <c r="C1869" s="17"/>
      <c r="D1869" s="17"/>
      <c r="E1869" s="17"/>
      <c r="F1869" s="17"/>
      <c r="G1869" s="17"/>
      <c r="H1869" s="17"/>
    </row>
    <row r="1870" spans="1:8" x14ac:dyDescent="0.2">
      <c r="A1870" s="16"/>
      <c r="B1870" s="16"/>
      <c r="C1870" s="17"/>
      <c r="D1870" s="17"/>
      <c r="E1870" s="17"/>
      <c r="F1870" s="17"/>
      <c r="G1870" s="17"/>
      <c r="H1870" s="17"/>
    </row>
    <row r="1871" spans="1:8" x14ac:dyDescent="0.2">
      <c r="A1871" s="16"/>
      <c r="B1871" s="16"/>
      <c r="C1871" s="17"/>
      <c r="D1871" s="17"/>
      <c r="E1871" s="17"/>
      <c r="F1871" s="17"/>
      <c r="G1871" s="17"/>
      <c r="H1871" s="17"/>
    </row>
    <row r="1872" spans="1:8" x14ac:dyDescent="0.2">
      <c r="A1872" s="16"/>
      <c r="B1872" s="16"/>
      <c r="C1872" s="17"/>
      <c r="D1872" s="17"/>
      <c r="E1872" s="17"/>
      <c r="F1872" s="17"/>
      <c r="G1872" s="17"/>
      <c r="H1872" s="17"/>
    </row>
    <row r="1873" spans="1:8" x14ac:dyDescent="0.2">
      <c r="A1873" s="16"/>
      <c r="B1873" s="16"/>
      <c r="C1873" s="17"/>
      <c r="D1873" s="17"/>
      <c r="E1873" s="17"/>
      <c r="F1873" s="17"/>
      <c r="G1873" s="17"/>
      <c r="H1873" s="17"/>
    </row>
    <row r="1874" spans="1:8" x14ac:dyDescent="0.2">
      <c r="A1874" s="16"/>
      <c r="B1874" s="16"/>
      <c r="C1874" s="17"/>
      <c r="D1874" s="17"/>
      <c r="E1874" s="17"/>
      <c r="F1874" s="17"/>
      <c r="G1874" s="17"/>
      <c r="H1874" s="17"/>
    </row>
    <row r="1875" spans="1:8" x14ac:dyDescent="0.2">
      <c r="A1875" s="16"/>
      <c r="B1875" s="16"/>
      <c r="C1875" s="17"/>
      <c r="D1875" s="17"/>
      <c r="E1875" s="17"/>
      <c r="F1875" s="17"/>
      <c r="G1875" s="17"/>
      <c r="H1875" s="17"/>
    </row>
    <row r="1876" spans="1:8" x14ac:dyDescent="0.2">
      <c r="A1876" s="16"/>
      <c r="B1876" s="16"/>
      <c r="C1876" s="17"/>
      <c r="D1876" s="17"/>
      <c r="E1876" s="17"/>
      <c r="F1876" s="17"/>
      <c r="G1876" s="17"/>
      <c r="H1876" s="17"/>
    </row>
    <row r="1877" spans="1:8" x14ac:dyDescent="0.2">
      <c r="A1877" s="16"/>
      <c r="B1877" s="16"/>
      <c r="C1877" s="17"/>
      <c r="D1877" s="17"/>
      <c r="E1877" s="17"/>
      <c r="F1877" s="17"/>
      <c r="G1877" s="17"/>
      <c r="H1877" s="17"/>
    </row>
    <row r="1878" spans="1:8" x14ac:dyDescent="0.2">
      <c r="A1878" s="16"/>
      <c r="B1878" s="16"/>
      <c r="C1878" s="17"/>
      <c r="D1878" s="17"/>
      <c r="E1878" s="17"/>
      <c r="F1878" s="17"/>
      <c r="G1878" s="17"/>
      <c r="H1878" s="17"/>
    </row>
    <row r="1879" spans="1:8" x14ac:dyDescent="0.2">
      <c r="A1879" s="16"/>
      <c r="B1879" s="16"/>
      <c r="C1879" s="17"/>
      <c r="D1879" s="17"/>
      <c r="E1879" s="17"/>
      <c r="F1879" s="17"/>
      <c r="G1879" s="17"/>
      <c r="H1879" s="17"/>
    </row>
    <row r="1880" spans="1:8" x14ac:dyDescent="0.2">
      <c r="A1880" s="16"/>
      <c r="B1880" s="16"/>
      <c r="C1880" s="17"/>
      <c r="D1880" s="17"/>
      <c r="E1880" s="17"/>
      <c r="F1880" s="17"/>
      <c r="G1880" s="17"/>
      <c r="H1880" s="17"/>
    </row>
    <row r="1881" spans="1:8" x14ac:dyDescent="0.2">
      <c r="A1881" s="16"/>
      <c r="B1881" s="16"/>
      <c r="C1881" s="17"/>
      <c r="D1881" s="17"/>
      <c r="E1881" s="17"/>
      <c r="F1881" s="17"/>
      <c r="G1881" s="17"/>
      <c r="H1881" s="17"/>
    </row>
    <row r="1882" spans="1:8" x14ac:dyDescent="0.2">
      <c r="A1882" s="16"/>
      <c r="B1882" s="16"/>
      <c r="C1882" s="17"/>
      <c r="D1882" s="17"/>
      <c r="E1882" s="17"/>
      <c r="F1882" s="17"/>
      <c r="G1882" s="17"/>
      <c r="H1882" s="17"/>
    </row>
    <row r="1883" spans="1:8" x14ac:dyDescent="0.2">
      <c r="A1883" s="16"/>
      <c r="B1883" s="16"/>
      <c r="C1883" s="17"/>
      <c r="D1883" s="17"/>
      <c r="E1883" s="17"/>
      <c r="F1883" s="17"/>
      <c r="G1883" s="17"/>
      <c r="H1883" s="17"/>
    </row>
    <row r="1884" spans="1:8" x14ac:dyDescent="0.2">
      <c r="A1884" s="16"/>
      <c r="B1884" s="16"/>
      <c r="C1884" s="17"/>
      <c r="D1884" s="17"/>
      <c r="E1884" s="17"/>
      <c r="F1884" s="17"/>
      <c r="G1884" s="17"/>
      <c r="H1884" s="17"/>
    </row>
    <row r="1885" spans="1:8" x14ac:dyDescent="0.2">
      <c r="A1885" s="16"/>
      <c r="B1885" s="16"/>
      <c r="C1885" s="17"/>
      <c r="D1885" s="17"/>
      <c r="E1885" s="17"/>
      <c r="F1885" s="17"/>
      <c r="G1885" s="17"/>
      <c r="H1885" s="17"/>
    </row>
    <row r="1886" spans="1:8" x14ac:dyDescent="0.2">
      <c r="A1886" s="16"/>
      <c r="B1886" s="16"/>
      <c r="C1886" s="17"/>
      <c r="D1886" s="17"/>
      <c r="E1886" s="17"/>
      <c r="F1886" s="17"/>
      <c r="G1886" s="17"/>
      <c r="H1886" s="17"/>
    </row>
    <row r="1887" spans="1:8" x14ac:dyDescent="0.2">
      <c r="A1887" s="16"/>
      <c r="B1887" s="16"/>
      <c r="C1887" s="17"/>
      <c r="D1887" s="17"/>
      <c r="E1887" s="17"/>
      <c r="F1887" s="17"/>
      <c r="G1887" s="17"/>
      <c r="H1887" s="17"/>
    </row>
    <row r="1888" spans="1:8" x14ac:dyDescent="0.2">
      <c r="A1888" s="16"/>
      <c r="B1888" s="16"/>
      <c r="C1888" s="17"/>
      <c r="D1888" s="17"/>
      <c r="E1888" s="17"/>
      <c r="F1888" s="17"/>
      <c r="G1888" s="17"/>
      <c r="H1888" s="17"/>
    </row>
    <row r="1889" spans="1:8" x14ac:dyDescent="0.2">
      <c r="A1889" s="16"/>
      <c r="B1889" s="16"/>
      <c r="C1889" s="17"/>
      <c r="D1889" s="17"/>
      <c r="E1889" s="17"/>
      <c r="F1889" s="17"/>
      <c r="G1889" s="17"/>
      <c r="H1889" s="17"/>
    </row>
    <row r="1890" spans="1:8" x14ac:dyDescent="0.2">
      <c r="A1890" s="16"/>
      <c r="B1890" s="16"/>
      <c r="C1890" s="17"/>
      <c r="D1890" s="17"/>
      <c r="E1890" s="17"/>
      <c r="F1890" s="17"/>
      <c r="G1890" s="17"/>
      <c r="H1890" s="17"/>
    </row>
    <row r="1891" spans="1:8" x14ac:dyDescent="0.2">
      <c r="A1891" s="16"/>
      <c r="B1891" s="16"/>
      <c r="C1891" s="17"/>
      <c r="D1891" s="17"/>
      <c r="E1891" s="17"/>
      <c r="F1891" s="17"/>
      <c r="G1891" s="17"/>
      <c r="H1891" s="17"/>
    </row>
    <row r="1892" spans="1:8" x14ac:dyDescent="0.2">
      <c r="A1892" s="16"/>
      <c r="B1892" s="16"/>
      <c r="C1892" s="17"/>
      <c r="D1892" s="17"/>
      <c r="E1892" s="17"/>
      <c r="F1892" s="17"/>
      <c r="G1892" s="17"/>
      <c r="H1892" s="17"/>
    </row>
    <row r="1893" spans="1:8" x14ac:dyDescent="0.2">
      <c r="A1893" s="16"/>
      <c r="B1893" s="16"/>
      <c r="C1893" s="17"/>
      <c r="D1893" s="17"/>
      <c r="E1893" s="17"/>
      <c r="F1893" s="17"/>
      <c r="G1893" s="17"/>
      <c r="H1893" s="17"/>
    </row>
    <row r="1894" spans="1:8" x14ac:dyDescent="0.2">
      <c r="A1894" s="16"/>
      <c r="B1894" s="16"/>
      <c r="C1894" s="17"/>
      <c r="D1894" s="17"/>
      <c r="E1894" s="17"/>
      <c r="F1894" s="17"/>
      <c r="G1894" s="17"/>
      <c r="H1894" s="17"/>
    </row>
    <row r="1895" spans="1:8" x14ac:dyDescent="0.2">
      <c r="A1895" s="16"/>
      <c r="B1895" s="16"/>
      <c r="C1895" s="17"/>
      <c r="D1895" s="17"/>
      <c r="E1895" s="17"/>
      <c r="F1895" s="17"/>
      <c r="G1895" s="17"/>
      <c r="H1895" s="17"/>
    </row>
    <row r="1896" spans="1:8" x14ac:dyDescent="0.2">
      <c r="A1896" s="16"/>
      <c r="B1896" s="16"/>
      <c r="C1896" s="17"/>
      <c r="D1896" s="17"/>
      <c r="E1896" s="17"/>
      <c r="F1896" s="17"/>
      <c r="G1896" s="17"/>
      <c r="H1896" s="17"/>
    </row>
    <row r="1897" spans="1:8" x14ac:dyDescent="0.2">
      <c r="A1897" s="16"/>
      <c r="B1897" s="16"/>
      <c r="C1897" s="17"/>
      <c r="D1897" s="17"/>
      <c r="E1897" s="17"/>
      <c r="F1897" s="17"/>
      <c r="G1897" s="17"/>
      <c r="H1897" s="17"/>
    </row>
    <row r="1898" spans="1:8" x14ac:dyDescent="0.2">
      <c r="A1898" s="16"/>
      <c r="B1898" s="16"/>
      <c r="C1898" s="17"/>
      <c r="D1898" s="17"/>
      <c r="E1898" s="17"/>
      <c r="F1898" s="17"/>
      <c r="G1898" s="17"/>
      <c r="H1898" s="17"/>
    </row>
    <row r="1899" spans="1:8" x14ac:dyDescent="0.2">
      <c r="A1899" s="16"/>
      <c r="B1899" s="16"/>
      <c r="C1899" s="17"/>
      <c r="D1899" s="17"/>
      <c r="E1899" s="17"/>
      <c r="F1899" s="17"/>
      <c r="G1899" s="17"/>
      <c r="H1899" s="17"/>
    </row>
    <row r="1900" spans="1:8" x14ac:dyDescent="0.2">
      <c r="A1900" s="16"/>
      <c r="B1900" s="16"/>
      <c r="C1900" s="17"/>
      <c r="D1900" s="17"/>
      <c r="E1900" s="17"/>
      <c r="F1900" s="17"/>
      <c r="G1900" s="17"/>
      <c r="H1900" s="17"/>
    </row>
    <row r="1901" spans="1:8" x14ac:dyDescent="0.2">
      <c r="A1901" s="16"/>
      <c r="B1901" s="16"/>
      <c r="C1901" s="17"/>
      <c r="D1901" s="17"/>
      <c r="E1901" s="17"/>
      <c r="F1901" s="17"/>
      <c r="G1901" s="17"/>
      <c r="H1901" s="17"/>
    </row>
    <row r="1902" spans="1:8" x14ac:dyDescent="0.2">
      <c r="A1902" s="16"/>
      <c r="B1902" s="16"/>
      <c r="C1902" s="17"/>
      <c r="D1902" s="17"/>
      <c r="E1902" s="17"/>
      <c r="F1902" s="17"/>
      <c r="G1902" s="17"/>
      <c r="H1902" s="17"/>
    </row>
    <row r="1903" spans="1:8" x14ac:dyDescent="0.2">
      <c r="A1903" s="16"/>
      <c r="B1903" s="16"/>
      <c r="C1903" s="17"/>
      <c r="D1903" s="17"/>
      <c r="E1903" s="17"/>
      <c r="F1903" s="17"/>
      <c r="G1903" s="17"/>
      <c r="H1903" s="17"/>
    </row>
    <row r="1904" spans="1:8" x14ac:dyDescent="0.2">
      <c r="A1904" s="16"/>
      <c r="B1904" s="16"/>
      <c r="C1904" s="17"/>
      <c r="D1904" s="17"/>
      <c r="E1904" s="17"/>
      <c r="F1904" s="17"/>
      <c r="G1904" s="17"/>
      <c r="H1904" s="17"/>
    </row>
    <row r="1905" spans="1:8" x14ac:dyDescent="0.2">
      <c r="A1905" s="16"/>
      <c r="B1905" s="16"/>
      <c r="C1905" s="17"/>
      <c r="D1905" s="17"/>
      <c r="E1905" s="17"/>
      <c r="F1905" s="17"/>
      <c r="G1905" s="17"/>
      <c r="H1905" s="17"/>
    </row>
    <row r="1906" spans="1:8" x14ac:dyDescent="0.2">
      <c r="A1906" s="16"/>
      <c r="B1906" s="16"/>
      <c r="C1906" s="17"/>
      <c r="D1906" s="17"/>
      <c r="E1906" s="17"/>
      <c r="F1906" s="17"/>
      <c r="G1906" s="17"/>
      <c r="H1906" s="17"/>
    </row>
    <row r="1907" spans="1:8" x14ac:dyDescent="0.2">
      <c r="A1907" s="16"/>
      <c r="B1907" s="16"/>
      <c r="C1907" s="17"/>
      <c r="D1907" s="17"/>
      <c r="E1907" s="17"/>
      <c r="F1907" s="17"/>
      <c r="G1907" s="17"/>
      <c r="H1907" s="17"/>
    </row>
    <row r="1908" spans="1:8" x14ac:dyDescent="0.2">
      <c r="A1908" s="16"/>
      <c r="B1908" s="16"/>
      <c r="C1908" s="17"/>
      <c r="D1908" s="17"/>
      <c r="E1908" s="17"/>
      <c r="F1908" s="17"/>
      <c r="G1908" s="17"/>
      <c r="H1908" s="17"/>
    </row>
    <row r="1909" spans="1:8" x14ac:dyDescent="0.2">
      <c r="A1909" s="16"/>
      <c r="B1909" s="16"/>
      <c r="C1909" s="17"/>
      <c r="D1909" s="17"/>
      <c r="E1909" s="17"/>
      <c r="F1909" s="17"/>
      <c r="G1909" s="17"/>
      <c r="H1909" s="17"/>
    </row>
    <row r="1910" spans="1:8" x14ac:dyDescent="0.2">
      <c r="A1910" s="16"/>
      <c r="B1910" s="16"/>
      <c r="C1910" s="17"/>
      <c r="D1910" s="17"/>
      <c r="E1910" s="17"/>
      <c r="F1910" s="17"/>
      <c r="G1910" s="17"/>
      <c r="H1910" s="17"/>
    </row>
    <row r="1911" spans="1:8" x14ac:dyDescent="0.2">
      <c r="A1911" s="16"/>
      <c r="B1911" s="16"/>
      <c r="C1911" s="17"/>
      <c r="D1911" s="17"/>
      <c r="E1911" s="17"/>
      <c r="F1911" s="17"/>
      <c r="G1911" s="17"/>
      <c r="H1911" s="17"/>
    </row>
    <row r="1912" spans="1:8" x14ac:dyDescent="0.2">
      <c r="A1912" s="16"/>
      <c r="B1912" s="16"/>
      <c r="C1912" s="17"/>
      <c r="D1912" s="17"/>
      <c r="E1912" s="17"/>
      <c r="F1912" s="17"/>
      <c r="G1912" s="17"/>
      <c r="H1912" s="17"/>
    </row>
    <row r="1913" spans="1:8" x14ac:dyDescent="0.2">
      <c r="A1913" s="16"/>
      <c r="B1913" s="16"/>
      <c r="C1913" s="17"/>
      <c r="D1913" s="17"/>
      <c r="E1913" s="17"/>
      <c r="F1913" s="17"/>
      <c r="G1913" s="17"/>
      <c r="H1913" s="17"/>
    </row>
    <row r="1914" spans="1:8" x14ac:dyDescent="0.2">
      <c r="A1914" s="16"/>
      <c r="B1914" s="16"/>
      <c r="C1914" s="17"/>
      <c r="D1914" s="17"/>
      <c r="E1914" s="17"/>
      <c r="F1914" s="17"/>
      <c r="G1914" s="17"/>
      <c r="H1914" s="17"/>
    </row>
    <row r="1915" spans="1:8" x14ac:dyDescent="0.2">
      <c r="A1915" s="16"/>
      <c r="B1915" s="16"/>
      <c r="C1915" s="17"/>
      <c r="D1915" s="17"/>
      <c r="E1915" s="17"/>
      <c r="F1915" s="17"/>
      <c r="G1915" s="17"/>
      <c r="H1915" s="17"/>
    </row>
    <row r="1916" spans="1:8" x14ac:dyDescent="0.2">
      <c r="A1916" s="16"/>
      <c r="B1916" s="16"/>
      <c r="C1916" s="17"/>
      <c r="D1916" s="17"/>
      <c r="E1916" s="17"/>
      <c r="F1916" s="17"/>
      <c r="G1916" s="17"/>
      <c r="H1916" s="17"/>
    </row>
    <row r="1917" spans="1:8" x14ac:dyDescent="0.2">
      <c r="A1917" s="16"/>
      <c r="B1917" s="16"/>
      <c r="C1917" s="17"/>
      <c r="D1917" s="17"/>
      <c r="E1917" s="17"/>
      <c r="F1917" s="17"/>
      <c r="G1917" s="17"/>
      <c r="H1917" s="17"/>
    </row>
    <row r="1918" spans="1:8" x14ac:dyDescent="0.2">
      <c r="A1918" s="16"/>
      <c r="B1918" s="16"/>
      <c r="C1918" s="17"/>
      <c r="D1918" s="17"/>
      <c r="E1918" s="17"/>
      <c r="F1918" s="17"/>
      <c r="G1918" s="17"/>
      <c r="H1918" s="17"/>
    </row>
    <row r="1919" spans="1:8" x14ac:dyDescent="0.2">
      <c r="A1919" s="16"/>
      <c r="B1919" s="16"/>
      <c r="C1919" s="17"/>
      <c r="D1919" s="17"/>
      <c r="E1919" s="17"/>
      <c r="F1919" s="17"/>
      <c r="G1919" s="17"/>
      <c r="H1919" s="17"/>
    </row>
    <row r="1920" spans="1:8" x14ac:dyDescent="0.2">
      <c r="A1920" s="16"/>
      <c r="B1920" s="16"/>
      <c r="C1920" s="17"/>
      <c r="D1920" s="17"/>
      <c r="E1920" s="17"/>
      <c r="F1920" s="17"/>
      <c r="G1920" s="17"/>
      <c r="H1920" s="17"/>
    </row>
    <row r="1921" spans="1:8" x14ac:dyDescent="0.2">
      <c r="A1921" s="16"/>
      <c r="B1921" s="16"/>
      <c r="C1921" s="17"/>
      <c r="D1921" s="17"/>
      <c r="E1921" s="17"/>
      <c r="F1921" s="17"/>
      <c r="G1921" s="17"/>
      <c r="H1921" s="17"/>
    </row>
    <row r="1922" spans="1:8" x14ac:dyDescent="0.2">
      <c r="A1922" s="16"/>
      <c r="B1922" s="16"/>
      <c r="C1922" s="17"/>
      <c r="D1922" s="17"/>
      <c r="E1922" s="17"/>
      <c r="F1922" s="17"/>
      <c r="G1922" s="17"/>
      <c r="H1922" s="17"/>
    </row>
    <row r="1923" spans="1:8" x14ac:dyDescent="0.2">
      <c r="A1923" s="16"/>
      <c r="B1923" s="16"/>
      <c r="C1923" s="17"/>
      <c r="D1923" s="17"/>
      <c r="E1923" s="17"/>
      <c r="F1923" s="17"/>
      <c r="G1923" s="17"/>
      <c r="H1923" s="17"/>
    </row>
    <row r="1924" spans="1:8" x14ac:dyDescent="0.2">
      <c r="A1924" s="16"/>
      <c r="B1924" s="16"/>
      <c r="C1924" s="17"/>
      <c r="D1924" s="17"/>
      <c r="E1924" s="17"/>
      <c r="F1924" s="17"/>
      <c r="G1924" s="17"/>
      <c r="H1924" s="17"/>
    </row>
    <row r="1925" spans="1:8" x14ac:dyDescent="0.2">
      <c r="A1925" s="16"/>
      <c r="B1925" s="16"/>
      <c r="C1925" s="17"/>
      <c r="D1925" s="17"/>
      <c r="E1925" s="17"/>
      <c r="F1925" s="17"/>
      <c r="G1925" s="17"/>
      <c r="H1925" s="17"/>
    </row>
    <row r="1926" spans="1:8" x14ac:dyDescent="0.2">
      <c r="A1926" s="16"/>
      <c r="B1926" s="16"/>
      <c r="C1926" s="17"/>
      <c r="D1926" s="17"/>
      <c r="E1926" s="17"/>
      <c r="F1926" s="17"/>
      <c r="G1926" s="17"/>
      <c r="H1926" s="17"/>
    </row>
    <row r="1927" spans="1:8" x14ac:dyDescent="0.2">
      <c r="A1927" s="16"/>
      <c r="B1927" s="16"/>
      <c r="C1927" s="17"/>
      <c r="D1927" s="17"/>
      <c r="E1927" s="17"/>
      <c r="F1927" s="17"/>
      <c r="G1927" s="17"/>
      <c r="H1927" s="17"/>
    </row>
    <row r="1928" spans="1:8" x14ac:dyDescent="0.2">
      <c r="A1928" s="16"/>
      <c r="B1928" s="16"/>
      <c r="C1928" s="17"/>
      <c r="D1928" s="17"/>
      <c r="E1928" s="17"/>
      <c r="F1928" s="17"/>
      <c r="G1928" s="17"/>
      <c r="H1928" s="17"/>
    </row>
    <row r="1929" spans="1:8" x14ac:dyDescent="0.2">
      <c r="A1929" s="16"/>
      <c r="B1929" s="16"/>
      <c r="C1929" s="17"/>
      <c r="D1929" s="17"/>
      <c r="E1929" s="17"/>
      <c r="F1929" s="17"/>
      <c r="G1929" s="17"/>
      <c r="H1929" s="17"/>
    </row>
    <row r="1930" spans="1:8" x14ac:dyDescent="0.2">
      <c r="A1930" s="16"/>
      <c r="B1930" s="16"/>
      <c r="C1930" s="17"/>
      <c r="D1930" s="17"/>
      <c r="E1930" s="17"/>
      <c r="F1930" s="17"/>
      <c r="G1930" s="17"/>
      <c r="H1930" s="17"/>
    </row>
    <row r="1931" spans="1:8" x14ac:dyDescent="0.2">
      <c r="A1931" s="16"/>
      <c r="B1931" s="16"/>
      <c r="C1931" s="17"/>
      <c r="D1931" s="17"/>
      <c r="E1931" s="17"/>
      <c r="F1931" s="17"/>
      <c r="G1931" s="17"/>
      <c r="H1931" s="17"/>
    </row>
    <row r="1932" spans="1:8" x14ac:dyDescent="0.2">
      <c r="A1932" s="16"/>
      <c r="B1932" s="16"/>
      <c r="C1932" s="17"/>
      <c r="D1932" s="17"/>
      <c r="E1932" s="17"/>
      <c r="F1932" s="17"/>
      <c r="G1932" s="17"/>
      <c r="H1932" s="17"/>
    </row>
    <row r="1933" spans="1:8" x14ac:dyDescent="0.2">
      <c r="A1933" s="16"/>
      <c r="B1933" s="16"/>
      <c r="C1933" s="17"/>
      <c r="D1933" s="17"/>
      <c r="E1933" s="17"/>
      <c r="F1933" s="17"/>
      <c r="G1933" s="17"/>
      <c r="H1933" s="17"/>
    </row>
    <row r="1934" spans="1:8" x14ac:dyDescent="0.2">
      <c r="A1934" s="16"/>
      <c r="B1934" s="16"/>
      <c r="C1934" s="17"/>
      <c r="D1934" s="17"/>
      <c r="E1934" s="17"/>
      <c r="F1934" s="17"/>
      <c r="G1934" s="17"/>
      <c r="H1934" s="17"/>
    </row>
    <row r="1935" spans="1:8" x14ac:dyDescent="0.2">
      <c r="A1935" s="16"/>
      <c r="B1935" s="16"/>
      <c r="C1935" s="17"/>
      <c r="D1935" s="17"/>
      <c r="E1935" s="17"/>
      <c r="F1935" s="17"/>
      <c r="G1935" s="17"/>
      <c r="H1935" s="17"/>
    </row>
    <row r="1936" spans="1:8" x14ac:dyDescent="0.2">
      <c r="A1936" s="16"/>
      <c r="B1936" s="16"/>
      <c r="C1936" s="17"/>
      <c r="D1936" s="17"/>
      <c r="E1936" s="17"/>
      <c r="F1936" s="17"/>
      <c r="G1936" s="17"/>
      <c r="H1936" s="17"/>
    </row>
    <row r="1937" spans="1:8" x14ac:dyDescent="0.2">
      <c r="A1937" s="16"/>
      <c r="B1937" s="16"/>
      <c r="C1937" s="17"/>
      <c r="D1937" s="17"/>
      <c r="E1937" s="17"/>
      <c r="F1937" s="17"/>
      <c r="G1937" s="17"/>
      <c r="H1937" s="17"/>
    </row>
    <row r="1938" spans="1:8" x14ac:dyDescent="0.2">
      <c r="A1938" s="16"/>
      <c r="B1938" s="16"/>
      <c r="C1938" s="17"/>
      <c r="D1938" s="17"/>
      <c r="E1938" s="17"/>
      <c r="F1938" s="17"/>
      <c r="G1938" s="17"/>
      <c r="H1938" s="17"/>
    </row>
    <row r="1939" spans="1:8" x14ac:dyDescent="0.2">
      <c r="A1939" s="16"/>
      <c r="B1939" s="16"/>
      <c r="C1939" s="17"/>
      <c r="D1939" s="17"/>
      <c r="E1939" s="17"/>
      <c r="F1939" s="17"/>
      <c r="G1939" s="17"/>
      <c r="H1939" s="17"/>
    </row>
    <row r="1940" spans="1:8" x14ac:dyDescent="0.2">
      <c r="A1940" s="16"/>
      <c r="B1940" s="16"/>
      <c r="C1940" s="17"/>
      <c r="D1940" s="17"/>
      <c r="E1940" s="17"/>
      <c r="F1940" s="17"/>
      <c r="G1940" s="17"/>
      <c r="H1940" s="17"/>
    </row>
    <row r="1941" spans="1:8" x14ac:dyDescent="0.2">
      <c r="A1941" s="16"/>
      <c r="B1941" s="16"/>
      <c r="C1941" s="17"/>
      <c r="D1941" s="17"/>
      <c r="E1941" s="17"/>
      <c r="F1941" s="17"/>
      <c r="G1941" s="17"/>
      <c r="H1941" s="17"/>
    </row>
    <row r="1942" spans="1:8" x14ac:dyDescent="0.2">
      <c r="A1942" s="16"/>
      <c r="B1942" s="16"/>
      <c r="C1942" s="17"/>
      <c r="D1942" s="17"/>
      <c r="E1942" s="17"/>
      <c r="F1942" s="17"/>
      <c r="G1942" s="17"/>
      <c r="H1942" s="17"/>
    </row>
    <row r="1943" spans="1:8" x14ac:dyDescent="0.2">
      <c r="A1943" s="16"/>
      <c r="B1943" s="16"/>
      <c r="C1943" s="17"/>
      <c r="D1943" s="17"/>
      <c r="E1943" s="17"/>
      <c r="F1943" s="17"/>
      <c r="G1943" s="17"/>
      <c r="H1943" s="17"/>
    </row>
    <row r="1944" spans="1:8" x14ac:dyDescent="0.2">
      <c r="A1944" s="16"/>
      <c r="B1944" s="16"/>
      <c r="C1944" s="17"/>
      <c r="D1944" s="17"/>
      <c r="E1944" s="17"/>
      <c r="F1944" s="17"/>
      <c r="G1944" s="17"/>
      <c r="H1944" s="17"/>
    </row>
    <row r="1945" spans="1:8" x14ac:dyDescent="0.2">
      <c r="A1945" s="16"/>
      <c r="B1945" s="16"/>
      <c r="C1945" s="17"/>
      <c r="D1945" s="17"/>
      <c r="E1945" s="17"/>
      <c r="F1945" s="17"/>
      <c r="G1945" s="17"/>
      <c r="H1945" s="17"/>
    </row>
    <row r="1946" spans="1:8" x14ac:dyDescent="0.2">
      <c r="A1946" s="16"/>
      <c r="B1946" s="16"/>
      <c r="C1946" s="17"/>
      <c r="D1946" s="17"/>
      <c r="E1946" s="17"/>
      <c r="F1946" s="17"/>
      <c r="G1946" s="17"/>
      <c r="H1946" s="17"/>
    </row>
    <row r="1947" spans="1:8" x14ac:dyDescent="0.2">
      <c r="A1947" s="16"/>
      <c r="B1947" s="16"/>
      <c r="C1947" s="17"/>
      <c r="D1947" s="17"/>
      <c r="E1947" s="17"/>
      <c r="F1947" s="17"/>
      <c r="G1947" s="17"/>
      <c r="H1947" s="17"/>
    </row>
    <row r="1948" spans="1:8" x14ac:dyDescent="0.2">
      <c r="A1948" s="16"/>
      <c r="B1948" s="16"/>
      <c r="C1948" s="17"/>
      <c r="D1948" s="17"/>
      <c r="E1948" s="17"/>
      <c r="F1948" s="17"/>
      <c r="G1948" s="17"/>
      <c r="H1948" s="17"/>
    </row>
    <row r="1949" spans="1:8" x14ac:dyDescent="0.2">
      <c r="A1949" s="16"/>
      <c r="B1949" s="16"/>
      <c r="C1949" s="17"/>
      <c r="D1949" s="17"/>
      <c r="E1949" s="17"/>
      <c r="F1949" s="17"/>
      <c r="G1949" s="17"/>
      <c r="H1949" s="17"/>
    </row>
    <row r="1950" spans="1:8" x14ac:dyDescent="0.2">
      <c r="A1950" s="16"/>
      <c r="B1950" s="16"/>
      <c r="C1950" s="17"/>
      <c r="D1950" s="17"/>
      <c r="E1950" s="17"/>
      <c r="F1950" s="17"/>
      <c r="G1950" s="17"/>
      <c r="H1950" s="17"/>
    </row>
    <row r="1951" spans="1:8" x14ac:dyDescent="0.2">
      <c r="A1951" s="16"/>
      <c r="B1951" s="16"/>
      <c r="C1951" s="17"/>
      <c r="D1951" s="17"/>
      <c r="E1951" s="17"/>
      <c r="F1951" s="17"/>
      <c r="G1951" s="17"/>
      <c r="H1951" s="17"/>
    </row>
    <row r="1952" spans="1:8" x14ac:dyDescent="0.2">
      <c r="A1952" s="16"/>
      <c r="B1952" s="16"/>
      <c r="C1952" s="17"/>
      <c r="D1952" s="17"/>
      <c r="E1952" s="17"/>
      <c r="F1952" s="17"/>
      <c r="G1952" s="17"/>
      <c r="H1952" s="17"/>
    </row>
    <row r="1953" spans="1:8" x14ac:dyDescent="0.2">
      <c r="A1953" s="16"/>
      <c r="B1953" s="16"/>
      <c r="C1953" s="17"/>
      <c r="D1953" s="17"/>
      <c r="E1953" s="17"/>
      <c r="F1953" s="17"/>
      <c r="G1953" s="17"/>
      <c r="H1953" s="17"/>
    </row>
    <row r="1954" spans="1:8" x14ac:dyDescent="0.2">
      <c r="A1954" s="16"/>
      <c r="B1954" s="16"/>
      <c r="C1954" s="17"/>
      <c r="D1954" s="17"/>
      <c r="E1954" s="17"/>
      <c r="F1954" s="17"/>
      <c r="G1954" s="17"/>
      <c r="H1954" s="17"/>
    </row>
    <row r="1955" spans="1:8" x14ac:dyDescent="0.2">
      <c r="A1955" s="16"/>
      <c r="B1955" s="16"/>
      <c r="C1955" s="17"/>
      <c r="D1955" s="17"/>
      <c r="E1955" s="17"/>
      <c r="F1955" s="17"/>
      <c r="G1955" s="17"/>
      <c r="H1955" s="17"/>
    </row>
    <row r="1956" spans="1:8" x14ac:dyDescent="0.2">
      <c r="A1956" s="16"/>
      <c r="B1956" s="16"/>
      <c r="C1956" s="17"/>
      <c r="D1956" s="17"/>
      <c r="E1956" s="17"/>
      <c r="F1956" s="17"/>
      <c r="G1956" s="17"/>
      <c r="H1956" s="17"/>
    </row>
    <row r="1957" spans="1:8" x14ac:dyDescent="0.2">
      <c r="A1957" s="16"/>
      <c r="B1957" s="16"/>
      <c r="C1957" s="17"/>
      <c r="D1957" s="17"/>
      <c r="E1957" s="17"/>
      <c r="F1957" s="17"/>
      <c r="G1957" s="17"/>
      <c r="H1957" s="17"/>
    </row>
    <row r="1958" spans="1:8" x14ac:dyDescent="0.2">
      <c r="A1958" s="16"/>
      <c r="B1958" s="16"/>
      <c r="C1958" s="17"/>
      <c r="D1958" s="17"/>
      <c r="E1958" s="17"/>
      <c r="F1958" s="17"/>
      <c r="G1958" s="17"/>
      <c r="H1958" s="17"/>
    </row>
    <row r="1959" spans="1:8" x14ac:dyDescent="0.2">
      <c r="A1959" s="16"/>
      <c r="B1959" s="16"/>
      <c r="C1959" s="17"/>
      <c r="D1959" s="17"/>
      <c r="E1959" s="17"/>
      <c r="F1959" s="17"/>
      <c r="G1959" s="17"/>
      <c r="H1959" s="17"/>
    </row>
    <row r="1960" spans="1:8" x14ac:dyDescent="0.2">
      <c r="A1960" s="16"/>
      <c r="B1960" s="16"/>
      <c r="C1960" s="17"/>
      <c r="D1960" s="17"/>
      <c r="E1960" s="17"/>
      <c r="F1960" s="17"/>
      <c r="G1960" s="17"/>
      <c r="H1960" s="17"/>
    </row>
    <row r="1961" spans="1:8" x14ac:dyDescent="0.2">
      <c r="A1961" s="16"/>
      <c r="B1961" s="16"/>
      <c r="C1961" s="17"/>
      <c r="D1961" s="17"/>
      <c r="E1961" s="17"/>
      <c r="F1961" s="17"/>
      <c r="G1961" s="17"/>
      <c r="H1961" s="17"/>
    </row>
    <row r="1962" spans="1:8" x14ac:dyDescent="0.2">
      <c r="A1962" s="16"/>
      <c r="B1962" s="16"/>
      <c r="C1962" s="17"/>
      <c r="D1962" s="17"/>
      <c r="E1962" s="17"/>
      <c r="F1962" s="17"/>
      <c r="G1962" s="17"/>
      <c r="H1962" s="17"/>
    </row>
    <row r="1963" spans="1:8" x14ac:dyDescent="0.2">
      <c r="A1963" s="16"/>
      <c r="B1963" s="16"/>
      <c r="C1963" s="17"/>
      <c r="D1963" s="17"/>
      <c r="E1963" s="17"/>
      <c r="F1963" s="17"/>
      <c r="G1963" s="17"/>
      <c r="H1963" s="17"/>
    </row>
    <row r="1964" spans="1:8" x14ac:dyDescent="0.2">
      <c r="A1964" s="16"/>
      <c r="B1964" s="16"/>
      <c r="C1964" s="17"/>
      <c r="D1964" s="17"/>
      <c r="E1964" s="17"/>
      <c r="F1964" s="17"/>
      <c r="G1964" s="17"/>
      <c r="H1964" s="17"/>
    </row>
    <row r="1965" spans="1:8" x14ac:dyDescent="0.2">
      <c r="A1965" s="16"/>
      <c r="B1965" s="16"/>
      <c r="C1965" s="17"/>
      <c r="D1965" s="17"/>
      <c r="E1965" s="17"/>
      <c r="F1965" s="17"/>
      <c r="G1965" s="17"/>
      <c r="H1965" s="17"/>
    </row>
    <row r="1966" spans="1:8" x14ac:dyDescent="0.2">
      <c r="A1966" s="16"/>
      <c r="B1966" s="16"/>
      <c r="C1966" s="17"/>
      <c r="D1966" s="17"/>
      <c r="E1966" s="17"/>
      <c r="F1966" s="17"/>
      <c r="G1966" s="17"/>
      <c r="H1966" s="17"/>
    </row>
    <row r="1967" spans="1:8" x14ac:dyDescent="0.2">
      <c r="A1967" s="16"/>
      <c r="B1967" s="16"/>
      <c r="C1967" s="17"/>
      <c r="D1967" s="17"/>
      <c r="E1967" s="17"/>
      <c r="F1967" s="17"/>
      <c r="G1967" s="17"/>
      <c r="H1967" s="17"/>
    </row>
    <row r="1968" spans="1:8" x14ac:dyDescent="0.2">
      <c r="A1968" s="16"/>
      <c r="B1968" s="16"/>
      <c r="C1968" s="17"/>
      <c r="D1968" s="17"/>
      <c r="E1968" s="17"/>
      <c r="F1968" s="17"/>
      <c r="G1968" s="17"/>
      <c r="H1968" s="17"/>
    </row>
    <row r="1969" spans="1:8" x14ac:dyDescent="0.2">
      <c r="A1969" s="16"/>
      <c r="B1969" s="16"/>
      <c r="C1969" s="17"/>
      <c r="D1969" s="17"/>
      <c r="E1969" s="17"/>
      <c r="F1969" s="17"/>
      <c r="G1969" s="17"/>
      <c r="H1969" s="17"/>
    </row>
    <row r="1970" spans="1:8" x14ac:dyDescent="0.2">
      <c r="A1970" s="16"/>
      <c r="B1970" s="16"/>
      <c r="C1970" s="17"/>
      <c r="D1970" s="17"/>
      <c r="E1970" s="17"/>
      <c r="F1970" s="17"/>
      <c r="G1970" s="17"/>
      <c r="H1970" s="17"/>
    </row>
    <row r="1971" spans="1:8" x14ac:dyDescent="0.2">
      <c r="A1971" s="16"/>
      <c r="B1971" s="16"/>
      <c r="C1971" s="17"/>
      <c r="D1971" s="17"/>
      <c r="E1971" s="17"/>
      <c r="F1971" s="17"/>
      <c r="G1971" s="17"/>
      <c r="H1971" s="17"/>
    </row>
    <row r="1972" spans="1:8" x14ac:dyDescent="0.2">
      <c r="A1972" s="16"/>
      <c r="B1972" s="16"/>
      <c r="C1972" s="17"/>
      <c r="D1972" s="17"/>
      <c r="E1972" s="17"/>
      <c r="F1972" s="17"/>
      <c r="G1972" s="17"/>
      <c r="H1972" s="17"/>
    </row>
    <row r="1973" spans="1:8" x14ac:dyDescent="0.2">
      <c r="A1973" s="16"/>
      <c r="B1973" s="16"/>
      <c r="C1973" s="17"/>
      <c r="D1973" s="17"/>
      <c r="E1973" s="17"/>
      <c r="F1973" s="17"/>
      <c r="G1973" s="17"/>
      <c r="H1973" s="17"/>
    </row>
    <row r="1974" spans="1:8" x14ac:dyDescent="0.2">
      <c r="A1974" s="16"/>
      <c r="B1974" s="16"/>
      <c r="C1974" s="17"/>
      <c r="D1974" s="17"/>
      <c r="E1974" s="17"/>
      <c r="F1974" s="17"/>
      <c r="G1974" s="17"/>
      <c r="H1974" s="17"/>
    </row>
    <row r="1975" spans="1:8" x14ac:dyDescent="0.2">
      <c r="A1975" s="16"/>
      <c r="B1975" s="16"/>
      <c r="C1975" s="17"/>
      <c r="D1975" s="17"/>
      <c r="E1975" s="17"/>
      <c r="F1975" s="17"/>
      <c r="G1975" s="17"/>
      <c r="H1975" s="17"/>
    </row>
    <row r="1976" spans="1:8" x14ac:dyDescent="0.2">
      <c r="A1976" s="16"/>
      <c r="B1976" s="16"/>
      <c r="C1976" s="17"/>
      <c r="D1976" s="17"/>
      <c r="E1976" s="17"/>
      <c r="F1976" s="17"/>
      <c r="G1976" s="17"/>
      <c r="H1976" s="17"/>
    </row>
    <row r="1977" spans="1:8" x14ac:dyDescent="0.2">
      <c r="A1977" s="16"/>
      <c r="B1977" s="16"/>
      <c r="C1977" s="17"/>
      <c r="D1977" s="17"/>
      <c r="E1977" s="17"/>
      <c r="F1977" s="17"/>
      <c r="G1977" s="17"/>
      <c r="H1977" s="17"/>
    </row>
    <row r="1978" spans="1:8" x14ac:dyDescent="0.2">
      <c r="A1978" s="16"/>
      <c r="B1978" s="16"/>
      <c r="C1978" s="17"/>
      <c r="D1978" s="17"/>
      <c r="E1978" s="17"/>
      <c r="F1978" s="17"/>
      <c r="G1978" s="17"/>
      <c r="H1978" s="17"/>
    </row>
    <row r="1979" spans="1:8" x14ac:dyDescent="0.2">
      <c r="A1979" s="16"/>
      <c r="B1979" s="16"/>
      <c r="C1979" s="17"/>
      <c r="D1979" s="17"/>
      <c r="E1979" s="17"/>
      <c r="F1979" s="17"/>
      <c r="G1979" s="17"/>
      <c r="H1979" s="17"/>
    </row>
    <row r="1980" spans="1:8" x14ac:dyDescent="0.2">
      <c r="A1980" s="16"/>
      <c r="B1980" s="16"/>
      <c r="C1980" s="17"/>
      <c r="D1980" s="17"/>
      <c r="E1980" s="17"/>
      <c r="F1980" s="17"/>
      <c r="G1980" s="17"/>
      <c r="H1980" s="17"/>
    </row>
    <row r="1981" spans="1:8" x14ac:dyDescent="0.2">
      <c r="A1981" s="16"/>
      <c r="B1981" s="16"/>
      <c r="C1981" s="17"/>
      <c r="D1981" s="17"/>
      <c r="E1981" s="17"/>
      <c r="F1981" s="17"/>
      <c r="G1981" s="17"/>
      <c r="H1981" s="17"/>
    </row>
    <row r="1982" spans="1:8" x14ac:dyDescent="0.2">
      <c r="A1982" s="16"/>
      <c r="B1982" s="16"/>
      <c r="C1982" s="17"/>
      <c r="D1982" s="17"/>
      <c r="E1982" s="17"/>
      <c r="F1982" s="17"/>
      <c r="G1982" s="17"/>
      <c r="H1982" s="17"/>
    </row>
    <row r="1983" spans="1:8" x14ac:dyDescent="0.2">
      <c r="A1983" s="16"/>
      <c r="B1983" s="16"/>
      <c r="C1983" s="17"/>
      <c r="D1983" s="17"/>
      <c r="E1983" s="17"/>
      <c r="F1983" s="17"/>
      <c r="G1983" s="17"/>
      <c r="H1983" s="17"/>
    </row>
    <row r="1984" spans="1:8" x14ac:dyDescent="0.2">
      <c r="A1984" s="16"/>
      <c r="B1984" s="16"/>
      <c r="C1984" s="17"/>
      <c r="D1984" s="17"/>
      <c r="E1984" s="17"/>
      <c r="F1984" s="17"/>
      <c r="G1984" s="17"/>
      <c r="H1984" s="17"/>
    </row>
    <row r="1985" spans="1:8" x14ac:dyDescent="0.2">
      <c r="A1985" s="16"/>
      <c r="B1985" s="16"/>
      <c r="C1985" s="17"/>
      <c r="D1985" s="17"/>
      <c r="E1985" s="17"/>
      <c r="F1985" s="17"/>
      <c r="G1985" s="17"/>
      <c r="H1985" s="17"/>
    </row>
    <row r="1986" spans="1:8" x14ac:dyDescent="0.2">
      <c r="A1986" s="16"/>
      <c r="B1986" s="16"/>
      <c r="C1986" s="17"/>
      <c r="D1986" s="17"/>
      <c r="E1986" s="17"/>
      <c r="F1986" s="17"/>
      <c r="G1986" s="17"/>
      <c r="H1986" s="17"/>
    </row>
    <row r="1987" spans="1:8" x14ac:dyDescent="0.2">
      <c r="A1987" s="16"/>
      <c r="B1987" s="16"/>
      <c r="C1987" s="17"/>
      <c r="D1987" s="17"/>
      <c r="E1987" s="17"/>
      <c r="F1987" s="17"/>
      <c r="G1987" s="17"/>
      <c r="H1987" s="17"/>
    </row>
    <row r="1988" spans="1:8" x14ac:dyDescent="0.2">
      <c r="A1988" s="16"/>
      <c r="B1988" s="16"/>
      <c r="C1988" s="17"/>
      <c r="D1988" s="17"/>
      <c r="E1988" s="17"/>
      <c r="F1988" s="17"/>
      <c r="G1988" s="17"/>
      <c r="H1988" s="17"/>
    </row>
    <row r="1989" spans="1:8" x14ac:dyDescent="0.2">
      <c r="A1989" s="16"/>
      <c r="B1989" s="16"/>
      <c r="C1989" s="17"/>
      <c r="D1989" s="17"/>
      <c r="E1989" s="17"/>
      <c r="F1989" s="17"/>
      <c r="G1989" s="17"/>
      <c r="H1989" s="17"/>
    </row>
    <row r="1990" spans="1:8" x14ac:dyDescent="0.2">
      <c r="A1990" s="16"/>
      <c r="B1990" s="16"/>
      <c r="C1990" s="17"/>
      <c r="D1990" s="17"/>
      <c r="E1990" s="17"/>
      <c r="F1990" s="17"/>
      <c r="G1990" s="17"/>
      <c r="H1990" s="17"/>
    </row>
    <row r="1991" spans="1:8" x14ac:dyDescent="0.2">
      <c r="A1991" s="16"/>
      <c r="B1991" s="16"/>
      <c r="C1991" s="17"/>
      <c r="D1991" s="17"/>
      <c r="E1991" s="17"/>
      <c r="F1991" s="17"/>
      <c r="G1991" s="17"/>
      <c r="H1991" s="17"/>
    </row>
    <row r="1992" spans="1:8" x14ac:dyDescent="0.2">
      <c r="A1992" s="16"/>
      <c r="B1992" s="16"/>
      <c r="C1992" s="17"/>
      <c r="D1992" s="17"/>
      <c r="E1992" s="17"/>
      <c r="F1992" s="17"/>
      <c r="G1992" s="17"/>
      <c r="H1992" s="17"/>
    </row>
    <row r="1993" spans="1:8" x14ac:dyDescent="0.2">
      <c r="A1993" s="16"/>
      <c r="B1993" s="16"/>
      <c r="C1993" s="17"/>
      <c r="D1993" s="17"/>
      <c r="E1993" s="17"/>
      <c r="F1993" s="17"/>
      <c r="G1993" s="17"/>
      <c r="H1993" s="17"/>
    </row>
    <row r="1994" spans="1:8" x14ac:dyDescent="0.2">
      <c r="A1994" s="16"/>
      <c r="B1994" s="16"/>
      <c r="C1994" s="17"/>
      <c r="D1994" s="17"/>
      <c r="E1994" s="17"/>
      <c r="F1994" s="17"/>
      <c r="G1994" s="17"/>
      <c r="H1994" s="17"/>
    </row>
    <row r="1995" spans="1:8" x14ac:dyDescent="0.2">
      <c r="A1995" s="16"/>
      <c r="B1995" s="16"/>
      <c r="C1995" s="17"/>
      <c r="D1995" s="17"/>
      <c r="E1995" s="17"/>
      <c r="F1995" s="17"/>
      <c r="G1995" s="17"/>
      <c r="H1995" s="17"/>
    </row>
    <row r="1996" spans="1:8" x14ac:dyDescent="0.2">
      <c r="A1996" s="16"/>
      <c r="B1996" s="16"/>
      <c r="C1996" s="17"/>
      <c r="D1996" s="17"/>
      <c r="E1996" s="17"/>
      <c r="F1996" s="17"/>
      <c r="G1996" s="17"/>
      <c r="H1996" s="17"/>
    </row>
    <row r="1997" spans="1:8" x14ac:dyDescent="0.2">
      <c r="A1997" s="16"/>
      <c r="B1997" s="16"/>
      <c r="C1997" s="17"/>
      <c r="D1997" s="17"/>
      <c r="E1997" s="17"/>
      <c r="F1997" s="17"/>
      <c r="G1997" s="17"/>
      <c r="H1997" s="17"/>
    </row>
    <row r="1998" spans="1:8" x14ac:dyDescent="0.2">
      <c r="A1998" s="16"/>
      <c r="B1998" s="16"/>
      <c r="C1998" s="17"/>
      <c r="D1998" s="17"/>
      <c r="E1998" s="17"/>
      <c r="F1998" s="17"/>
      <c r="G1998" s="17"/>
      <c r="H1998" s="17"/>
    </row>
    <row r="1999" spans="1:8" x14ac:dyDescent="0.2">
      <c r="A1999" s="16"/>
      <c r="B1999" s="16"/>
      <c r="C1999" s="17"/>
      <c r="D1999" s="17"/>
      <c r="E1999" s="17"/>
      <c r="F1999" s="17"/>
      <c r="G1999" s="17"/>
      <c r="H1999" s="17"/>
    </row>
    <row r="2000" spans="1:8" x14ac:dyDescent="0.2">
      <c r="A2000" s="16"/>
      <c r="B2000" s="16"/>
      <c r="C2000" s="17"/>
      <c r="D2000" s="17"/>
      <c r="E2000" s="17"/>
      <c r="F2000" s="17"/>
      <c r="G2000" s="17"/>
      <c r="H2000" s="17"/>
    </row>
    <row r="2001" spans="1:8" x14ac:dyDescent="0.2">
      <c r="A2001" s="16"/>
      <c r="B2001" s="16"/>
      <c r="C2001" s="17"/>
      <c r="D2001" s="17"/>
      <c r="E2001" s="17"/>
      <c r="F2001" s="17"/>
      <c r="G2001" s="17"/>
      <c r="H2001" s="17"/>
    </row>
    <row r="2002" spans="1:8" x14ac:dyDescent="0.2">
      <c r="A2002" s="16"/>
      <c r="B2002" s="16"/>
      <c r="C2002" s="17"/>
      <c r="D2002" s="17"/>
      <c r="E2002" s="17"/>
      <c r="F2002" s="17"/>
      <c r="G2002" s="17"/>
      <c r="H2002" s="17"/>
    </row>
    <row r="2003" spans="1:8" x14ac:dyDescent="0.2">
      <c r="A2003" s="16"/>
      <c r="B2003" s="16"/>
      <c r="C2003" s="17"/>
      <c r="D2003" s="17"/>
      <c r="E2003" s="17"/>
      <c r="F2003" s="17"/>
      <c r="G2003" s="17"/>
      <c r="H2003" s="17"/>
    </row>
    <row r="2004" spans="1:8" x14ac:dyDescent="0.2">
      <c r="A2004" s="16"/>
      <c r="B2004" s="16"/>
      <c r="C2004" s="17"/>
      <c r="D2004" s="17"/>
      <c r="E2004" s="17"/>
      <c r="F2004" s="17"/>
      <c r="G2004" s="17"/>
      <c r="H2004" s="17"/>
    </row>
    <row r="2005" spans="1:8" x14ac:dyDescent="0.2">
      <c r="A2005" s="16"/>
      <c r="B2005" s="16"/>
      <c r="C2005" s="17"/>
      <c r="D2005" s="17"/>
      <c r="E2005" s="17"/>
      <c r="F2005" s="17"/>
      <c r="G2005" s="17"/>
      <c r="H2005" s="17"/>
    </row>
    <row r="2006" spans="1:8" x14ac:dyDescent="0.2">
      <c r="A2006" s="16"/>
      <c r="B2006" s="16"/>
      <c r="C2006" s="17"/>
      <c r="D2006" s="17"/>
      <c r="E2006" s="17"/>
      <c r="F2006" s="17"/>
      <c r="G2006" s="17"/>
      <c r="H2006" s="17"/>
    </row>
    <row r="2007" spans="1:8" x14ac:dyDescent="0.2">
      <c r="A2007" s="16"/>
      <c r="B2007" s="16"/>
      <c r="C2007" s="17"/>
      <c r="D2007" s="17"/>
      <c r="E2007" s="17"/>
      <c r="F2007" s="17"/>
      <c r="G2007" s="17"/>
      <c r="H2007" s="17"/>
    </row>
    <row r="2008" spans="1:8" x14ac:dyDescent="0.2">
      <c r="A2008" s="16"/>
      <c r="B2008" s="16"/>
      <c r="C2008" s="17"/>
      <c r="D2008" s="17"/>
      <c r="E2008" s="17"/>
      <c r="F2008" s="17"/>
      <c r="G2008" s="17"/>
      <c r="H2008" s="17"/>
    </row>
    <row r="2009" spans="1:8" x14ac:dyDescent="0.2">
      <c r="A2009" s="16"/>
      <c r="B2009" s="16"/>
      <c r="C2009" s="17"/>
      <c r="D2009" s="17"/>
      <c r="E2009" s="17"/>
      <c r="F2009" s="17"/>
      <c r="G2009" s="17"/>
      <c r="H2009" s="17"/>
    </row>
    <row r="2010" spans="1:8" x14ac:dyDescent="0.2">
      <c r="A2010" s="16"/>
      <c r="B2010" s="16"/>
      <c r="C2010" s="17"/>
      <c r="D2010" s="17"/>
      <c r="E2010" s="17"/>
      <c r="F2010" s="17"/>
      <c r="G2010" s="17"/>
      <c r="H2010" s="17"/>
    </row>
    <row r="2011" spans="1:8" x14ac:dyDescent="0.2">
      <c r="A2011" s="16"/>
      <c r="B2011" s="16"/>
      <c r="C2011" s="17"/>
      <c r="D2011" s="17"/>
      <c r="E2011" s="17"/>
      <c r="F2011" s="17"/>
      <c r="G2011" s="17"/>
      <c r="H2011" s="17"/>
    </row>
    <row r="2012" spans="1:8" x14ac:dyDescent="0.2">
      <c r="A2012" s="16"/>
      <c r="B2012" s="16"/>
      <c r="C2012" s="17"/>
      <c r="D2012" s="17"/>
      <c r="E2012" s="17"/>
      <c r="F2012" s="17"/>
      <c r="G2012" s="17"/>
      <c r="H2012" s="17"/>
    </row>
    <row r="2013" spans="1:8" x14ac:dyDescent="0.2">
      <c r="A2013" s="16"/>
      <c r="B2013" s="16"/>
      <c r="C2013" s="17"/>
      <c r="D2013" s="17"/>
      <c r="E2013" s="17"/>
      <c r="F2013" s="17"/>
      <c r="G2013" s="17"/>
      <c r="H2013" s="17"/>
    </row>
    <row r="2014" spans="1:8" x14ac:dyDescent="0.2">
      <c r="A2014" s="16"/>
      <c r="B2014" s="16"/>
      <c r="C2014" s="17"/>
      <c r="D2014" s="17"/>
      <c r="E2014" s="17"/>
      <c r="F2014" s="17"/>
      <c r="G2014" s="17"/>
      <c r="H2014" s="17"/>
    </row>
    <row r="2015" spans="1:8" x14ac:dyDescent="0.2">
      <c r="A2015" s="16"/>
      <c r="B2015" s="16"/>
      <c r="C2015" s="17"/>
      <c r="D2015" s="17"/>
      <c r="E2015" s="17"/>
      <c r="F2015" s="17"/>
      <c r="G2015" s="17"/>
      <c r="H2015" s="17"/>
    </row>
    <row r="2016" spans="1:8" x14ac:dyDescent="0.2">
      <c r="A2016" s="16"/>
      <c r="B2016" s="16"/>
      <c r="C2016" s="17"/>
      <c r="D2016" s="17"/>
      <c r="E2016" s="17"/>
      <c r="F2016" s="17"/>
      <c r="G2016" s="17"/>
      <c r="H2016" s="17"/>
    </row>
    <row r="2017" spans="1:8" x14ac:dyDescent="0.2">
      <c r="A2017" s="16"/>
      <c r="B2017" s="16"/>
      <c r="C2017" s="17"/>
      <c r="D2017" s="17"/>
      <c r="E2017" s="17"/>
      <c r="F2017" s="17"/>
      <c r="G2017" s="17"/>
      <c r="H2017" s="17"/>
    </row>
    <row r="2018" spans="1:8" x14ac:dyDescent="0.2">
      <c r="A2018" s="16"/>
      <c r="B2018" s="16"/>
      <c r="C2018" s="17"/>
      <c r="D2018" s="17"/>
      <c r="E2018" s="17"/>
      <c r="F2018" s="17"/>
      <c r="G2018" s="17"/>
      <c r="H2018" s="17"/>
    </row>
    <row r="2019" spans="1:8" x14ac:dyDescent="0.2">
      <c r="A2019" s="16"/>
      <c r="B2019" s="16"/>
      <c r="C2019" s="17"/>
      <c r="D2019" s="17"/>
      <c r="E2019" s="17"/>
      <c r="F2019" s="17"/>
      <c r="G2019" s="17"/>
      <c r="H2019" s="17"/>
    </row>
    <row r="2020" spans="1:8" x14ac:dyDescent="0.2">
      <c r="A2020" s="16"/>
      <c r="B2020" s="16"/>
      <c r="C2020" s="17"/>
      <c r="D2020" s="17"/>
      <c r="E2020" s="17"/>
      <c r="F2020" s="17"/>
      <c r="G2020" s="17"/>
      <c r="H2020" s="17"/>
    </row>
    <row r="2021" spans="1:8" x14ac:dyDescent="0.2">
      <c r="A2021" s="16"/>
      <c r="B2021" s="16"/>
      <c r="C2021" s="17"/>
      <c r="D2021" s="17"/>
      <c r="E2021" s="17"/>
      <c r="F2021" s="17"/>
      <c r="G2021" s="17"/>
      <c r="H2021" s="17"/>
    </row>
    <row r="2022" spans="1:8" x14ac:dyDescent="0.2">
      <c r="A2022" s="16"/>
      <c r="B2022" s="16"/>
      <c r="C2022" s="17"/>
      <c r="D2022" s="17"/>
      <c r="E2022" s="17"/>
      <c r="F2022" s="17"/>
      <c r="G2022" s="17"/>
      <c r="H2022" s="17"/>
    </row>
    <row r="2023" spans="1:8" x14ac:dyDescent="0.2">
      <c r="A2023" s="16"/>
      <c r="B2023" s="16"/>
      <c r="C2023" s="17"/>
      <c r="D2023" s="17"/>
      <c r="E2023" s="17"/>
      <c r="F2023" s="17"/>
      <c r="G2023" s="17"/>
      <c r="H2023" s="17"/>
    </row>
    <row r="2024" spans="1:8" x14ac:dyDescent="0.2">
      <c r="A2024" s="16"/>
      <c r="B2024" s="16"/>
      <c r="C2024" s="17"/>
      <c r="D2024" s="17"/>
      <c r="E2024" s="17"/>
      <c r="F2024" s="17"/>
      <c r="G2024" s="17"/>
      <c r="H2024" s="17"/>
    </row>
    <row r="2025" spans="1:8" x14ac:dyDescent="0.2">
      <c r="A2025" s="16"/>
      <c r="B2025" s="16"/>
      <c r="C2025" s="17"/>
      <c r="D2025" s="17"/>
      <c r="E2025" s="17"/>
      <c r="F2025" s="17"/>
      <c r="G2025" s="17"/>
      <c r="H2025" s="17"/>
    </row>
    <row r="2026" spans="1:8" x14ac:dyDescent="0.2">
      <c r="A2026" s="16"/>
      <c r="B2026" s="16"/>
      <c r="C2026" s="17"/>
      <c r="D2026" s="17"/>
      <c r="E2026" s="17"/>
      <c r="F2026" s="17"/>
      <c r="G2026" s="17"/>
      <c r="H2026" s="17"/>
    </row>
    <row r="2027" spans="1:8" x14ac:dyDescent="0.2">
      <c r="A2027" s="16"/>
      <c r="B2027" s="16"/>
      <c r="C2027" s="17"/>
      <c r="D2027" s="17"/>
      <c r="E2027" s="17"/>
      <c r="F2027" s="17"/>
      <c r="G2027" s="17"/>
      <c r="H2027" s="17"/>
    </row>
    <row r="2028" spans="1:8" x14ac:dyDescent="0.2">
      <c r="A2028" s="16"/>
      <c r="B2028" s="16"/>
      <c r="C2028" s="17"/>
      <c r="D2028" s="17"/>
      <c r="E2028" s="17"/>
      <c r="F2028" s="17"/>
      <c r="G2028" s="17"/>
      <c r="H2028" s="17"/>
    </row>
    <row r="2029" spans="1:8" x14ac:dyDescent="0.2">
      <c r="A2029" s="16"/>
      <c r="B2029" s="16"/>
      <c r="C2029" s="17"/>
      <c r="D2029" s="17"/>
      <c r="E2029" s="17"/>
      <c r="F2029" s="17"/>
      <c r="G2029" s="17"/>
      <c r="H2029" s="17"/>
    </row>
    <row r="2030" spans="1:8" x14ac:dyDescent="0.2">
      <c r="A2030" s="16"/>
      <c r="B2030" s="16"/>
      <c r="C2030" s="17"/>
      <c r="D2030" s="17"/>
      <c r="E2030" s="17"/>
      <c r="F2030" s="17"/>
      <c r="G2030" s="17"/>
      <c r="H2030" s="17"/>
    </row>
    <row r="2031" spans="1:8" x14ac:dyDescent="0.2">
      <c r="A2031" s="16"/>
      <c r="B2031" s="16"/>
      <c r="C2031" s="17"/>
      <c r="D2031" s="17"/>
      <c r="E2031" s="17"/>
      <c r="F2031" s="17"/>
      <c r="G2031" s="17"/>
      <c r="H2031" s="17"/>
    </row>
    <row r="2032" spans="1:8" x14ac:dyDescent="0.2">
      <c r="A2032" s="16"/>
      <c r="B2032" s="16"/>
      <c r="C2032" s="17"/>
      <c r="D2032" s="17"/>
      <c r="E2032" s="17"/>
      <c r="F2032" s="17"/>
      <c r="G2032" s="17"/>
      <c r="H2032" s="17"/>
    </row>
    <row r="2033" spans="1:8" x14ac:dyDescent="0.2">
      <c r="A2033" s="16"/>
      <c r="B2033" s="16"/>
      <c r="C2033" s="17"/>
      <c r="D2033" s="17"/>
      <c r="E2033" s="17"/>
      <c r="F2033" s="17"/>
      <c r="G2033" s="17"/>
      <c r="H2033" s="17"/>
    </row>
    <row r="2034" spans="1:8" x14ac:dyDescent="0.2">
      <c r="A2034" s="16"/>
      <c r="B2034" s="16"/>
      <c r="C2034" s="17"/>
      <c r="D2034" s="17"/>
      <c r="E2034" s="17"/>
      <c r="F2034" s="17"/>
      <c r="G2034" s="17"/>
      <c r="H2034" s="17"/>
    </row>
    <row r="2035" spans="1:8" x14ac:dyDescent="0.2">
      <c r="A2035" s="16"/>
      <c r="B2035" s="16"/>
      <c r="C2035" s="17"/>
      <c r="D2035" s="17"/>
      <c r="E2035" s="17"/>
      <c r="F2035" s="17"/>
      <c r="G2035" s="17"/>
      <c r="H2035" s="17"/>
    </row>
    <row r="2036" spans="1:8" x14ac:dyDescent="0.2">
      <c r="A2036" s="16"/>
      <c r="B2036" s="16"/>
      <c r="C2036" s="17"/>
      <c r="D2036" s="17"/>
      <c r="E2036" s="17"/>
      <c r="F2036" s="17"/>
      <c r="G2036" s="17"/>
      <c r="H2036" s="17"/>
    </row>
    <row r="2037" spans="1:8" x14ac:dyDescent="0.2">
      <c r="A2037" s="16"/>
      <c r="B2037" s="16"/>
      <c r="C2037" s="17"/>
      <c r="D2037" s="17"/>
      <c r="E2037" s="17"/>
      <c r="F2037" s="17"/>
      <c r="G2037" s="17"/>
      <c r="H2037" s="17"/>
    </row>
    <row r="2038" spans="1:8" x14ac:dyDescent="0.2">
      <c r="A2038" s="16"/>
      <c r="B2038" s="16"/>
      <c r="C2038" s="17"/>
      <c r="D2038" s="17"/>
      <c r="E2038" s="17"/>
      <c r="F2038" s="17"/>
      <c r="G2038" s="17"/>
      <c r="H2038" s="17"/>
    </row>
    <row r="2039" spans="1:8" x14ac:dyDescent="0.2">
      <c r="A2039" s="16"/>
      <c r="B2039" s="16"/>
      <c r="C2039" s="17"/>
      <c r="D2039" s="17"/>
      <c r="E2039" s="17"/>
      <c r="F2039" s="17"/>
      <c r="G2039" s="17"/>
      <c r="H2039" s="17"/>
    </row>
    <row r="2040" spans="1:8" x14ac:dyDescent="0.2">
      <c r="A2040" s="16"/>
      <c r="B2040" s="16"/>
      <c r="C2040" s="17"/>
      <c r="D2040" s="17"/>
      <c r="E2040" s="17"/>
      <c r="F2040" s="17"/>
      <c r="G2040" s="17"/>
      <c r="H2040" s="17"/>
    </row>
    <row r="2041" spans="1:8" x14ac:dyDescent="0.2">
      <c r="A2041" s="16"/>
      <c r="B2041" s="16"/>
      <c r="C2041" s="17"/>
      <c r="D2041" s="17"/>
      <c r="E2041" s="17"/>
      <c r="F2041" s="17"/>
      <c r="G2041" s="17"/>
      <c r="H2041" s="17"/>
    </row>
    <row r="2042" spans="1:8" x14ac:dyDescent="0.2">
      <c r="A2042" s="16"/>
      <c r="B2042" s="16"/>
      <c r="C2042" s="17"/>
      <c r="D2042" s="17"/>
      <c r="E2042" s="17"/>
      <c r="F2042" s="17"/>
      <c r="G2042" s="17"/>
      <c r="H2042" s="17"/>
    </row>
    <row r="2043" spans="1:8" x14ac:dyDescent="0.2">
      <c r="A2043" s="16"/>
      <c r="B2043" s="16"/>
      <c r="C2043" s="17"/>
      <c r="D2043" s="17"/>
      <c r="E2043" s="17"/>
      <c r="F2043" s="17"/>
      <c r="G2043" s="17"/>
      <c r="H2043" s="17"/>
    </row>
    <row r="2044" spans="1:8" x14ac:dyDescent="0.2">
      <c r="A2044" s="16"/>
      <c r="B2044" s="16"/>
      <c r="C2044" s="17"/>
      <c r="D2044" s="17"/>
      <c r="E2044" s="17"/>
      <c r="F2044" s="17"/>
      <c r="G2044" s="17"/>
      <c r="H2044" s="17"/>
    </row>
    <row r="2045" spans="1:8" x14ac:dyDescent="0.2">
      <c r="A2045" s="16"/>
      <c r="B2045" s="16"/>
      <c r="C2045" s="17"/>
      <c r="D2045" s="17"/>
      <c r="E2045" s="17"/>
      <c r="F2045" s="17"/>
      <c r="G2045" s="17"/>
      <c r="H2045" s="17"/>
    </row>
    <row r="2046" spans="1:8" x14ac:dyDescent="0.2">
      <c r="A2046" s="16"/>
      <c r="B2046" s="16"/>
      <c r="C2046" s="17"/>
      <c r="D2046" s="17"/>
      <c r="E2046" s="17"/>
      <c r="F2046" s="17"/>
      <c r="G2046" s="17"/>
      <c r="H2046" s="17"/>
    </row>
    <row r="2047" spans="1:8" x14ac:dyDescent="0.2">
      <c r="A2047" s="16"/>
      <c r="B2047" s="16"/>
      <c r="C2047" s="17"/>
      <c r="D2047" s="17"/>
      <c r="E2047" s="17"/>
      <c r="F2047" s="17"/>
      <c r="G2047" s="17"/>
      <c r="H2047" s="17"/>
    </row>
    <row r="2048" spans="1:8" x14ac:dyDescent="0.2">
      <c r="A2048" s="16"/>
      <c r="B2048" s="16"/>
      <c r="C2048" s="17"/>
      <c r="D2048" s="17"/>
      <c r="E2048" s="17"/>
      <c r="F2048" s="17"/>
      <c r="G2048" s="17"/>
      <c r="H2048" s="17"/>
    </row>
    <row r="2049" spans="1:8" x14ac:dyDescent="0.2">
      <c r="A2049" s="16"/>
      <c r="B2049" s="16"/>
      <c r="C2049" s="17"/>
      <c r="D2049" s="17"/>
      <c r="E2049" s="17"/>
      <c r="F2049" s="17"/>
      <c r="G2049" s="17"/>
      <c r="H2049" s="17"/>
    </row>
    <row r="2050" spans="1:8" x14ac:dyDescent="0.2">
      <c r="A2050" s="16"/>
      <c r="B2050" s="16"/>
      <c r="C2050" s="17"/>
      <c r="D2050" s="17"/>
      <c r="E2050" s="17"/>
      <c r="F2050" s="17"/>
      <c r="G2050" s="17"/>
      <c r="H2050" s="17"/>
    </row>
    <row r="2051" spans="1:8" x14ac:dyDescent="0.2">
      <c r="A2051" s="16"/>
      <c r="B2051" s="16"/>
      <c r="C2051" s="17"/>
      <c r="D2051" s="17"/>
      <c r="E2051" s="17"/>
      <c r="F2051" s="17"/>
      <c r="G2051" s="17"/>
      <c r="H2051" s="17"/>
    </row>
    <row r="2052" spans="1:8" x14ac:dyDescent="0.2">
      <c r="A2052" s="16"/>
      <c r="B2052" s="16"/>
      <c r="C2052" s="17"/>
      <c r="D2052" s="17"/>
      <c r="E2052" s="17"/>
      <c r="F2052" s="17"/>
      <c r="G2052" s="17"/>
      <c r="H2052" s="17"/>
    </row>
    <row r="2053" spans="1:8" x14ac:dyDescent="0.2">
      <c r="A2053" s="16"/>
      <c r="B2053" s="16"/>
      <c r="C2053" s="17"/>
      <c r="D2053" s="17"/>
      <c r="E2053" s="17"/>
      <c r="F2053" s="17"/>
      <c r="G2053" s="17"/>
      <c r="H2053" s="17"/>
    </row>
    <row r="2054" spans="1:8" x14ac:dyDescent="0.2">
      <c r="A2054" s="16"/>
      <c r="B2054" s="16"/>
      <c r="C2054" s="17"/>
      <c r="D2054" s="17"/>
      <c r="E2054" s="17"/>
      <c r="F2054" s="17"/>
      <c r="G2054" s="17"/>
      <c r="H2054" s="17"/>
    </row>
    <row r="2055" spans="1:8" x14ac:dyDescent="0.2">
      <c r="A2055" s="16"/>
      <c r="B2055" s="16"/>
      <c r="C2055" s="17"/>
      <c r="D2055" s="17"/>
      <c r="E2055" s="17"/>
      <c r="F2055" s="17"/>
      <c r="G2055" s="17"/>
      <c r="H2055" s="17"/>
    </row>
    <row r="2056" spans="1:8" x14ac:dyDescent="0.2">
      <c r="A2056" s="16"/>
      <c r="B2056" s="16"/>
      <c r="C2056" s="17"/>
      <c r="D2056" s="17"/>
      <c r="E2056" s="17"/>
      <c r="F2056" s="17"/>
      <c r="G2056" s="17"/>
      <c r="H2056" s="17"/>
    </row>
    <row r="2057" spans="1:8" x14ac:dyDescent="0.2">
      <c r="A2057" s="16"/>
      <c r="B2057" s="16"/>
      <c r="C2057" s="17"/>
      <c r="D2057" s="17"/>
      <c r="E2057" s="17"/>
      <c r="F2057" s="17"/>
      <c r="G2057" s="17"/>
      <c r="H2057" s="17"/>
    </row>
    <row r="2058" spans="1:8" x14ac:dyDescent="0.2">
      <c r="A2058" s="16"/>
      <c r="B2058" s="16"/>
      <c r="C2058" s="17"/>
      <c r="D2058" s="17"/>
      <c r="E2058" s="17"/>
      <c r="F2058" s="17"/>
      <c r="G2058" s="17"/>
      <c r="H2058" s="17"/>
    </row>
    <row r="2059" spans="1:8" x14ac:dyDescent="0.2">
      <c r="A2059" s="16"/>
      <c r="B2059" s="16"/>
      <c r="C2059" s="17"/>
      <c r="D2059" s="17"/>
      <c r="E2059" s="17"/>
      <c r="F2059" s="17"/>
      <c r="G2059" s="17"/>
      <c r="H2059" s="17"/>
    </row>
    <row r="2060" spans="1:8" x14ac:dyDescent="0.2">
      <c r="A2060" s="16"/>
      <c r="B2060" s="16"/>
      <c r="C2060" s="17"/>
      <c r="D2060" s="17"/>
      <c r="E2060" s="17"/>
      <c r="F2060" s="17"/>
      <c r="G2060" s="17"/>
      <c r="H2060" s="17"/>
    </row>
    <row r="2061" spans="1:8" x14ac:dyDescent="0.2">
      <c r="A2061" s="16"/>
      <c r="B2061" s="16"/>
      <c r="C2061" s="17"/>
      <c r="D2061" s="17"/>
      <c r="E2061" s="17"/>
      <c r="F2061" s="17"/>
      <c r="G2061" s="17"/>
      <c r="H2061" s="17"/>
    </row>
    <row r="2062" spans="1:8" x14ac:dyDescent="0.2">
      <c r="A2062" s="16"/>
      <c r="B2062" s="16"/>
      <c r="C2062" s="17"/>
      <c r="D2062" s="17"/>
      <c r="E2062" s="17"/>
      <c r="F2062" s="17"/>
      <c r="G2062" s="17"/>
      <c r="H2062" s="17"/>
    </row>
    <row r="2063" spans="1:8" x14ac:dyDescent="0.2">
      <c r="A2063" s="16"/>
      <c r="B2063" s="16"/>
      <c r="C2063" s="17"/>
      <c r="D2063" s="17"/>
      <c r="E2063" s="17"/>
      <c r="F2063" s="17"/>
      <c r="G2063" s="17"/>
      <c r="H2063" s="17"/>
    </row>
    <row r="2064" spans="1:8" x14ac:dyDescent="0.2">
      <c r="A2064" s="16"/>
      <c r="B2064" s="16"/>
      <c r="C2064" s="17"/>
      <c r="D2064" s="17"/>
      <c r="E2064" s="17"/>
      <c r="F2064" s="17"/>
      <c r="G2064" s="17"/>
      <c r="H2064" s="17"/>
    </row>
    <row r="2065" spans="1:8" x14ac:dyDescent="0.2">
      <c r="A2065" s="16"/>
      <c r="B2065" s="16"/>
      <c r="C2065" s="17"/>
      <c r="D2065" s="17"/>
      <c r="E2065" s="17"/>
      <c r="F2065" s="17"/>
      <c r="G2065" s="17"/>
      <c r="H2065" s="17"/>
    </row>
    <row r="2066" spans="1:8" x14ac:dyDescent="0.2">
      <c r="A2066" s="16"/>
      <c r="B2066" s="16"/>
      <c r="C2066" s="17"/>
      <c r="D2066" s="17"/>
      <c r="E2066" s="17"/>
      <c r="F2066" s="17"/>
      <c r="G2066" s="17"/>
      <c r="H2066" s="17"/>
    </row>
    <row r="2067" spans="1:8" x14ac:dyDescent="0.2">
      <c r="A2067" s="16"/>
      <c r="B2067" s="16"/>
      <c r="C2067" s="17"/>
      <c r="D2067" s="17"/>
      <c r="E2067" s="17"/>
      <c r="F2067" s="17"/>
      <c r="G2067" s="17"/>
      <c r="H2067" s="17"/>
    </row>
    <row r="2068" spans="1:8" x14ac:dyDescent="0.2">
      <c r="A2068" s="16"/>
      <c r="B2068" s="16"/>
      <c r="C2068" s="17"/>
      <c r="D2068" s="17"/>
      <c r="E2068" s="17"/>
      <c r="F2068" s="17"/>
      <c r="G2068" s="17"/>
      <c r="H2068" s="17"/>
    </row>
    <row r="2069" spans="1:8" x14ac:dyDescent="0.2">
      <c r="A2069" s="16"/>
      <c r="B2069" s="16"/>
      <c r="C2069" s="17"/>
      <c r="D2069" s="17"/>
      <c r="E2069" s="17"/>
      <c r="F2069" s="17"/>
      <c r="G2069" s="17"/>
      <c r="H2069" s="17"/>
    </row>
    <row r="2070" spans="1:8" x14ac:dyDescent="0.2">
      <c r="A2070" s="16"/>
      <c r="B2070" s="16"/>
      <c r="C2070" s="17"/>
      <c r="D2070" s="17"/>
      <c r="E2070" s="17"/>
      <c r="F2070" s="17"/>
      <c r="G2070" s="17"/>
      <c r="H2070" s="17"/>
    </row>
    <row r="2071" spans="1:8" x14ac:dyDescent="0.2">
      <c r="A2071" s="16"/>
      <c r="B2071" s="16"/>
      <c r="C2071" s="17"/>
      <c r="D2071" s="17"/>
      <c r="E2071" s="17"/>
      <c r="F2071" s="17"/>
      <c r="G2071" s="17"/>
      <c r="H2071" s="17"/>
    </row>
    <row r="2072" spans="1:8" x14ac:dyDescent="0.2">
      <c r="A2072" s="16"/>
      <c r="B2072" s="16"/>
      <c r="C2072" s="17"/>
      <c r="D2072" s="17"/>
      <c r="E2072" s="17"/>
      <c r="F2072" s="17"/>
      <c r="G2072" s="17"/>
      <c r="H2072" s="17"/>
    </row>
    <row r="2073" spans="1:8" x14ac:dyDescent="0.2">
      <c r="A2073" s="16"/>
      <c r="B2073" s="16"/>
      <c r="C2073" s="17"/>
      <c r="D2073" s="17"/>
      <c r="E2073" s="17"/>
      <c r="F2073" s="17"/>
      <c r="G2073" s="17"/>
      <c r="H2073" s="17"/>
    </row>
    <row r="2074" spans="1:8" x14ac:dyDescent="0.2">
      <c r="A2074" s="16"/>
      <c r="B2074" s="16"/>
      <c r="C2074" s="17"/>
      <c r="D2074" s="17"/>
      <c r="E2074" s="17"/>
      <c r="F2074" s="17"/>
      <c r="G2074" s="17"/>
      <c r="H2074" s="17"/>
    </row>
    <row r="2075" spans="1:8" x14ac:dyDescent="0.2">
      <c r="A2075" s="16"/>
      <c r="B2075" s="16"/>
      <c r="C2075" s="17"/>
      <c r="D2075" s="17"/>
      <c r="E2075" s="17"/>
      <c r="F2075" s="17"/>
      <c r="G2075" s="17"/>
      <c r="H2075" s="17"/>
    </row>
    <row r="2076" spans="1:8" x14ac:dyDescent="0.2">
      <c r="A2076" s="16"/>
      <c r="B2076" s="16"/>
      <c r="C2076" s="17"/>
      <c r="D2076" s="17"/>
      <c r="E2076" s="17"/>
      <c r="F2076" s="17"/>
      <c r="G2076" s="17"/>
      <c r="H2076" s="17"/>
    </row>
    <row r="2077" spans="1:8" x14ac:dyDescent="0.2">
      <c r="A2077" s="16"/>
      <c r="B2077" s="16"/>
      <c r="C2077" s="17"/>
      <c r="D2077" s="17"/>
      <c r="E2077" s="17"/>
      <c r="F2077" s="17"/>
      <c r="G2077" s="17"/>
      <c r="H2077" s="17"/>
    </row>
    <row r="2078" spans="1:8" x14ac:dyDescent="0.2">
      <c r="A2078" s="16"/>
      <c r="B2078" s="16"/>
      <c r="C2078" s="17"/>
      <c r="D2078" s="17"/>
      <c r="E2078" s="17"/>
      <c r="F2078" s="17"/>
      <c r="G2078" s="17"/>
      <c r="H2078" s="17"/>
    </row>
    <row r="2079" spans="1:8" x14ac:dyDescent="0.2">
      <c r="A2079" s="16"/>
      <c r="B2079" s="16"/>
      <c r="C2079" s="17"/>
      <c r="D2079" s="17"/>
      <c r="E2079" s="17"/>
      <c r="F2079" s="17"/>
      <c r="G2079" s="17"/>
      <c r="H2079" s="17"/>
    </row>
    <row r="2080" spans="1:8" x14ac:dyDescent="0.2">
      <c r="A2080" s="16"/>
      <c r="B2080" s="16"/>
      <c r="C2080" s="17"/>
      <c r="D2080" s="17"/>
      <c r="E2080" s="17"/>
      <c r="F2080" s="17"/>
      <c r="G2080" s="17"/>
      <c r="H2080" s="17"/>
    </row>
    <row r="2081" spans="1:8" x14ac:dyDescent="0.2">
      <c r="A2081" s="16"/>
      <c r="B2081" s="16"/>
      <c r="C2081" s="17"/>
      <c r="D2081" s="17"/>
      <c r="E2081" s="17"/>
      <c r="F2081" s="17"/>
      <c r="G2081" s="17"/>
      <c r="H2081" s="17"/>
    </row>
    <row r="2082" spans="1:8" x14ac:dyDescent="0.2">
      <c r="A2082" s="16"/>
      <c r="B2082" s="16"/>
      <c r="C2082" s="17"/>
      <c r="D2082" s="17"/>
      <c r="E2082" s="17"/>
      <c r="F2082" s="17"/>
      <c r="G2082" s="17"/>
      <c r="H2082" s="17"/>
    </row>
    <row r="2083" spans="1:8" x14ac:dyDescent="0.2">
      <c r="A2083" s="16"/>
      <c r="B2083" s="16"/>
      <c r="C2083" s="17"/>
      <c r="D2083" s="17"/>
      <c r="E2083" s="17"/>
      <c r="F2083" s="17"/>
      <c r="G2083" s="17"/>
      <c r="H2083" s="17"/>
    </row>
    <row r="2084" spans="1:8" x14ac:dyDescent="0.2">
      <c r="A2084" s="16"/>
      <c r="B2084" s="16"/>
      <c r="C2084" s="17"/>
      <c r="D2084" s="17"/>
      <c r="E2084" s="17"/>
      <c r="F2084" s="17"/>
      <c r="G2084" s="17"/>
      <c r="H2084" s="17"/>
    </row>
    <row r="2085" spans="1:8" x14ac:dyDescent="0.2">
      <c r="A2085" s="16"/>
      <c r="B2085" s="16"/>
      <c r="C2085" s="17"/>
      <c r="D2085" s="17"/>
      <c r="E2085" s="17"/>
      <c r="F2085" s="17"/>
      <c r="G2085" s="17"/>
      <c r="H2085" s="17"/>
    </row>
    <row r="2086" spans="1:8" x14ac:dyDescent="0.2">
      <c r="A2086" s="16"/>
      <c r="B2086" s="16"/>
      <c r="C2086" s="17"/>
      <c r="D2086" s="17"/>
      <c r="E2086" s="17"/>
      <c r="F2086" s="17"/>
      <c r="G2086" s="17"/>
      <c r="H2086" s="17"/>
    </row>
    <row r="2087" spans="1:8" x14ac:dyDescent="0.2">
      <c r="A2087" s="16"/>
      <c r="B2087" s="16"/>
      <c r="C2087" s="17"/>
      <c r="D2087" s="17"/>
      <c r="E2087" s="17"/>
      <c r="F2087" s="17"/>
      <c r="G2087" s="17"/>
      <c r="H2087" s="17"/>
    </row>
    <row r="2088" spans="1:8" x14ac:dyDescent="0.2">
      <c r="A2088" s="16"/>
      <c r="B2088" s="16"/>
      <c r="C2088" s="17"/>
      <c r="D2088" s="17"/>
      <c r="E2088" s="17"/>
      <c r="F2088" s="17"/>
      <c r="G2088" s="17"/>
      <c r="H2088" s="17"/>
    </row>
    <row r="2089" spans="1:8" x14ac:dyDescent="0.2">
      <c r="A2089" s="16"/>
      <c r="B2089" s="16"/>
      <c r="C2089" s="17"/>
      <c r="D2089" s="17"/>
      <c r="E2089" s="17"/>
      <c r="F2089" s="17"/>
      <c r="G2089" s="17"/>
      <c r="H2089" s="17"/>
    </row>
    <row r="2090" spans="1:8" x14ac:dyDescent="0.2">
      <c r="A2090" s="16"/>
      <c r="B2090" s="16"/>
      <c r="C2090" s="17"/>
      <c r="D2090" s="17"/>
      <c r="E2090" s="17"/>
      <c r="F2090" s="17"/>
      <c r="G2090" s="17"/>
      <c r="H2090" s="17"/>
    </row>
    <row r="2091" spans="1:8" x14ac:dyDescent="0.2">
      <c r="A2091" s="16"/>
      <c r="B2091" s="16"/>
      <c r="C2091" s="17"/>
      <c r="D2091" s="17"/>
      <c r="E2091" s="17"/>
      <c r="F2091" s="17"/>
      <c r="G2091" s="17"/>
      <c r="H2091" s="17"/>
    </row>
    <row r="2092" spans="1:8" x14ac:dyDescent="0.2">
      <c r="A2092" s="16"/>
      <c r="B2092" s="16"/>
      <c r="C2092" s="17"/>
      <c r="D2092" s="17"/>
      <c r="E2092" s="17"/>
      <c r="F2092" s="17"/>
      <c r="G2092" s="17"/>
      <c r="H2092" s="17"/>
    </row>
    <row r="2093" spans="1:8" x14ac:dyDescent="0.2">
      <c r="A2093" s="16"/>
      <c r="B2093" s="16"/>
      <c r="C2093" s="17"/>
      <c r="D2093" s="17"/>
      <c r="E2093" s="17"/>
      <c r="F2093" s="17"/>
      <c r="G2093" s="17"/>
      <c r="H2093" s="17"/>
    </row>
    <row r="2094" spans="1:8" x14ac:dyDescent="0.2">
      <c r="A2094" s="16"/>
      <c r="B2094" s="16"/>
      <c r="C2094" s="17"/>
      <c r="D2094" s="17"/>
      <c r="E2094" s="17"/>
      <c r="F2094" s="17"/>
      <c r="G2094" s="17"/>
      <c r="H2094" s="17"/>
    </row>
    <row r="2095" spans="1:8" x14ac:dyDescent="0.2">
      <c r="A2095" s="16"/>
      <c r="B2095" s="16"/>
      <c r="C2095" s="17"/>
      <c r="D2095" s="17"/>
      <c r="E2095" s="17"/>
      <c r="F2095" s="17"/>
      <c r="G2095" s="17"/>
      <c r="H2095" s="17"/>
    </row>
    <row r="2096" spans="1:8" x14ac:dyDescent="0.2">
      <c r="A2096" s="16"/>
      <c r="B2096" s="16"/>
      <c r="C2096" s="17"/>
      <c r="D2096" s="17"/>
      <c r="E2096" s="17"/>
      <c r="F2096" s="17"/>
      <c r="G2096" s="17"/>
      <c r="H2096" s="17"/>
    </row>
    <row r="2097" spans="1:8" x14ac:dyDescent="0.2">
      <c r="A2097" s="16"/>
      <c r="B2097" s="16"/>
      <c r="C2097" s="17"/>
      <c r="D2097" s="17"/>
      <c r="E2097" s="17"/>
      <c r="F2097" s="17"/>
      <c r="G2097" s="17"/>
      <c r="H2097" s="17"/>
    </row>
    <row r="2098" spans="1:8" x14ac:dyDescent="0.2">
      <c r="A2098" s="16"/>
      <c r="B2098" s="16"/>
      <c r="C2098" s="17"/>
      <c r="D2098" s="17"/>
      <c r="E2098" s="17"/>
      <c r="F2098" s="17"/>
      <c r="G2098" s="17"/>
      <c r="H2098" s="17"/>
    </row>
    <row r="2099" spans="1:8" x14ac:dyDescent="0.2">
      <c r="A2099" s="16"/>
      <c r="B2099" s="16"/>
      <c r="C2099" s="17"/>
      <c r="D2099" s="17"/>
      <c r="E2099" s="17"/>
      <c r="F2099" s="17"/>
      <c r="G2099" s="17"/>
      <c r="H2099" s="17"/>
    </row>
    <row r="2100" spans="1:8" x14ac:dyDescent="0.2">
      <c r="A2100" s="16"/>
      <c r="B2100" s="16"/>
      <c r="C2100" s="17"/>
      <c r="D2100" s="17"/>
      <c r="E2100" s="17"/>
      <c r="F2100" s="17"/>
      <c r="G2100" s="17"/>
      <c r="H2100" s="17"/>
    </row>
    <row r="2101" spans="1:8" x14ac:dyDescent="0.2">
      <c r="A2101" s="16"/>
      <c r="B2101" s="16"/>
      <c r="C2101" s="17"/>
      <c r="D2101" s="17"/>
      <c r="E2101" s="17"/>
      <c r="F2101" s="17"/>
      <c r="G2101" s="17"/>
      <c r="H2101" s="17"/>
    </row>
    <row r="2102" spans="1:8" x14ac:dyDescent="0.2">
      <c r="A2102" s="16"/>
      <c r="B2102" s="16"/>
      <c r="C2102" s="17"/>
      <c r="D2102" s="17"/>
      <c r="E2102" s="17"/>
      <c r="F2102" s="17"/>
      <c r="G2102" s="17"/>
      <c r="H2102" s="17"/>
    </row>
    <row r="2103" spans="1:8" x14ac:dyDescent="0.2">
      <c r="A2103" s="16"/>
      <c r="B2103" s="16"/>
      <c r="C2103" s="17"/>
      <c r="D2103" s="17"/>
      <c r="E2103" s="17"/>
      <c r="F2103" s="17"/>
      <c r="G2103" s="17"/>
      <c r="H2103" s="17"/>
    </row>
    <row r="2104" spans="1:8" x14ac:dyDescent="0.2">
      <c r="A2104" s="16"/>
      <c r="B2104" s="16"/>
      <c r="C2104" s="17"/>
      <c r="D2104" s="17"/>
      <c r="E2104" s="17"/>
      <c r="F2104" s="17"/>
      <c r="G2104" s="17"/>
      <c r="H2104" s="17"/>
    </row>
    <row r="2105" spans="1:8" x14ac:dyDescent="0.2">
      <c r="A2105" s="16"/>
      <c r="B2105" s="16"/>
      <c r="C2105" s="17"/>
      <c r="D2105" s="17"/>
      <c r="E2105" s="17"/>
      <c r="F2105" s="17"/>
      <c r="G2105" s="17"/>
      <c r="H2105" s="17"/>
    </row>
    <row r="2106" spans="1:8" x14ac:dyDescent="0.2">
      <c r="A2106" s="16"/>
      <c r="B2106" s="16"/>
      <c r="C2106" s="17"/>
      <c r="D2106" s="17"/>
      <c r="E2106" s="17"/>
      <c r="F2106" s="17"/>
      <c r="G2106" s="17"/>
      <c r="H2106" s="17"/>
    </row>
    <row r="2107" spans="1:8" x14ac:dyDescent="0.2">
      <c r="A2107" s="16"/>
      <c r="B2107" s="16"/>
      <c r="C2107" s="17"/>
      <c r="D2107" s="17"/>
      <c r="E2107" s="17"/>
      <c r="F2107" s="17"/>
      <c r="G2107" s="17"/>
      <c r="H2107" s="17"/>
    </row>
    <row r="2108" spans="1:8" x14ac:dyDescent="0.2">
      <c r="A2108" s="16"/>
      <c r="B2108" s="16"/>
      <c r="C2108" s="17"/>
      <c r="D2108" s="17"/>
      <c r="E2108" s="17"/>
      <c r="F2108" s="17"/>
      <c r="G2108" s="17"/>
      <c r="H2108" s="17"/>
    </row>
    <row r="2109" spans="1:8" x14ac:dyDescent="0.2">
      <c r="A2109" s="16"/>
      <c r="B2109" s="16"/>
      <c r="C2109" s="17"/>
      <c r="D2109" s="17"/>
      <c r="E2109" s="17"/>
      <c r="F2109" s="17"/>
      <c r="G2109" s="17"/>
      <c r="H2109" s="17"/>
    </row>
    <row r="2110" spans="1:8" x14ac:dyDescent="0.2">
      <c r="A2110" s="16"/>
      <c r="B2110" s="16"/>
      <c r="C2110" s="17"/>
      <c r="D2110" s="17"/>
      <c r="E2110" s="17"/>
      <c r="F2110" s="17"/>
      <c r="G2110" s="17"/>
      <c r="H2110" s="17"/>
    </row>
    <row r="2111" spans="1:8" x14ac:dyDescent="0.2">
      <c r="A2111" s="16"/>
      <c r="B2111" s="16"/>
      <c r="C2111" s="17"/>
      <c r="D2111" s="17"/>
      <c r="E2111" s="17"/>
      <c r="F2111" s="17"/>
      <c r="G2111" s="17"/>
      <c r="H2111" s="17"/>
    </row>
    <row r="2112" spans="1:8" x14ac:dyDescent="0.2">
      <c r="A2112" s="16"/>
      <c r="B2112" s="16"/>
      <c r="C2112" s="17"/>
      <c r="D2112" s="17"/>
      <c r="E2112" s="17"/>
      <c r="F2112" s="17"/>
      <c r="G2112" s="17"/>
      <c r="H2112" s="17"/>
    </row>
    <row r="2113" spans="1:8" x14ac:dyDescent="0.2">
      <c r="A2113" s="16"/>
      <c r="B2113" s="16"/>
      <c r="C2113" s="17"/>
      <c r="D2113" s="17"/>
      <c r="E2113" s="17"/>
      <c r="F2113" s="17"/>
      <c r="G2113" s="17"/>
      <c r="H2113" s="17"/>
    </row>
    <row r="2114" spans="1:8" x14ac:dyDescent="0.2">
      <c r="A2114" s="16"/>
      <c r="B2114" s="16"/>
      <c r="C2114" s="17"/>
      <c r="D2114" s="17"/>
      <c r="E2114" s="17"/>
      <c r="F2114" s="17"/>
      <c r="G2114" s="17"/>
      <c r="H2114" s="17"/>
    </row>
    <row r="2115" spans="1:8" x14ac:dyDescent="0.2">
      <c r="A2115" s="16"/>
      <c r="B2115" s="16"/>
      <c r="C2115" s="17"/>
      <c r="D2115" s="17"/>
      <c r="E2115" s="17"/>
      <c r="F2115" s="17"/>
      <c r="G2115" s="17"/>
      <c r="H2115" s="17"/>
    </row>
    <row r="2116" spans="1:8" x14ac:dyDescent="0.2">
      <c r="A2116" s="16"/>
      <c r="B2116" s="16"/>
      <c r="C2116" s="17"/>
      <c r="D2116" s="17"/>
      <c r="E2116" s="17"/>
      <c r="F2116" s="17"/>
      <c r="G2116" s="17"/>
      <c r="H2116" s="17"/>
    </row>
    <row r="2117" spans="1:8" x14ac:dyDescent="0.2">
      <c r="A2117" s="16"/>
      <c r="B2117" s="16"/>
      <c r="C2117" s="17"/>
      <c r="D2117" s="17"/>
      <c r="E2117" s="17"/>
      <c r="F2117" s="17"/>
      <c r="G2117" s="17"/>
      <c r="H2117" s="17"/>
    </row>
    <row r="2118" spans="1:8" x14ac:dyDescent="0.2">
      <c r="A2118" s="16"/>
      <c r="B2118" s="16"/>
      <c r="C2118" s="17"/>
      <c r="D2118" s="17"/>
      <c r="E2118" s="17"/>
      <c r="F2118" s="17"/>
      <c r="G2118" s="17"/>
      <c r="H2118" s="17"/>
    </row>
    <row r="2119" spans="1:8" x14ac:dyDescent="0.2">
      <c r="A2119" s="16"/>
      <c r="B2119" s="16"/>
      <c r="C2119" s="17"/>
      <c r="D2119" s="17"/>
      <c r="E2119" s="17"/>
      <c r="F2119" s="17"/>
      <c r="G2119" s="17"/>
      <c r="H2119" s="17"/>
    </row>
    <row r="2120" spans="1:8" x14ac:dyDescent="0.2">
      <c r="A2120" s="16"/>
      <c r="B2120" s="16"/>
      <c r="C2120" s="17"/>
      <c r="D2120" s="17"/>
      <c r="E2120" s="17"/>
      <c r="F2120" s="17"/>
      <c r="G2120" s="17"/>
      <c r="H2120" s="17"/>
    </row>
    <row r="2121" spans="1:8" x14ac:dyDescent="0.2">
      <c r="A2121" s="16"/>
      <c r="B2121" s="16"/>
      <c r="C2121" s="17"/>
      <c r="D2121" s="17"/>
      <c r="E2121" s="17"/>
      <c r="F2121" s="17"/>
      <c r="G2121" s="17"/>
      <c r="H2121" s="17"/>
    </row>
    <row r="2122" spans="1:8" x14ac:dyDescent="0.2">
      <c r="A2122" s="16"/>
      <c r="B2122" s="16"/>
      <c r="C2122" s="17"/>
      <c r="D2122" s="17"/>
      <c r="E2122" s="17"/>
      <c r="F2122" s="17"/>
      <c r="G2122" s="17"/>
      <c r="H2122" s="17"/>
    </row>
    <row r="2123" spans="1:8" x14ac:dyDescent="0.2">
      <c r="A2123" s="16"/>
      <c r="B2123" s="16"/>
      <c r="C2123" s="17"/>
      <c r="D2123" s="17"/>
      <c r="E2123" s="17"/>
      <c r="F2123" s="17"/>
      <c r="G2123" s="17"/>
      <c r="H2123" s="17"/>
    </row>
    <row r="2124" spans="1:8" x14ac:dyDescent="0.2">
      <c r="A2124" s="16"/>
      <c r="B2124" s="16"/>
      <c r="C2124" s="17"/>
      <c r="D2124" s="17"/>
      <c r="E2124" s="17"/>
      <c r="F2124" s="17"/>
      <c r="G2124" s="17"/>
      <c r="H2124" s="17"/>
    </row>
    <row r="2125" spans="1:8" x14ac:dyDescent="0.2">
      <c r="A2125" s="16"/>
      <c r="B2125" s="16"/>
      <c r="C2125" s="17"/>
      <c r="D2125" s="17"/>
      <c r="E2125" s="17"/>
      <c r="F2125" s="17"/>
      <c r="G2125" s="17"/>
      <c r="H2125" s="17"/>
    </row>
    <row r="2126" spans="1:8" x14ac:dyDescent="0.2">
      <c r="A2126" s="16"/>
      <c r="B2126" s="16"/>
      <c r="C2126" s="17"/>
      <c r="D2126" s="17"/>
      <c r="E2126" s="17"/>
      <c r="F2126" s="17"/>
      <c r="G2126" s="17"/>
      <c r="H2126" s="17"/>
    </row>
    <row r="2127" spans="1:8" x14ac:dyDescent="0.2">
      <c r="A2127" s="16"/>
      <c r="B2127" s="16"/>
      <c r="C2127" s="17"/>
      <c r="D2127" s="17"/>
      <c r="E2127" s="17"/>
      <c r="F2127" s="17"/>
      <c r="G2127" s="17"/>
      <c r="H2127" s="17"/>
    </row>
    <row r="2128" spans="1:8" x14ac:dyDescent="0.2">
      <c r="A2128" s="16"/>
      <c r="B2128" s="16"/>
      <c r="C2128" s="17"/>
      <c r="D2128" s="17"/>
      <c r="E2128" s="17"/>
      <c r="F2128" s="17"/>
      <c r="G2128" s="17"/>
      <c r="H2128" s="17"/>
    </row>
    <row r="2129" spans="1:8" x14ac:dyDescent="0.2">
      <c r="A2129" s="16"/>
      <c r="B2129" s="16"/>
      <c r="C2129" s="17"/>
      <c r="D2129" s="17"/>
      <c r="E2129" s="17"/>
      <c r="F2129" s="17"/>
      <c r="G2129" s="17"/>
      <c r="H2129" s="17"/>
    </row>
    <row r="2130" spans="1:8" x14ac:dyDescent="0.2">
      <c r="A2130" s="16"/>
      <c r="B2130" s="16"/>
      <c r="C2130" s="17"/>
      <c r="D2130" s="17"/>
      <c r="E2130" s="17"/>
      <c r="F2130" s="17"/>
      <c r="G2130" s="17"/>
      <c r="H2130" s="17"/>
    </row>
    <row r="2131" spans="1:8" x14ac:dyDescent="0.2">
      <c r="A2131" s="16"/>
      <c r="B2131" s="16"/>
      <c r="C2131" s="17"/>
      <c r="D2131" s="17"/>
      <c r="E2131" s="17"/>
      <c r="F2131" s="17"/>
      <c r="G2131" s="17"/>
      <c r="H2131" s="17"/>
    </row>
    <row r="2132" spans="1:8" x14ac:dyDescent="0.2">
      <c r="A2132" s="16"/>
      <c r="B2132" s="16"/>
      <c r="C2132" s="17"/>
      <c r="D2132" s="17"/>
      <c r="E2132" s="17"/>
      <c r="F2132" s="17"/>
      <c r="G2132" s="17"/>
      <c r="H2132" s="17"/>
    </row>
    <row r="2133" spans="1:8" x14ac:dyDescent="0.2">
      <c r="A2133" s="16"/>
      <c r="B2133" s="16"/>
      <c r="C2133" s="17"/>
      <c r="D2133" s="17"/>
      <c r="E2133" s="17"/>
      <c r="F2133" s="17"/>
      <c r="G2133" s="17"/>
      <c r="H2133" s="17"/>
    </row>
    <row r="2134" spans="1:8" x14ac:dyDescent="0.2">
      <c r="A2134" s="16"/>
      <c r="B2134" s="16"/>
      <c r="C2134" s="17"/>
      <c r="D2134" s="17"/>
      <c r="E2134" s="17"/>
      <c r="F2134" s="17"/>
      <c r="G2134" s="17"/>
      <c r="H2134" s="17"/>
    </row>
    <row r="2135" spans="1:8" x14ac:dyDescent="0.2">
      <c r="A2135" s="16"/>
      <c r="B2135" s="16"/>
      <c r="C2135" s="17"/>
      <c r="D2135" s="17"/>
      <c r="E2135" s="17"/>
      <c r="F2135" s="17"/>
      <c r="G2135" s="17"/>
      <c r="H2135" s="17"/>
    </row>
    <row r="2136" spans="1:8" x14ac:dyDescent="0.2">
      <c r="A2136" s="16"/>
      <c r="B2136" s="16"/>
      <c r="C2136" s="17"/>
      <c r="D2136" s="17"/>
      <c r="E2136" s="17"/>
      <c r="F2136" s="17"/>
      <c r="G2136" s="17"/>
      <c r="H2136" s="17"/>
    </row>
    <row r="2137" spans="1:8" x14ac:dyDescent="0.2">
      <c r="A2137" s="16"/>
      <c r="B2137" s="16"/>
      <c r="C2137" s="17"/>
      <c r="D2137" s="17"/>
      <c r="E2137" s="17"/>
      <c r="F2137" s="17"/>
      <c r="G2137" s="17"/>
      <c r="H2137" s="17"/>
    </row>
    <row r="2138" spans="1:8" x14ac:dyDescent="0.2">
      <c r="A2138" s="16"/>
      <c r="B2138" s="16"/>
      <c r="C2138" s="17"/>
      <c r="D2138" s="17"/>
      <c r="E2138" s="17"/>
      <c r="F2138" s="17"/>
      <c r="G2138" s="17"/>
      <c r="H2138" s="17"/>
    </row>
    <row r="2139" spans="1:8" x14ac:dyDescent="0.2">
      <c r="A2139" s="16"/>
      <c r="B2139" s="16"/>
      <c r="C2139" s="17"/>
      <c r="D2139" s="17"/>
      <c r="E2139" s="17"/>
      <c r="F2139" s="17"/>
      <c r="G2139" s="17"/>
      <c r="H2139" s="17"/>
    </row>
    <row r="2140" spans="1:8" x14ac:dyDescent="0.2">
      <c r="A2140" s="16"/>
      <c r="B2140" s="16"/>
      <c r="C2140" s="17"/>
      <c r="D2140" s="17"/>
      <c r="E2140" s="17"/>
      <c r="F2140" s="17"/>
      <c r="G2140" s="17"/>
      <c r="H2140" s="17"/>
    </row>
    <row r="2141" spans="1:8" x14ac:dyDescent="0.2">
      <c r="A2141" s="16"/>
      <c r="B2141" s="16"/>
      <c r="C2141" s="17"/>
      <c r="D2141" s="17"/>
      <c r="E2141" s="17"/>
      <c r="F2141" s="17"/>
      <c r="G2141" s="17"/>
      <c r="H2141" s="17"/>
    </row>
    <row r="2142" spans="1:8" x14ac:dyDescent="0.2">
      <c r="A2142" s="16"/>
      <c r="B2142" s="16"/>
      <c r="C2142" s="17"/>
      <c r="D2142" s="17"/>
      <c r="E2142" s="17"/>
      <c r="F2142" s="17"/>
      <c r="G2142" s="17"/>
      <c r="H2142" s="17"/>
    </row>
    <row r="2143" spans="1:8" x14ac:dyDescent="0.2">
      <c r="A2143" s="16"/>
      <c r="B2143" s="16"/>
      <c r="C2143" s="17"/>
      <c r="D2143" s="17"/>
      <c r="E2143" s="17"/>
      <c r="F2143" s="17"/>
      <c r="G2143" s="17"/>
      <c r="H2143" s="17"/>
    </row>
    <row r="2144" spans="1:8" x14ac:dyDescent="0.2">
      <c r="A2144" s="16"/>
      <c r="B2144" s="16"/>
      <c r="C2144" s="17"/>
      <c r="D2144" s="17"/>
      <c r="E2144" s="17"/>
      <c r="F2144" s="17"/>
      <c r="G2144" s="17"/>
      <c r="H2144" s="17"/>
    </row>
    <row r="2145" spans="1:8" x14ac:dyDescent="0.2">
      <c r="A2145" s="16"/>
      <c r="B2145" s="16"/>
      <c r="C2145" s="17"/>
      <c r="D2145" s="17"/>
      <c r="E2145" s="17"/>
      <c r="F2145" s="17"/>
      <c r="G2145" s="17"/>
      <c r="H2145" s="17"/>
    </row>
    <row r="2146" spans="1:8" x14ac:dyDescent="0.2">
      <c r="A2146" s="16"/>
      <c r="B2146" s="16"/>
      <c r="C2146" s="17"/>
      <c r="D2146" s="17"/>
      <c r="E2146" s="17"/>
      <c r="F2146" s="17"/>
      <c r="G2146" s="17"/>
      <c r="H2146" s="17"/>
    </row>
    <row r="2147" spans="1:8" x14ac:dyDescent="0.2">
      <c r="A2147" s="16"/>
      <c r="B2147" s="16"/>
      <c r="C2147" s="17"/>
      <c r="D2147" s="17"/>
      <c r="E2147" s="17"/>
      <c r="F2147" s="17"/>
      <c r="G2147" s="17"/>
      <c r="H2147" s="17"/>
    </row>
    <row r="2148" spans="1:8" x14ac:dyDescent="0.2">
      <c r="A2148" s="16"/>
      <c r="B2148" s="16"/>
      <c r="C2148" s="17"/>
      <c r="D2148" s="17"/>
      <c r="E2148" s="17"/>
      <c r="F2148" s="17"/>
      <c r="G2148" s="17"/>
      <c r="H2148" s="17"/>
    </row>
    <row r="2149" spans="1:8" x14ac:dyDescent="0.2">
      <c r="A2149" s="16"/>
      <c r="B2149" s="16"/>
      <c r="C2149" s="17"/>
      <c r="D2149" s="17"/>
      <c r="E2149" s="17"/>
      <c r="F2149" s="17"/>
      <c r="G2149" s="17"/>
      <c r="H2149" s="17"/>
    </row>
    <row r="2150" spans="1:8" x14ac:dyDescent="0.2">
      <c r="A2150" s="16"/>
      <c r="B2150" s="16"/>
      <c r="C2150" s="17"/>
      <c r="D2150" s="17"/>
      <c r="E2150" s="17"/>
      <c r="F2150" s="17"/>
      <c r="G2150" s="17"/>
      <c r="H2150" s="17"/>
    </row>
    <row r="2151" spans="1:8" x14ac:dyDescent="0.2">
      <c r="A2151" s="16"/>
      <c r="B2151" s="16"/>
      <c r="C2151" s="17"/>
      <c r="D2151" s="17"/>
      <c r="E2151" s="17"/>
      <c r="F2151" s="17"/>
      <c r="G2151" s="17"/>
      <c r="H2151" s="17"/>
    </row>
    <row r="2152" spans="1:8" x14ac:dyDescent="0.2">
      <c r="A2152" s="16"/>
      <c r="B2152" s="16"/>
      <c r="C2152" s="17"/>
      <c r="D2152" s="17"/>
      <c r="E2152" s="17"/>
      <c r="F2152" s="17"/>
      <c r="G2152" s="17"/>
      <c r="H2152" s="17"/>
    </row>
    <row r="2153" spans="1:8" x14ac:dyDescent="0.2">
      <c r="A2153" s="16"/>
      <c r="B2153" s="16"/>
      <c r="C2153" s="17"/>
      <c r="D2153" s="17"/>
      <c r="E2153" s="17"/>
      <c r="F2153" s="17"/>
      <c r="G2153" s="17"/>
      <c r="H2153" s="17"/>
    </row>
    <row r="2154" spans="1:8" x14ac:dyDescent="0.2">
      <c r="A2154" s="16"/>
      <c r="B2154" s="16"/>
      <c r="C2154" s="17"/>
      <c r="D2154" s="17"/>
      <c r="E2154" s="17"/>
      <c r="F2154" s="17"/>
      <c r="G2154" s="17"/>
      <c r="H2154" s="17"/>
    </row>
    <row r="2155" spans="1:8" x14ac:dyDescent="0.2">
      <c r="A2155" s="16"/>
      <c r="B2155" s="16"/>
      <c r="C2155" s="17"/>
      <c r="D2155" s="17"/>
      <c r="E2155" s="17"/>
      <c r="F2155" s="17"/>
      <c r="G2155" s="17"/>
      <c r="H2155" s="17"/>
    </row>
    <row r="2156" spans="1:8" x14ac:dyDescent="0.2">
      <c r="A2156" s="16"/>
      <c r="B2156" s="16"/>
      <c r="C2156" s="17"/>
      <c r="D2156" s="17"/>
      <c r="E2156" s="17"/>
      <c r="F2156" s="17"/>
      <c r="G2156" s="17"/>
      <c r="H2156" s="17"/>
    </row>
    <row r="2157" spans="1:8" x14ac:dyDescent="0.2">
      <c r="A2157" s="16"/>
      <c r="B2157" s="16"/>
      <c r="C2157" s="17"/>
      <c r="D2157" s="17"/>
      <c r="E2157" s="17"/>
      <c r="F2157" s="17"/>
      <c r="G2157" s="17"/>
      <c r="H2157" s="17"/>
    </row>
    <row r="2158" spans="1:8" x14ac:dyDescent="0.2">
      <c r="A2158" s="16"/>
      <c r="B2158" s="16"/>
      <c r="C2158" s="17"/>
      <c r="D2158" s="17"/>
      <c r="E2158" s="17"/>
      <c r="F2158" s="17"/>
      <c r="G2158" s="17"/>
      <c r="H2158" s="17"/>
    </row>
    <row r="2159" spans="1:8" x14ac:dyDescent="0.2">
      <c r="A2159" s="16"/>
      <c r="B2159" s="16"/>
      <c r="C2159" s="17"/>
      <c r="D2159" s="17"/>
      <c r="E2159" s="17"/>
      <c r="F2159" s="17"/>
      <c r="G2159" s="17"/>
      <c r="H2159" s="17"/>
    </row>
    <row r="2160" spans="1:8" x14ac:dyDescent="0.2">
      <c r="A2160" s="16"/>
      <c r="B2160" s="16"/>
      <c r="C2160" s="17"/>
      <c r="D2160" s="17"/>
      <c r="E2160" s="17"/>
      <c r="F2160" s="17"/>
      <c r="G2160" s="17"/>
      <c r="H2160" s="17"/>
    </row>
    <row r="2161" spans="1:8" x14ac:dyDescent="0.2">
      <c r="A2161" s="16"/>
      <c r="B2161" s="16"/>
      <c r="C2161" s="17"/>
      <c r="D2161" s="17"/>
      <c r="E2161" s="17"/>
      <c r="F2161" s="17"/>
      <c r="G2161" s="17"/>
      <c r="H2161" s="17"/>
    </row>
    <row r="2162" spans="1:8" x14ac:dyDescent="0.2">
      <c r="A2162" s="16"/>
      <c r="B2162" s="16"/>
      <c r="C2162" s="17"/>
      <c r="D2162" s="17"/>
      <c r="E2162" s="17"/>
      <c r="F2162" s="17"/>
      <c r="G2162" s="17"/>
      <c r="H2162" s="17"/>
    </row>
    <row r="2163" spans="1:8" x14ac:dyDescent="0.2">
      <c r="A2163" s="16"/>
      <c r="B2163" s="16"/>
      <c r="C2163" s="17"/>
      <c r="D2163" s="17"/>
      <c r="E2163" s="17"/>
      <c r="F2163" s="17"/>
      <c r="G2163" s="17"/>
      <c r="H2163" s="17"/>
    </row>
    <row r="2164" spans="1:8" x14ac:dyDescent="0.2">
      <c r="A2164" s="16"/>
      <c r="B2164" s="16"/>
      <c r="C2164" s="17"/>
      <c r="D2164" s="17"/>
      <c r="E2164" s="17"/>
      <c r="F2164" s="17"/>
      <c r="G2164" s="17"/>
      <c r="H2164" s="17"/>
    </row>
    <row r="2165" spans="1:8" x14ac:dyDescent="0.2">
      <c r="A2165" s="16"/>
      <c r="B2165" s="16"/>
      <c r="C2165" s="17"/>
      <c r="D2165" s="17"/>
      <c r="E2165" s="17"/>
      <c r="F2165" s="17"/>
      <c r="G2165" s="17"/>
      <c r="H2165" s="17"/>
    </row>
    <row r="2166" spans="1:8" x14ac:dyDescent="0.2">
      <c r="A2166" s="16"/>
      <c r="B2166" s="16"/>
      <c r="C2166" s="17"/>
      <c r="D2166" s="17"/>
      <c r="E2166" s="17"/>
      <c r="F2166" s="17"/>
      <c r="G2166" s="17"/>
      <c r="H2166" s="17"/>
    </row>
    <row r="2167" spans="1:8" x14ac:dyDescent="0.2">
      <c r="A2167" s="16"/>
      <c r="B2167" s="16"/>
      <c r="C2167" s="17"/>
      <c r="D2167" s="17"/>
      <c r="E2167" s="17"/>
      <c r="F2167" s="17"/>
      <c r="G2167" s="17"/>
      <c r="H2167" s="17"/>
    </row>
    <row r="2168" spans="1:8" x14ac:dyDescent="0.2">
      <c r="A2168" s="16"/>
      <c r="B2168" s="16"/>
      <c r="C2168" s="17"/>
      <c r="D2168" s="17"/>
      <c r="E2168" s="17"/>
      <c r="F2168" s="17"/>
      <c r="G2168" s="17"/>
      <c r="H2168" s="17"/>
    </row>
    <row r="2169" spans="1:8" x14ac:dyDescent="0.2">
      <c r="A2169" s="16"/>
      <c r="B2169" s="16"/>
      <c r="C2169" s="17"/>
      <c r="D2169" s="17"/>
      <c r="E2169" s="17"/>
      <c r="F2169" s="17"/>
      <c r="G2169" s="17"/>
      <c r="H2169" s="17"/>
    </row>
    <row r="2170" spans="1:8" x14ac:dyDescent="0.2">
      <c r="A2170" s="16"/>
      <c r="B2170" s="16"/>
      <c r="C2170" s="17"/>
      <c r="D2170" s="17"/>
      <c r="E2170" s="17"/>
      <c r="F2170" s="17"/>
      <c r="G2170" s="17"/>
      <c r="H2170" s="17"/>
    </row>
    <row r="2171" spans="1:8" x14ac:dyDescent="0.2">
      <c r="A2171" s="16"/>
      <c r="B2171" s="16"/>
      <c r="C2171" s="17"/>
      <c r="D2171" s="17"/>
      <c r="E2171" s="17"/>
      <c r="F2171" s="17"/>
      <c r="G2171" s="17"/>
      <c r="H2171" s="17"/>
    </row>
    <row r="2172" spans="1:8" x14ac:dyDescent="0.2">
      <c r="A2172" s="16"/>
      <c r="B2172" s="16"/>
      <c r="C2172" s="17"/>
      <c r="D2172" s="17"/>
      <c r="E2172" s="17"/>
      <c r="F2172" s="17"/>
      <c r="G2172" s="17"/>
      <c r="H2172" s="17"/>
    </row>
    <row r="2173" spans="1:8" x14ac:dyDescent="0.2">
      <c r="A2173" s="16"/>
      <c r="B2173" s="16"/>
      <c r="C2173" s="17"/>
      <c r="D2173" s="17"/>
      <c r="E2173" s="17"/>
      <c r="F2173" s="17"/>
      <c r="G2173" s="17"/>
      <c r="H2173" s="17"/>
    </row>
    <row r="2174" spans="1:8" x14ac:dyDescent="0.2">
      <c r="A2174" s="16"/>
      <c r="B2174" s="16"/>
      <c r="C2174" s="17"/>
      <c r="D2174" s="17"/>
      <c r="E2174" s="17"/>
      <c r="F2174" s="17"/>
      <c r="G2174" s="17"/>
      <c r="H2174" s="17"/>
    </row>
    <row r="2175" spans="1:8" x14ac:dyDescent="0.2">
      <c r="A2175" s="16"/>
      <c r="B2175" s="16"/>
      <c r="C2175" s="17"/>
      <c r="D2175" s="17"/>
      <c r="E2175" s="17"/>
      <c r="F2175" s="17"/>
      <c r="G2175" s="17"/>
      <c r="H2175" s="17"/>
    </row>
    <row r="2176" spans="1:8" x14ac:dyDescent="0.2">
      <c r="A2176" s="16"/>
      <c r="B2176" s="16"/>
      <c r="C2176" s="17"/>
      <c r="D2176" s="17"/>
      <c r="E2176" s="17"/>
      <c r="F2176" s="17"/>
      <c r="G2176" s="17"/>
      <c r="H2176" s="17"/>
    </row>
    <row r="2177" spans="1:8" x14ac:dyDescent="0.2">
      <c r="A2177" s="16"/>
      <c r="B2177" s="16"/>
      <c r="C2177" s="17"/>
      <c r="D2177" s="17"/>
      <c r="E2177" s="17"/>
      <c r="F2177" s="17"/>
      <c r="G2177" s="17"/>
      <c r="H2177" s="17"/>
    </row>
    <row r="2178" spans="1:8" x14ac:dyDescent="0.2">
      <c r="A2178" s="16"/>
      <c r="B2178" s="16"/>
      <c r="C2178" s="17"/>
      <c r="D2178" s="17"/>
      <c r="E2178" s="17"/>
      <c r="F2178" s="17"/>
      <c r="G2178" s="17"/>
      <c r="H2178" s="17"/>
    </row>
    <row r="2179" spans="1:8" x14ac:dyDescent="0.2">
      <c r="A2179" s="16"/>
      <c r="B2179" s="16"/>
      <c r="C2179" s="17"/>
      <c r="D2179" s="17"/>
      <c r="E2179" s="17"/>
      <c r="F2179" s="17"/>
      <c r="G2179" s="17"/>
      <c r="H2179" s="17"/>
    </row>
    <row r="2180" spans="1:8" x14ac:dyDescent="0.2">
      <c r="A2180" s="16"/>
      <c r="B2180" s="16"/>
      <c r="C2180" s="17"/>
      <c r="D2180" s="17"/>
      <c r="E2180" s="17"/>
      <c r="F2180" s="17"/>
      <c r="G2180" s="17"/>
      <c r="H2180" s="17"/>
    </row>
    <row r="2181" spans="1:8" x14ac:dyDescent="0.2">
      <c r="A2181" s="16"/>
      <c r="B2181" s="16"/>
      <c r="C2181" s="17"/>
      <c r="D2181" s="17"/>
      <c r="E2181" s="17"/>
      <c r="F2181" s="17"/>
      <c r="G2181" s="17"/>
      <c r="H2181" s="17"/>
    </row>
    <row r="2182" spans="1:8" x14ac:dyDescent="0.2">
      <c r="A2182" s="16"/>
      <c r="B2182" s="16"/>
      <c r="C2182" s="17"/>
      <c r="D2182" s="17"/>
      <c r="E2182" s="17"/>
      <c r="F2182" s="17"/>
      <c r="G2182" s="17"/>
      <c r="H2182" s="17"/>
    </row>
    <row r="2183" spans="1:8" x14ac:dyDescent="0.2">
      <c r="A2183" s="16"/>
      <c r="B2183" s="16"/>
      <c r="C2183" s="17"/>
      <c r="D2183" s="17"/>
      <c r="E2183" s="17"/>
      <c r="F2183" s="17"/>
      <c r="G2183" s="17"/>
      <c r="H2183" s="17"/>
    </row>
    <row r="2184" spans="1:8" x14ac:dyDescent="0.2">
      <c r="A2184" s="16"/>
      <c r="B2184" s="16"/>
      <c r="C2184" s="17"/>
      <c r="D2184" s="17"/>
      <c r="E2184" s="17"/>
      <c r="F2184" s="17"/>
      <c r="G2184" s="17"/>
      <c r="H2184" s="17"/>
    </row>
    <row r="2185" spans="1:8" x14ac:dyDescent="0.2">
      <c r="A2185" s="16"/>
      <c r="B2185" s="16"/>
      <c r="C2185" s="17"/>
      <c r="D2185" s="17"/>
      <c r="E2185" s="17"/>
      <c r="F2185" s="17"/>
      <c r="G2185" s="17"/>
      <c r="H2185" s="17"/>
    </row>
    <row r="2186" spans="1:8" x14ac:dyDescent="0.2">
      <c r="A2186" s="16"/>
      <c r="B2186" s="16"/>
      <c r="C2186" s="17"/>
      <c r="D2186" s="17"/>
      <c r="E2186" s="17"/>
      <c r="F2186" s="17"/>
      <c r="G2186" s="17"/>
      <c r="H2186" s="17"/>
    </row>
    <row r="2187" spans="1:8" x14ac:dyDescent="0.2">
      <c r="A2187" s="16"/>
      <c r="B2187" s="16"/>
      <c r="C2187" s="17"/>
      <c r="D2187" s="17"/>
      <c r="E2187" s="17"/>
      <c r="F2187" s="17"/>
      <c r="G2187" s="17"/>
      <c r="H2187" s="17"/>
    </row>
    <row r="2188" spans="1:8" x14ac:dyDescent="0.2">
      <c r="A2188" s="16"/>
      <c r="B2188" s="16"/>
      <c r="C2188" s="17"/>
      <c r="D2188" s="17"/>
      <c r="E2188" s="17"/>
      <c r="F2188" s="17"/>
      <c r="G2188" s="17"/>
      <c r="H2188" s="17"/>
    </row>
    <row r="2189" spans="1:8" x14ac:dyDescent="0.2">
      <c r="A2189" s="16"/>
      <c r="B2189" s="16"/>
      <c r="C2189" s="17"/>
      <c r="D2189" s="17"/>
      <c r="E2189" s="17"/>
      <c r="F2189" s="17"/>
      <c r="G2189" s="17"/>
      <c r="H2189" s="17"/>
    </row>
    <row r="2190" spans="1:8" x14ac:dyDescent="0.2">
      <c r="A2190" s="16"/>
      <c r="B2190" s="16"/>
      <c r="C2190" s="17"/>
      <c r="D2190" s="17"/>
      <c r="E2190" s="17"/>
      <c r="F2190" s="17"/>
      <c r="G2190" s="17"/>
      <c r="H2190" s="17"/>
    </row>
    <row r="2191" spans="1:8" x14ac:dyDescent="0.2">
      <c r="A2191" s="16"/>
      <c r="B2191" s="16"/>
      <c r="C2191" s="17"/>
      <c r="D2191" s="17"/>
      <c r="E2191" s="17"/>
      <c r="F2191" s="17"/>
      <c r="G2191" s="17"/>
      <c r="H2191" s="17"/>
    </row>
    <row r="2192" spans="1:8" x14ac:dyDescent="0.2">
      <c r="A2192" s="16"/>
      <c r="B2192" s="16"/>
      <c r="C2192" s="17"/>
      <c r="D2192" s="17"/>
      <c r="E2192" s="17"/>
      <c r="F2192" s="17"/>
      <c r="G2192" s="17"/>
      <c r="H2192" s="17"/>
    </row>
    <row r="2193" spans="1:8" x14ac:dyDescent="0.2">
      <c r="A2193" s="16"/>
      <c r="B2193" s="16"/>
      <c r="C2193" s="17"/>
      <c r="D2193" s="17"/>
      <c r="E2193" s="17"/>
      <c r="F2193" s="17"/>
      <c r="G2193" s="17"/>
      <c r="H2193" s="17"/>
    </row>
    <row r="2194" spans="1:8" x14ac:dyDescent="0.2">
      <c r="A2194" s="16"/>
      <c r="B2194" s="16"/>
      <c r="C2194" s="17"/>
      <c r="D2194" s="17"/>
      <c r="E2194" s="17"/>
      <c r="F2194" s="17"/>
      <c r="G2194" s="17"/>
      <c r="H2194" s="17"/>
    </row>
    <row r="2195" spans="1:8" x14ac:dyDescent="0.2">
      <c r="A2195" s="16"/>
      <c r="B2195" s="16"/>
      <c r="C2195" s="17"/>
      <c r="D2195" s="17"/>
      <c r="E2195" s="17"/>
      <c r="F2195" s="17"/>
      <c r="G2195" s="17"/>
      <c r="H2195" s="17"/>
    </row>
    <row r="2196" spans="1:8" x14ac:dyDescent="0.2">
      <c r="A2196" s="16"/>
      <c r="B2196" s="16"/>
      <c r="C2196" s="17"/>
      <c r="D2196" s="17"/>
      <c r="E2196" s="17"/>
      <c r="F2196" s="17"/>
      <c r="G2196" s="17"/>
      <c r="H2196" s="17"/>
    </row>
    <row r="2197" spans="1:8" x14ac:dyDescent="0.2">
      <c r="A2197" s="16"/>
      <c r="B2197" s="16"/>
      <c r="C2197" s="17"/>
      <c r="D2197" s="17"/>
      <c r="E2197" s="17"/>
      <c r="F2197" s="17"/>
      <c r="G2197" s="17"/>
      <c r="H2197" s="17"/>
    </row>
    <row r="2198" spans="1:8" x14ac:dyDescent="0.2">
      <c r="A2198" s="16"/>
      <c r="B2198" s="16"/>
      <c r="C2198" s="17"/>
      <c r="D2198" s="17"/>
      <c r="E2198" s="17"/>
      <c r="F2198" s="17"/>
      <c r="G2198" s="17"/>
      <c r="H2198" s="17"/>
    </row>
    <row r="2199" spans="1:8" x14ac:dyDescent="0.2">
      <c r="A2199" s="16"/>
      <c r="B2199" s="16"/>
      <c r="C2199" s="17"/>
      <c r="D2199" s="17"/>
      <c r="E2199" s="17"/>
      <c r="F2199" s="17"/>
      <c r="G2199" s="17"/>
      <c r="H2199" s="17"/>
    </row>
    <row r="2200" spans="1:8" x14ac:dyDescent="0.2">
      <c r="A2200" s="16"/>
      <c r="B2200" s="16"/>
      <c r="C2200" s="17"/>
      <c r="D2200" s="17"/>
      <c r="E2200" s="17"/>
      <c r="F2200" s="17"/>
      <c r="G2200" s="17"/>
      <c r="H2200" s="17"/>
    </row>
    <row r="2201" spans="1:8" x14ac:dyDescent="0.2">
      <c r="A2201" s="16"/>
      <c r="B2201" s="16"/>
      <c r="C2201" s="17"/>
      <c r="D2201" s="17"/>
      <c r="E2201" s="17"/>
      <c r="F2201" s="17"/>
      <c r="G2201" s="17"/>
      <c r="H2201" s="17"/>
    </row>
    <row r="2202" spans="1:8" x14ac:dyDescent="0.2">
      <c r="A2202" s="16"/>
      <c r="B2202" s="16"/>
      <c r="C2202" s="17"/>
      <c r="D2202" s="17"/>
      <c r="E2202" s="17"/>
      <c r="F2202" s="17"/>
      <c r="G2202" s="17"/>
      <c r="H2202" s="17"/>
    </row>
    <row r="2203" spans="1:8" x14ac:dyDescent="0.2">
      <c r="A2203" s="16"/>
      <c r="B2203" s="16"/>
      <c r="C2203" s="17"/>
      <c r="D2203" s="17"/>
      <c r="E2203" s="17"/>
      <c r="F2203" s="17"/>
      <c r="G2203" s="17"/>
      <c r="H2203" s="17"/>
    </row>
    <row r="2204" spans="1:8" x14ac:dyDescent="0.2">
      <c r="A2204" s="16"/>
      <c r="B2204" s="16"/>
      <c r="C2204" s="17"/>
      <c r="D2204" s="17"/>
      <c r="E2204" s="17"/>
      <c r="F2204" s="17"/>
      <c r="G2204" s="17"/>
      <c r="H2204" s="17"/>
    </row>
    <row r="2205" spans="1:8" x14ac:dyDescent="0.2">
      <c r="A2205" s="16"/>
      <c r="B2205" s="16"/>
      <c r="C2205" s="17"/>
      <c r="D2205" s="17"/>
      <c r="E2205" s="17"/>
      <c r="F2205" s="17"/>
      <c r="G2205" s="17"/>
      <c r="H2205" s="17"/>
    </row>
    <row r="2206" spans="1:8" x14ac:dyDescent="0.2">
      <c r="A2206" s="16"/>
      <c r="B2206" s="16"/>
      <c r="C2206" s="17"/>
      <c r="D2206" s="17"/>
      <c r="E2206" s="17"/>
      <c r="F2206" s="17"/>
      <c r="G2206" s="17"/>
      <c r="H2206" s="17"/>
    </row>
    <row r="2207" spans="1:8" x14ac:dyDescent="0.2">
      <c r="A2207" s="16"/>
      <c r="B2207" s="16"/>
      <c r="C2207" s="17"/>
      <c r="D2207" s="17"/>
      <c r="E2207" s="17"/>
      <c r="F2207" s="17"/>
      <c r="G2207" s="17"/>
      <c r="H2207" s="17"/>
    </row>
    <row r="2208" spans="1:8" x14ac:dyDescent="0.2">
      <c r="A2208" s="16"/>
      <c r="B2208" s="16"/>
      <c r="C2208" s="17"/>
      <c r="D2208" s="17"/>
      <c r="E2208" s="17"/>
      <c r="F2208" s="17"/>
      <c r="G2208" s="17"/>
      <c r="H2208" s="17"/>
    </row>
    <row r="2209" spans="1:8" x14ac:dyDescent="0.2">
      <c r="A2209" s="16"/>
      <c r="B2209" s="16"/>
      <c r="C2209" s="17"/>
      <c r="D2209" s="17"/>
      <c r="E2209" s="17"/>
      <c r="F2209" s="17"/>
      <c r="G2209" s="17"/>
      <c r="H2209" s="17"/>
    </row>
    <row r="2210" spans="1:8" x14ac:dyDescent="0.2">
      <c r="A2210" s="16"/>
      <c r="B2210" s="16"/>
      <c r="C2210" s="17"/>
      <c r="D2210" s="17"/>
      <c r="E2210" s="17"/>
      <c r="F2210" s="17"/>
      <c r="G2210" s="17"/>
      <c r="H2210" s="17"/>
    </row>
    <row r="2211" spans="1:8" x14ac:dyDescent="0.2">
      <c r="A2211" s="16"/>
      <c r="B2211" s="16"/>
      <c r="C2211" s="17"/>
      <c r="D2211" s="17"/>
      <c r="E2211" s="17"/>
      <c r="F2211" s="17"/>
      <c r="G2211" s="17"/>
      <c r="H2211" s="17"/>
    </row>
    <row r="2212" spans="1:8" x14ac:dyDescent="0.2">
      <c r="A2212" s="16"/>
      <c r="B2212" s="16"/>
      <c r="C2212" s="17"/>
      <c r="D2212" s="17"/>
      <c r="E2212" s="17"/>
      <c r="F2212" s="17"/>
      <c r="G2212" s="17"/>
      <c r="H2212" s="17"/>
    </row>
    <row r="2213" spans="1:8" x14ac:dyDescent="0.2">
      <c r="A2213" s="16"/>
      <c r="B2213" s="16"/>
      <c r="C2213" s="17"/>
      <c r="D2213" s="17"/>
      <c r="E2213" s="17"/>
      <c r="F2213" s="17"/>
      <c r="G2213" s="17"/>
      <c r="H2213" s="17"/>
    </row>
    <row r="2214" spans="1:8" x14ac:dyDescent="0.2">
      <c r="A2214" s="16"/>
      <c r="B2214" s="16"/>
      <c r="C2214" s="17"/>
      <c r="D2214" s="17"/>
      <c r="E2214" s="17"/>
      <c r="F2214" s="17"/>
      <c r="G2214" s="17"/>
      <c r="H2214" s="17"/>
    </row>
    <row r="2215" spans="1:8" x14ac:dyDescent="0.2">
      <c r="A2215" s="16"/>
      <c r="B2215" s="16"/>
      <c r="C2215" s="17"/>
      <c r="D2215" s="17"/>
      <c r="E2215" s="17"/>
      <c r="F2215" s="17"/>
      <c r="G2215" s="17"/>
      <c r="H2215" s="17"/>
    </row>
    <row r="2216" spans="1:8" x14ac:dyDescent="0.2">
      <c r="A2216" s="16"/>
      <c r="B2216" s="16"/>
      <c r="C2216" s="17"/>
      <c r="D2216" s="17"/>
      <c r="E2216" s="17"/>
      <c r="F2216" s="17"/>
      <c r="G2216" s="17"/>
      <c r="H2216" s="17"/>
    </row>
    <row r="2217" spans="1:8" x14ac:dyDescent="0.2">
      <c r="A2217" s="16"/>
      <c r="B2217" s="16"/>
      <c r="C2217" s="17"/>
      <c r="D2217" s="17"/>
      <c r="E2217" s="17"/>
      <c r="F2217" s="17"/>
      <c r="G2217" s="17"/>
      <c r="H2217" s="17"/>
    </row>
    <row r="2218" spans="1:8" x14ac:dyDescent="0.2">
      <c r="A2218" s="16"/>
      <c r="B2218" s="16"/>
      <c r="C2218" s="17"/>
      <c r="D2218" s="17"/>
      <c r="E2218" s="17"/>
      <c r="F2218" s="17"/>
      <c r="G2218" s="17"/>
      <c r="H2218" s="17"/>
    </row>
    <row r="2219" spans="1:8" x14ac:dyDescent="0.2">
      <c r="A2219" s="16"/>
      <c r="B2219" s="16"/>
      <c r="C2219" s="17"/>
      <c r="D2219" s="17"/>
      <c r="E2219" s="17"/>
      <c r="F2219" s="17"/>
      <c r="G2219" s="17"/>
      <c r="H2219" s="17"/>
    </row>
    <row r="2220" spans="1:8" x14ac:dyDescent="0.2">
      <c r="A2220" s="16"/>
      <c r="B2220" s="16"/>
      <c r="C2220" s="17"/>
      <c r="D2220" s="17"/>
      <c r="E2220" s="17"/>
      <c r="F2220" s="17"/>
      <c r="G2220" s="17"/>
      <c r="H2220" s="17"/>
    </row>
    <row r="2221" spans="1:8" x14ac:dyDescent="0.2">
      <c r="A2221" s="16"/>
      <c r="B2221" s="16"/>
      <c r="C2221" s="17"/>
      <c r="D2221" s="17"/>
      <c r="E2221" s="17"/>
      <c r="F2221" s="17"/>
      <c r="G2221" s="17"/>
      <c r="H2221" s="17"/>
    </row>
    <row r="2222" spans="1:8" x14ac:dyDescent="0.2">
      <c r="A2222" s="16"/>
      <c r="B2222" s="16"/>
      <c r="C2222" s="17"/>
      <c r="D2222" s="17"/>
      <c r="E2222" s="17"/>
      <c r="F2222" s="17"/>
      <c r="G2222" s="17"/>
      <c r="H2222" s="17"/>
    </row>
    <row r="2223" spans="1:8" x14ac:dyDescent="0.2">
      <c r="A2223" s="16"/>
      <c r="B2223" s="16"/>
      <c r="C2223" s="17"/>
      <c r="D2223" s="17"/>
      <c r="E2223" s="17"/>
      <c r="F2223" s="17"/>
      <c r="G2223" s="17"/>
      <c r="H2223" s="17"/>
    </row>
    <row r="2224" spans="1:8" x14ac:dyDescent="0.2">
      <c r="A2224" s="16"/>
      <c r="B2224" s="16"/>
      <c r="C2224" s="17"/>
      <c r="D2224" s="17"/>
      <c r="E2224" s="17"/>
      <c r="F2224" s="17"/>
      <c r="G2224" s="17"/>
      <c r="H2224" s="17"/>
    </row>
    <row r="2225" spans="1:8" x14ac:dyDescent="0.2">
      <c r="A2225" s="16"/>
      <c r="B2225" s="16"/>
      <c r="C2225" s="17"/>
      <c r="D2225" s="17"/>
      <c r="E2225" s="17"/>
      <c r="F2225" s="17"/>
      <c r="G2225" s="17"/>
      <c r="H2225" s="17"/>
    </row>
    <row r="2226" spans="1:8" x14ac:dyDescent="0.2">
      <c r="A2226" s="16"/>
      <c r="B2226" s="16"/>
      <c r="C2226" s="17"/>
      <c r="D2226" s="17"/>
      <c r="E2226" s="17"/>
      <c r="F2226" s="17"/>
      <c r="G2226" s="17"/>
      <c r="H2226" s="17"/>
    </row>
    <row r="2227" spans="1:8" x14ac:dyDescent="0.2">
      <c r="A2227" s="16"/>
      <c r="B2227" s="16"/>
      <c r="C2227" s="17"/>
      <c r="D2227" s="17"/>
      <c r="E2227" s="17"/>
      <c r="F2227" s="17"/>
      <c r="G2227" s="17"/>
      <c r="H2227" s="17"/>
    </row>
    <row r="2228" spans="1:8" x14ac:dyDescent="0.2">
      <c r="A2228" s="16"/>
      <c r="B2228" s="16"/>
      <c r="C2228" s="17"/>
      <c r="D2228" s="17"/>
      <c r="E2228" s="17"/>
      <c r="F2228" s="17"/>
      <c r="G2228" s="17"/>
      <c r="H2228" s="17"/>
    </row>
    <row r="2229" spans="1:8" x14ac:dyDescent="0.2">
      <c r="A2229" s="16"/>
      <c r="B2229" s="16"/>
      <c r="C2229" s="17"/>
      <c r="D2229" s="17"/>
      <c r="E2229" s="17"/>
      <c r="F2229" s="17"/>
      <c r="G2229" s="17"/>
      <c r="H2229" s="17"/>
    </row>
    <row r="2230" spans="1:8" x14ac:dyDescent="0.2">
      <c r="A2230" s="16"/>
      <c r="B2230" s="16"/>
      <c r="C2230" s="17"/>
      <c r="D2230" s="17"/>
      <c r="E2230" s="17"/>
      <c r="F2230" s="17"/>
      <c r="G2230" s="17"/>
      <c r="H2230" s="17"/>
    </row>
    <row r="2231" spans="1:8" x14ac:dyDescent="0.2">
      <c r="A2231" s="16"/>
      <c r="B2231" s="16"/>
      <c r="C2231" s="17"/>
      <c r="D2231" s="17"/>
      <c r="E2231" s="17"/>
      <c r="F2231" s="17"/>
      <c r="G2231" s="17"/>
      <c r="H2231" s="17"/>
    </row>
    <row r="2232" spans="1:8" x14ac:dyDescent="0.2">
      <c r="A2232" s="16"/>
      <c r="B2232" s="16"/>
      <c r="C2232" s="17"/>
      <c r="D2232" s="17"/>
      <c r="E2232" s="17"/>
      <c r="F2232" s="17"/>
      <c r="G2232" s="17"/>
      <c r="H2232" s="17"/>
    </row>
    <row r="2233" spans="1:8" x14ac:dyDescent="0.2">
      <c r="A2233" s="16"/>
      <c r="B2233" s="16"/>
      <c r="C2233" s="17"/>
      <c r="D2233" s="17"/>
      <c r="E2233" s="17"/>
      <c r="F2233" s="17"/>
      <c r="G2233" s="17"/>
      <c r="H2233" s="17"/>
    </row>
    <row r="2234" spans="1:8" x14ac:dyDescent="0.2">
      <c r="A2234" s="16"/>
      <c r="B2234" s="16"/>
      <c r="C2234" s="17"/>
      <c r="D2234" s="17"/>
      <c r="E2234" s="17"/>
      <c r="F2234" s="17"/>
      <c r="G2234" s="17"/>
      <c r="H2234" s="17"/>
    </row>
    <row r="2235" spans="1:8" x14ac:dyDescent="0.2">
      <c r="A2235" s="16"/>
      <c r="B2235" s="16"/>
      <c r="C2235" s="17"/>
      <c r="D2235" s="17"/>
      <c r="E2235" s="17"/>
      <c r="F2235" s="17"/>
      <c r="G2235" s="17"/>
      <c r="H2235" s="17"/>
    </row>
    <row r="2236" spans="1:8" x14ac:dyDescent="0.2">
      <c r="A2236" s="16"/>
      <c r="B2236" s="16"/>
      <c r="C2236" s="17"/>
      <c r="D2236" s="17"/>
      <c r="E2236" s="17"/>
      <c r="F2236" s="17"/>
      <c r="G2236" s="17"/>
      <c r="H2236" s="17"/>
    </row>
    <row r="2237" spans="1:8" x14ac:dyDescent="0.2">
      <c r="A2237" s="16"/>
      <c r="B2237" s="16"/>
      <c r="C2237" s="17"/>
      <c r="D2237" s="17"/>
      <c r="E2237" s="17"/>
      <c r="F2237" s="17"/>
      <c r="G2237" s="17"/>
      <c r="H2237" s="17"/>
    </row>
    <row r="2238" spans="1:8" x14ac:dyDescent="0.2">
      <c r="A2238" s="16"/>
      <c r="B2238" s="16"/>
      <c r="C2238" s="17"/>
      <c r="D2238" s="17"/>
      <c r="E2238" s="17"/>
      <c r="F2238" s="17"/>
      <c r="G2238" s="17"/>
      <c r="H2238" s="17"/>
    </row>
    <row r="2239" spans="1:8" x14ac:dyDescent="0.2">
      <c r="A2239" s="16"/>
      <c r="B2239" s="16"/>
      <c r="C2239" s="17"/>
      <c r="D2239" s="17"/>
      <c r="E2239" s="17"/>
      <c r="F2239" s="17"/>
      <c r="G2239" s="17"/>
      <c r="H2239" s="17"/>
    </row>
    <row r="2240" spans="1:8" x14ac:dyDescent="0.2">
      <c r="A2240" s="16"/>
      <c r="B2240" s="16"/>
      <c r="C2240" s="17"/>
      <c r="D2240" s="17"/>
      <c r="E2240" s="17"/>
      <c r="F2240" s="17"/>
      <c r="G2240" s="17"/>
      <c r="H2240" s="17"/>
    </row>
    <row r="2241" spans="1:8" x14ac:dyDescent="0.2">
      <c r="A2241" s="16"/>
      <c r="B2241" s="16"/>
      <c r="C2241" s="17"/>
      <c r="D2241" s="17"/>
      <c r="E2241" s="17"/>
      <c r="F2241" s="17"/>
      <c r="G2241" s="17"/>
      <c r="H2241" s="17"/>
    </row>
    <row r="2242" spans="1:8" x14ac:dyDescent="0.2">
      <c r="A2242" s="16"/>
      <c r="B2242" s="16"/>
      <c r="C2242" s="17"/>
      <c r="D2242" s="17"/>
      <c r="E2242" s="17"/>
      <c r="F2242" s="17"/>
      <c r="G2242" s="17"/>
      <c r="H2242" s="17"/>
    </row>
    <row r="2243" spans="1:8" x14ac:dyDescent="0.2">
      <c r="A2243" s="16"/>
      <c r="B2243" s="16"/>
      <c r="C2243" s="17"/>
      <c r="D2243" s="17"/>
      <c r="E2243" s="17"/>
      <c r="F2243" s="17"/>
      <c r="G2243" s="17"/>
      <c r="H2243" s="17"/>
    </row>
    <row r="2244" spans="1:8" x14ac:dyDescent="0.2">
      <c r="A2244" s="16"/>
      <c r="B2244" s="16"/>
      <c r="C2244" s="17"/>
      <c r="D2244" s="17"/>
      <c r="E2244" s="17"/>
      <c r="F2244" s="17"/>
      <c r="G2244" s="17"/>
      <c r="H2244" s="17"/>
    </row>
    <row r="2245" spans="1:8" x14ac:dyDescent="0.2">
      <c r="A2245" s="16"/>
      <c r="B2245" s="16"/>
      <c r="C2245" s="17"/>
      <c r="D2245" s="17"/>
      <c r="E2245" s="17"/>
      <c r="F2245" s="17"/>
      <c r="G2245" s="17"/>
      <c r="H2245" s="17"/>
    </row>
    <row r="2246" spans="1:8" x14ac:dyDescent="0.2">
      <c r="A2246" s="16"/>
      <c r="B2246" s="16"/>
      <c r="C2246" s="17"/>
      <c r="D2246" s="17"/>
      <c r="E2246" s="17"/>
      <c r="F2246" s="17"/>
      <c r="G2246" s="17"/>
      <c r="H2246" s="17"/>
    </row>
    <row r="2247" spans="1:8" x14ac:dyDescent="0.2">
      <c r="A2247" s="16"/>
      <c r="B2247" s="16"/>
      <c r="C2247" s="17"/>
      <c r="D2247" s="17"/>
      <c r="E2247" s="17"/>
      <c r="F2247" s="17"/>
      <c r="G2247" s="17"/>
      <c r="H2247" s="17"/>
    </row>
    <row r="2248" spans="1:8" x14ac:dyDescent="0.2">
      <c r="A2248" s="16"/>
      <c r="B2248" s="16"/>
      <c r="C2248" s="17"/>
      <c r="D2248" s="17"/>
      <c r="E2248" s="17"/>
      <c r="F2248" s="17"/>
      <c r="G2248" s="17"/>
      <c r="H2248" s="17"/>
    </row>
    <row r="2249" spans="1:8" x14ac:dyDescent="0.2">
      <c r="A2249" s="16"/>
      <c r="B2249" s="16"/>
      <c r="C2249" s="17"/>
      <c r="D2249" s="17"/>
      <c r="E2249" s="17"/>
      <c r="F2249" s="17"/>
      <c r="G2249" s="17"/>
      <c r="H2249" s="17"/>
    </row>
    <row r="2250" spans="1:8" x14ac:dyDescent="0.2">
      <c r="A2250" s="16"/>
      <c r="B2250" s="16"/>
      <c r="C2250" s="17"/>
      <c r="D2250" s="17"/>
      <c r="E2250" s="17"/>
      <c r="F2250" s="17"/>
      <c r="G2250" s="17"/>
      <c r="H2250" s="17"/>
    </row>
    <row r="2251" spans="1:8" x14ac:dyDescent="0.2">
      <c r="A2251" s="16"/>
      <c r="B2251" s="16"/>
      <c r="C2251" s="17"/>
      <c r="D2251" s="17"/>
      <c r="E2251" s="17"/>
      <c r="F2251" s="17"/>
      <c r="G2251" s="17"/>
      <c r="H2251" s="17"/>
    </row>
    <row r="2252" spans="1:8" x14ac:dyDescent="0.2">
      <c r="A2252" s="16"/>
      <c r="B2252" s="16"/>
      <c r="C2252" s="17"/>
      <c r="D2252" s="17"/>
      <c r="E2252" s="17"/>
      <c r="F2252" s="17"/>
      <c r="G2252" s="17"/>
      <c r="H2252" s="17"/>
    </row>
    <row r="2253" spans="1:8" x14ac:dyDescent="0.2">
      <c r="A2253" s="16"/>
      <c r="B2253" s="16"/>
      <c r="C2253" s="17"/>
      <c r="D2253" s="17"/>
      <c r="E2253" s="17"/>
      <c r="F2253" s="17"/>
      <c r="G2253" s="17"/>
      <c r="H2253" s="17"/>
    </row>
    <row r="2254" spans="1:8" x14ac:dyDescent="0.2">
      <c r="A2254" s="16"/>
      <c r="B2254" s="16"/>
      <c r="C2254" s="17"/>
      <c r="D2254" s="17"/>
      <c r="E2254" s="17"/>
      <c r="F2254" s="17"/>
      <c r="G2254" s="17"/>
      <c r="H2254" s="17"/>
    </row>
    <row r="2255" spans="1:8" x14ac:dyDescent="0.2">
      <c r="A2255" s="16"/>
      <c r="B2255" s="16"/>
      <c r="C2255" s="17"/>
      <c r="D2255" s="17"/>
      <c r="E2255" s="17"/>
      <c r="F2255" s="17"/>
      <c r="G2255" s="17"/>
      <c r="H2255" s="17"/>
    </row>
    <row r="2256" spans="1:8" x14ac:dyDescent="0.2">
      <c r="A2256" s="16"/>
      <c r="B2256" s="16"/>
      <c r="C2256" s="17"/>
      <c r="D2256" s="17"/>
      <c r="E2256" s="17"/>
      <c r="F2256" s="17"/>
      <c r="G2256" s="17"/>
      <c r="H2256" s="17"/>
    </row>
    <row r="2257" spans="1:8" x14ac:dyDescent="0.2">
      <c r="A2257" s="16"/>
      <c r="B2257" s="16"/>
      <c r="C2257" s="17"/>
      <c r="D2257" s="17"/>
      <c r="E2257" s="17"/>
      <c r="F2257" s="17"/>
      <c r="G2257" s="17"/>
      <c r="H2257" s="17"/>
    </row>
    <row r="2258" spans="1:8" x14ac:dyDescent="0.2">
      <c r="A2258" s="16"/>
      <c r="B2258" s="16"/>
      <c r="C2258" s="17"/>
      <c r="D2258" s="17"/>
      <c r="E2258" s="17"/>
      <c r="F2258" s="17"/>
      <c r="G2258" s="17"/>
      <c r="H2258" s="17"/>
    </row>
    <row r="2259" spans="1:8" x14ac:dyDescent="0.2">
      <c r="A2259" s="16"/>
      <c r="B2259" s="16"/>
      <c r="C2259" s="17"/>
      <c r="D2259" s="17"/>
      <c r="E2259" s="17"/>
      <c r="F2259" s="17"/>
      <c r="G2259" s="17"/>
      <c r="H2259" s="17"/>
    </row>
    <row r="2260" spans="1:8" x14ac:dyDescent="0.2">
      <c r="A2260" s="16"/>
      <c r="B2260" s="16"/>
      <c r="C2260" s="17"/>
      <c r="D2260" s="17"/>
      <c r="E2260" s="17"/>
      <c r="F2260" s="17"/>
      <c r="G2260" s="17"/>
      <c r="H2260" s="17"/>
    </row>
    <row r="2261" spans="1:8" x14ac:dyDescent="0.2">
      <c r="A2261" s="16"/>
      <c r="B2261" s="16"/>
      <c r="C2261" s="17"/>
      <c r="D2261" s="17"/>
      <c r="E2261" s="17"/>
      <c r="F2261" s="17"/>
      <c r="G2261" s="17"/>
      <c r="H2261" s="17"/>
    </row>
    <row r="2262" spans="1:8" x14ac:dyDescent="0.2">
      <c r="A2262" s="16"/>
      <c r="B2262" s="16"/>
      <c r="C2262" s="17"/>
      <c r="D2262" s="17"/>
      <c r="E2262" s="17"/>
      <c r="F2262" s="17"/>
      <c r="G2262" s="17"/>
      <c r="H2262" s="17"/>
    </row>
    <row r="2263" spans="1:8" x14ac:dyDescent="0.2">
      <c r="A2263" s="16"/>
      <c r="B2263" s="16"/>
      <c r="C2263" s="17"/>
      <c r="D2263" s="17"/>
      <c r="E2263" s="17"/>
      <c r="F2263" s="17"/>
      <c r="G2263" s="17"/>
      <c r="H2263" s="17"/>
    </row>
    <row r="2264" spans="1:8" x14ac:dyDescent="0.2">
      <c r="A2264" s="16"/>
      <c r="B2264" s="16"/>
      <c r="C2264" s="17"/>
      <c r="D2264" s="17"/>
      <c r="E2264" s="17"/>
      <c r="F2264" s="17"/>
      <c r="G2264" s="17"/>
      <c r="H2264" s="17"/>
    </row>
    <row r="2265" spans="1:8" x14ac:dyDescent="0.2">
      <c r="A2265" s="16"/>
      <c r="B2265" s="16"/>
      <c r="C2265" s="17"/>
      <c r="D2265" s="17"/>
      <c r="E2265" s="17"/>
      <c r="F2265" s="17"/>
      <c r="G2265" s="17"/>
      <c r="H2265" s="17"/>
    </row>
    <row r="2266" spans="1:8" x14ac:dyDescent="0.2">
      <c r="A2266" s="16"/>
      <c r="B2266" s="16"/>
      <c r="C2266" s="17"/>
      <c r="D2266" s="17"/>
      <c r="E2266" s="17"/>
      <c r="F2266" s="17"/>
      <c r="G2266" s="17"/>
      <c r="H2266" s="17"/>
    </row>
    <row r="2267" spans="1:8" x14ac:dyDescent="0.2">
      <c r="A2267" s="16"/>
      <c r="B2267" s="16"/>
      <c r="C2267" s="17"/>
      <c r="D2267" s="17"/>
      <c r="E2267" s="17"/>
      <c r="F2267" s="17"/>
      <c r="G2267" s="17"/>
      <c r="H2267" s="17"/>
    </row>
    <row r="2268" spans="1:8" x14ac:dyDescent="0.2">
      <c r="A2268" s="16"/>
      <c r="B2268" s="16"/>
      <c r="C2268" s="17"/>
      <c r="D2268" s="17"/>
      <c r="E2268" s="17"/>
      <c r="F2268" s="17"/>
      <c r="G2268" s="17"/>
      <c r="H2268" s="17"/>
    </row>
    <row r="2269" spans="1:8" x14ac:dyDescent="0.2">
      <c r="A2269" s="16"/>
      <c r="B2269" s="16"/>
      <c r="C2269" s="17"/>
      <c r="D2269" s="17"/>
      <c r="E2269" s="17"/>
      <c r="F2269" s="17"/>
      <c r="G2269" s="17"/>
      <c r="H2269" s="17"/>
    </row>
    <row r="2270" spans="1:8" x14ac:dyDescent="0.2">
      <c r="A2270" s="16"/>
      <c r="B2270" s="16"/>
      <c r="C2270" s="17"/>
      <c r="D2270" s="17"/>
      <c r="E2270" s="17"/>
      <c r="F2270" s="17"/>
      <c r="G2270" s="17"/>
      <c r="H2270" s="17"/>
    </row>
    <row r="2271" spans="1:8" x14ac:dyDescent="0.2">
      <c r="A2271" s="16"/>
      <c r="B2271" s="16"/>
      <c r="C2271" s="17"/>
      <c r="D2271" s="17"/>
      <c r="E2271" s="17"/>
      <c r="F2271" s="17"/>
      <c r="G2271" s="17"/>
      <c r="H2271" s="17"/>
    </row>
    <row r="2272" spans="1:8" x14ac:dyDescent="0.2">
      <c r="A2272" s="16"/>
      <c r="B2272" s="16"/>
      <c r="C2272" s="17"/>
      <c r="D2272" s="17"/>
      <c r="E2272" s="17"/>
      <c r="F2272" s="17"/>
      <c r="G2272" s="17"/>
      <c r="H2272" s="17"/>
    </row>
    <row r="2273" spans="1:8" x14ac:dyDescent="0.2">
      <c r="A2273" s="16"/>
      <c r="B2273" s="16"/>
      <c r="C2273" s="17"/>
      <c r="D2273" s="17"/>
      <c r="E2273" s="17"/>
      <c r="F2273" s="17"/>
      <c r="G2273" s="17"/>
      <c r="H2273" s="17"/>
    </row>
    <row r="2274" spans="1:8" x14ac:dyDescent="0.2">
      <c r="A2274" s="16"/>
      <c r="B2274" s="16"/>
      <c r="C2274" s="17"/>
      <c r="D2274" s="17"/>
      <c r="E2274" s="17"/>
      <c r="F2274" s="17"/>
      <c r="G2274" s="17"/>
      <c r="H2274" s="17"/>
    </row>
    <row r="2275" spans="1:8" x14ac:dyDescent="0.2">
      <c r="A2275" s="16"/>
      <c r="B2275" s="16"/>
      <c r="C2275" s="17"/>
      <c r="D2275" s="17"/>
      <c r="E2275" s="17"/>
      <c r="F2275" s="17"/>
      <c r="G2275" s="17"/>
      <c r="H2275" s="17"/>
    </row>
    <row r="2276" spans="1:8" x14ac:dyDescent="0.2">
      <c r="A2276" s="16"/>
      <c r="B2276" s="16"/>
      <c r="C2276" s="17"/>
      <c r="D2276" s="17"/>
      <c r="E2276" s="17"/>
      <c r="F2276" s="17"/>
      <c r="G2276" s="17"/>
      <c r="H2276" s="17"/>
    </row>
    <row r="2277" spans="1:8" x14ac:dyDescent="0.2">
      <c r="A2277" s="16"/>
      <c r="B2277" s="16"/>
      <c r="C2277" s="17"/>
      <c r="D2277" s="17"/>
      <c r="E2277" s="17"/>
      <c r="F2277" s="17"/>
      <c r="G2277" s="17"/>
      <c r="H2277" s="17"/>
    </row>
    <row r="2278" spans="1:8" x14ac:dyDescent="0.2">
      <c r="A2278" s="16"/>
      <c r="B2278" s="16"/>
      <c r="C2278" s="17"/>
      <c r="D2278" s="17"/>
      <c r="E2278" s="17"/>
      <c r="F2278" s="17"/>
      <c r="G2278" s="17"/>
      <c r="H2278" s="17"/>
    </row>
    <row r="2279" spans="1:8" x14ac:dyDescent="0.2">
      <c r="A2279" s="16"/>
      <c r="B2279" s="16"/>
      <c r="C2279" s="17"/>
      <c r="D2279" s="17"/>
      <c r="E2279" s="17"/>
      <c r="F2279" s="17"/>
      <c r="G2279" s="17"/>
      <c r="H2279" s="17"/>
    </row>
    <row r="2280" spans="1:8" x14ac:dyDescent="0.2">
      <c r="A2280" s="16"/>
      <c r="B2280" s="16"/>
      <c r="C2280" s="17"/>
      <c r="D2280" s="17"/>
      <c r="E2280" s="17"/>
      <c r="F2280" s="17"/>
      <c r="G2280" s="17"/>
      <c r="H2280" s="17"/>
    </row>
    <row r="2281" spans="1:8" x14ac:dyDescent="0.2">
      <c r="A2281" s="16"/>
      <c r="B2281" s="16"/>
      <c r="C2281" s="17"/>
      <c r="D2281" s="17"/>
      <c r="E2281" s="17"/>
      <c r="F2281" s="17"/>
      <c r="G2281" s="17"/>
      <c r="H2281" s="17"/>
    </row>
    <row r="2282" spans="1:8" x14ac:dyDescent="0.2">
      <c r="A2282" s="16"/>
      <c r="B2282" s="16"/>
      <c r="C2282" s="17"/>
      <c r="D2282" s="17"/>
      <c r="E2282" s="17"/>
      <c r="F2282" s="17"/>
      <c r="G2282" s="17"/>
      <c r="H2282" s="17"/>
    </row>
    <row r="2283" spans="1:8" x14ac:dyDescent="0.2">
      <c r="A2283" s="16"/>
      <c r="B2283" s="16"/>
      <c r="C2283" s="17"/>
      <c r="D2283" s="17"/>
      <c r="E2283" s="17"/>
      <c r="F2283" s="17"/>
      <c r="G2283" s="17"/>
      <c r="H2283" s="17"/>
    </row>
    <row r="2284" spans="1:8" x14ac:dyDescent="0.2">
      <c r="A2284" s="16"/>
      <c r="B2284" s="16"/>
      <c r="C2284" s="17"/>
      <c r="D2284" s="17"/>
      <c r="E2284" s="17"/>
      <c r="F2284" s="17"/>
      <c r="G2284" s="17"/>
      <c r="H2284" s="17"/>
    </row>
    <row r="2285" spans="1:8" x14ac:dyDescent="0.2">
      <c r="A2285" s="16"/>
      <c r="B2285" s="16"/>
      <c r="C2285" s="17"/>
      <c r="D2285" s="17"/>
      <c r="E2285" s="17"/>
      <c r="F2285" s="17"/>
      <c r="G2285" s="17"/>
      <c r="H2285" s="17"/>
    </row>
    <row r="2286" spans="1:8" x14ac:dyDescent="0.2">
      <c r="A2286" s="16"/>
      <c r="B2286" s="16"/>
      <c r="C2286" s="17"/>
      <c r="D2286" s="17"/>
      <c r="E2286" s="17"/>
      <c r="F2286" s="17"/>
      <c r="G2286" s="17"/>
      <c r="H2286" s="17"/>
    </row>
    <row r="2287" spans="1:8" x14ac:dyDescent="0.2">
      <c r="A2287" s="16"/>
      <c r="B2287" s="16"/>
      <c r="C2287" s="17"/>
      <c r="D2287" s="17"/>
      <c r="E2287" s="17"/>
      <c r="F2287" s="17"/>
      <c r="G2287" s="17"/>
      <c r="H2287" s="17"/>
    </row>
    <row r="2288" spans="1:8" x14ac:dyDescent="0.2">
      <c r="A2288" s="16"/>
      <c r="B2288" s="16"/>
      <c r="C2288" s="17"/>
      <c r="D2288" s="17"/>
      <c r="E2288" s="17"/>
      <c r="F2288" s="17"/>
      <c r="G2288" s="17"/>
      <c r="H2288" s="17"/>
    </row>
    <row r="2289" spans="1:8" x14ac:dyDescent="0.2">
      <c r="A2289" s="16"/>
      <c r="B2289" s="16"/>
      <c r="C2289" s="17"/>
      <c r="D2289" s="17"/>
      <c r="E2289" s="17"/>
      <c r="F2289" s="17"/>
      <c r="G2289" s="17"/>
      <c r="H2289" s="17"/>
    </row>
    <row r="2290" spans="1:8" x14ac:dyDescent="0.2">
      <c r="A2290" s="16"/>
      <c r="B2290" s="16"/>
      <c r="C2290" s="17"/>
      <c r="D2290" s="17"/>
      <c r="E2290" s="17"/>
      <c r="F2290" s="17"/>
      <c r="G2290" s="17"/>
      <c r="H2290" s="17"/>
    </row>
    <row r="2291" spans="1:8" x14ac:dyDescent="0.2">
      <c r="A2291" s="16"/>
      <c r="B2291" s="16"/>
      <c r="C2291" s="17"/>
      <c r="D2291" s="17"/>
      <c r="E2291" s="17"/>
      <c r="F2291" s="17"/>
      <c r="G2291" s="17"/>
      <c r="H2291" s="17"/>
    </row>
    <row r="2292" spans="1:8" x14ac:dyDescent="0.2">
      <c r="A2292" s="16"/>
      <c r="B2292" s="16"/>
      <c r="C2292" s="17"/>
      <c r="D2292" s="17"/>
      <c r="E2292" s="17"/>
      <c r="F2292" s="17"/>
      <c r="G2292" s="17"/>
      <c r="H2292" s="17"/>
    </row>
    <row r="2293" spans="1:8" x14ac:dyDescent="0.2">
      <c r="A2293" s="16"/>
      <c r="B2293" s="16"/>
      <c r="C2293" s="17"/>
      <c r="D2293" s="17"/>
      <c r="E2293" s="17"/>
      <c r="F2293" s="17"/>
      <c r="G2293" s="17"/>
      <c r="H2293" s="17"/>
    </row>
    <row r="2294" spans="1:8" x14ac:dyDescent="0.2">
      <c r="A2294" s="16"/>
      <c r="B2294" s="16"/>
      <c r="C2294" s="17"/>
      <c r="D2294" s="17"/>
      <c r="E2294" s="17"/>
      <c r="F2294" s="17"/>
      <c r="G2294" s="17"/>
      <c r="H2294" s="17"/>
    </row>
    <row r="2295" spans="1:8" x14ac:dyDescent="0.2">
      <c r="A2295" s="16"/>
      <c r="B2295" s="16"/>
      <c r="C2295" s="17"/>
      <c r="D2295" s="17"/>
      <c r="E2295" s="17"/>
      <c r="F2295" s="17"/>
      <c r="G2295" s="17"/>
      <c r="H2295" s="17"/>
    </row>
    <row r="2296" spans="1:8" x14ac:dyDescent="0.2">
      <c r="A2296" s="16"/>
      <c r="B2296" s="16"/>
      <c r="C2296" s="17"/>
      <c r="D2296" s="17"/>
      <c r="E2296" s="17"/>
      <c r="F2296" s="17"/>
      <c r="G2296" s="17"/>
      <c r="H2296" s="17"/>
    </row>
    <row r="2297" spans="1:8" x14ac:dyDescent="0.2">
      <c r="A2297" s="16"/>
      <c r="B2297" s="16"/>
      <c r="C2297" s="17"/>
      <c r="D2297" s="17"/>
      <c r="E2297" s="17"/>
      <c r="F2297" s="17"/>
      <c r="G2297" s="17"/>
      <c r="H2297" s="17"/>
    </row>
    <row r="2298" spans="1:8" x14ac:dyDescent="0.2">
      <c r="A2298" s="16"/>
      <c r="B2298" s="16"/>
      <c r="C2298" s="17"/>
      <c r="D2298" s="17"/>
      <c r="E2298" s="17"/>
      <c r="F2298" s="17"/>
      <c r="G2298" s="17"/>
      <c r="H2298" s="17"/>
    </row>
    <row r="2299" spans="1:8" x14ac:dyDescent="0.2">
      <c r="A2299" s="16"/>
      <c r="B2299" s="16"/>
      <c r="C2299" s="17"/>
      <c r="D2299" s="17"/>
      <c r="E2299" s="17"/>
      <c r="F2299" s="17"/>
      <c r="G2299" s="17"/>
      <c r="H2299" s="17"/>
    </row>
    <row r="2300" spans="1:8" x14ac:dyDescent="0.2">
      <c r="A2300" s="16"/>
      <c r="B2300" s="16"/>
      <c r="C2300" s="17"/>
      <c r="D2300" s="17"/>
      <c r="E2300" s="17"/>
      <c r="F2300" s="17"/>
      <c r="G2300" s="17"/>
      <c r="H2300" s="17"/>
    </row>
    <row r="2301" spans="1:8" x14ac:dyDescent="0.2">
      <c r="A2301" s="16"/>
      <c r="B2301" s="16"/>
      <c r="C2301" s="17"/>
      <c r="D2301" s="17"/>
      <c r="E2301" s="17"/>
      <c r="F2301" s="17"/>
      <c r="G2301" s="17"/>
      <c r="H2301" s="17"/>
    </row>
    <row r="2302" spans="1:8" x14ac:dyDescent="0.2">
      <c r="A2302" s="16"/>
      <c r="B2302" s="16"/>
      <c r="C2302" s="17"/>
      <c r="D2302" s="17"/>
      <c r="E2302" s="17"/>
      <c r="F2302" s="17"/>
      <c r="G2302" s="17"/>
      <c r="H2302" s="17"/>
    </row>
    <row r="2303" spans="1:8" x14ac:dyDescent="0.2">
      <c r="A2303" s="16"/>
      <c r="B2303" s="16"/>
      <c r="C2303" s="17"/>
      <c r="D2303" s="17"/>
      <c r="E2303" s="17"/>
      <c r="F2303" s="17"/>
      <c r="G2303" s="17"/>
      <c r="H2303" s="17"/>
    </row>
    <row r="2304" spans="1:8" x14ac:dyDescent="0.2">
      <c r="A2304" s="16"/>
      <c r="B2304" s="16"/>
      <c r="C2304" s="17"/>
      <c r="D2304" s="17"/>
      <c r="E2304" s="17"/>
      <c r="F2304" s="17"/>
      <c r="G2304" s="17"/>
      <c r="H2304" s="17"/>
    </row>
    <row r="2305" spans="1:8" x14ac:dyDescent="0.2">
      <c r="A2305" s="16"/>
      <c r="B2305" s="16"/>
      <c r="C2305" s="17"/>
      <c r="D2305" s="17"/>
      <c r="E2305" s="17"/>
      <c r="F2305" s="17"/>
      <c r="G2305" s="17"/>
      <c r="H2305" s="17"/>
    </row>
    <row r="2306" spans="1:8" x14ac:dyDescent="0.2">
      <c r="A2306" s="16"/>
      <c r="B2306" s="16"/>
      <c r="C2306" s="17"/>
      <c r="D2306" s="17"/>
      <c r="E2306" s="17"/>
      <c r="F2306" s="17"/>
      <c r="G2306" s="17"/>
      <c r="H2306" s="17"/>
    </row>
    <row r="2307" spans="1:8" x14ac:dyDescent="0.2">
      <c r="A2307" s="16"/>
      <c r="B2307" s="16"/>
      <c r="C2307" s="17"/>
      <c r="D2307" s="17"/>
      <c r="E2307" s="17"/>
      <c r="F2307" s="17"/>
      <c r="G2307" s="17"/>
      <c r="H2307" s="17"/>
    </row>
    <row r="2308" spans="1:8" x14ac:dyDescent="0.2">
      <c r="A2308" s="16"/>
      <c r="B2308" s="16"/>
      <c r="C2308" s="17"/>
      <c r="D2308" s="17"/>
      <c r="E2308" s="17"/>
      <c r="F2308" s="17"/>
      <c r="G2308" s="17"/>
      <c r="H2308" s="17"/>
    </row>
    <row r="2309" spans="1:8" x14ac:dyDescent="0.2">
      <c r="A2309" s="16"/>
      <c r="B2309" s="16"/>
      <c r="C2309" s="17"/>
      <c r="D2309" s="17"/>
      <c r="E2309" s="17"/>
      <c r="F2309" s="17"/>
      <c r="G2309" s="17"/>
      <c r="H2309" s="17"/>
    </row>
    <row r="2310" spans="1:8" x14ac:dyDescent="0.2">
      <c r="A2310" s="16"/>
      <c r="B2310" s="16"/>
      <c r="C2310" s="17"/>
      <c r="D2310" s="17"/>
      <c r="E2310" s="17"/>
      <c r="F2310" s="17"/>
      <c r="G2310" s="17"/>
      <c r="H2310" s="17"/>
    </row>
    <row r="2311" spans="1:8" x14ac:dyDescent="0.2">
      <c r="A2311" s="16"/>
      <c r="B2311" s="16"/>
      <c r="C2311" s="17"/>
      <c r="D2311" s="17"/>
      <c r="E2311" s="17"/>
      <c r="F2311" s="17"/>
      <c r="G2311" s="17"/>
      <c r="H2311" s="17"/>
    </row>
    <row r="2312" spans="1:8" x14ac:dyDescent="0.2">
      <c r="A2312" s="16"/>
      <c r="B2312" s="16"/>
      <c r="C2312" s="17"/>
      <c r="D2312" s="17"/>
      <c r="E2312" s="17"/>
      <c r="F2312" s="17"/>
      <c r="G2312" s="17"/>
      <c r="H2312" s="17"/>
    </row>
    <row r="2313" spans="1:8" x14ac:dyDescent="0.2">
      <c r="A2313" s="16"/>
      <c r="B2313" s="16"/>
      <c r="C2313" s="17"/>
      <c r="D2313" s="17"/>
      <c r="E2313" s="17"/>
      <c r="F2313" s="17"/>
      <c r="G2313" s="17"/>
      <c r="H2313" s="17"/>
    </row>
    <row r="2314" spans="1:8" x14ac:dyDescent="0.2">
      <c r="A2314" s="16"/>
      <c r="B2314" s="16"/>
      <c r="C2314" s="17"/>
      <c r="D2314" s="17"/>
      <c r="E2314" s="17"/>
      <c r="F2314" s="17"/>
      <c r="G2314" s="17"/>
      <c r="H2314" s="17"/>
    </row>
    <row r="2315" spans="1:8" x14ac:dyDescent="0.2">
      <c r="A2315" s="16"/>
      <c r="B2315" s="16"/>
      <c r="C2315" s="17"/>
      <c r="D2315" s="17"/>
      <c r="E2315" s="17"/>
      <c r="F2315" s="17"/>
      <c r="G2315" s="17"/>
      <c r="H2315" s="17"/>
    </row>
    <row r="2316" spans="1:8" x14ac:dyDescent="0.2">
      <c r="A2316" s="16"/>
      <c r="B2316" s="16"/>
      <c r="C2316" s="17"/>
      <c r="D2316" s="17"/>
      <c r="E2316" s="17"/>
      <c r="F2316" s="17"/>
      <c r="G2316" s="17"/>
      <c r="H2316" s="17"/>
    </row>
    <row r="2317" spans="1:8" x14ac:dyDescent="0.2">
      <c r="A2317" s="16"/>
      <c r="B2317" s="16"/>
      <c r="C2317" s="17"/>
      <c r="D2317" s="17"/>
      <c r="E2317" s="17"/>
      <c r="F2317" s="17"/>
      <c r="G2317" s="17"/>
      <c r="H2317" s="17"/>
    </row>
    <row r="2318" spans="1:8" x14ac:dyDescent="0.2">
      <c r="A2318" s="16"/>
      <c r="B2318" s="16"/>
      <c r="C2318" s="17"/>
      <c r="D2318" s="17"/>
      <c r="E2318" s="17"/>
      <c r="F2318" s="17"/>
      <c r="G2318" s="17"/>
      <c r="H2318" s="17"/>
    </row>
    <row r="2319" spans="1:8" x14ac:dyDescent="0.2">
      <c r="A2319" s="16"/>
      <c r="B2319" s="16"/>
      <c r="C2319" s="17"/>
      <c r="D2319" s="17"/>
      <c r="E2319" s="17"/>
      <c r="F2319" s="17"/>
      <c r="G2319" s="17"/>
      <c r="H2319" s="17"/>
    </row>
    <row r="2320" spans="1:8" x14ac:dyDescent="0.2">
      <c r="A2320" s="16"/>
      <c r="B2320" s="16"/>
      <c r="C2320" s="17"/>
      <c r="D2320" s="17"/>
      <c r="E2320" s="17"/>
      <c r="F2320" s="17"/>
      <c r="G2320" s="17"/>
      <c r="H2320" s="17"/>
    </row>
    <row r="2321" spans="1:8" x14ac:dyDescent="0.2">
      <c r="A2321" s="16"/>
      <c r="B2321" s="16"/>
      <c r="C2321" s="17"/>
      <c r="D2321" s="17"/>
      <c r="E2321" s="17"/>
      <c r="F2321" s="17"/>
      <c r="G2321" s="17"/>
      <c r="H2321" s="17"/>
    </row>
    <row r="2322" spans="1:8" x14ac:dyDescent="0.2">
      <c r="A2322" s="16"/>
      <c r="B2322" s="16"/>
      <c r="C2322" s="17"/>
      <c r="D2322" s="17"/>
      <c r="E2322" s="17"/>
      <c r="F2322" s="17"/>
      <c r="G2322" s="17"/>
      <c r="H2322" s="17"/>
    </row>
    <row r="2323" spans="1:8" x14ac:dyDescent="0.2">
      <c r="A2323" s="16"/>
      <c r="B2323" s="16"/>
      <c r="C2323" s="17"/>
      <c r="D2323" s="17"/>
      <c r="E2323" s="17"/>
      <c r="F2323" s="17"/>
      <c r="G2323" s="17"/>
      <c r="H2323" s="17"/>
    </row>
    <row r="2324" spans="1:8" x14ac:dyDescent="0.2">
      <c r="A2324" s="16"/>
      <c r="B2324" s="16"/>
      <c r="C2324" s="17"/>
      <c r="D2324" s="17"/>
      <c r="E2324" s="17"/>
      <c r="F2324" s="17"/>
      <c r="G2324" s="17"/>
      <c r="H2324" s="17"/>
    </row>
    <row r="2325" spans="1:8" x14ac:dyDescent="0.2">
      <c r="A2325" s="16"/>
      <c r="B2325" s="16"/>
      <c r="C2325" s="17"/>
      <c r="D2325" s="17"/>
      <c r="E2325" s="17"/>
      <c r="F2325" s="17"/>
      <c r="G2325" s="17"/>
      <c r="H2325" s="17"/>
    </row>
    <row r="2326" spans="1:8" x14ac:dyDescent="0.2">
      <c r="A2326" s="16"/>
      <c r="B2326" s="16"/>
      <c r="C2326" s="17"/>
      <c r="D2326" s="17"/>
      <c r="E2326" s="17"/>
      <c r="F2326" s="17"/>
      <c r="G2326" s="17"/>
      <c r="H2326" s="17"/>
    </row>
    <row r="2327" spans="1:8" x14ac:dyDescent="0.2">
      <c r="A2327" s="16"/>
      <c r="B2327" s="16"/>
      <c r="C2327" s="17"/>
      <c r="D2327" s="17"/>
      <c r="E2327" s="17"/>
      <c r="F2327" s="17"/>
      <c r="G2327" s="17"/>
      <c r="H2327" s="17"/>
    </row>
    <row r="2328" spans="1:8" x14ac:dyDescent="0.2">
      <c r="A2328" s="16"/>
      <c r="B2328" s="16"/>
      <c r="C2328" s="17"/>
      <c r="D2328" s="17"/>
      <c r="E2328" s="17"/>
      <c r="F2328" s="17"/>
      <c r="G2328" s="17"/>
      <c r="H2328" s="17"/>
    </row>
    <row r="2329" spans="1:8" x14ac:dyDescent="0.2">
      <c r="A2329" s="16"/>
      <c r="B2329" s="16"/>
      <c r="C2329" s="17"/>
      <c r="D2329" s="17"/>
      <c r="E2329" s="17"/>
      <c r="F2329" s="17"/>
      <c r="G2329" s="17"/>
      <c r="H2329" s="17"/>
    </row>
    <row r="2330" spans="1:8" x14ac:dyDescent="0.2">
      <c r="A2330" s="16"/>
      <c r="B2330" s="16"/>
      <c r="C2330" s="17"/>
      <c r="D2330" s="17"/>
      <c r="E2330" s="17"/>
      <c r="F2330" s="17"/>
      <c r="G2330" s="17"/>
      <c r="H2330" s="17"/>
    </row>
    <row r="2331" spans="1:8" x14ac:dyDescent="0.2">
      <c r="A2331" s="16"/>
      <c r="B2331" s="16"/>
      <c r="C2331" s="17"/>
      <c r="D2331" s="17"/>
      <c r="E2331" s="17"/>
      <c r="F2331" s="17"/>
      <c r="G2331" s="17"/>
      <c r="H2331" s="17"/>
    </row>
    <row r="2332" spans="1:8" x14ac:dyDescent="0.2">
      <c r="A2332" s="16"/>
      <c r="B2332" s="16"/>
      <c r="C2332" s="17"/>
      <c r="D2332" s="17"/>
      <c r="E2332" s="17"/>
      <c r="F2332" s="17"/>
      <c r="G2332" s="17"/>
      <c r="H2332" s="17"/>
    </row>
    <row r="2333" spans="1:8" x14ac:dyDescent="0.2">
      <c r="A2333" s="16"/>
      <c r="B2333" s="16"/>
      <c r="C2333" s="17"/>
      <c r="D2333" s="17"/>
      <c r="E2333" s="17"/>
      <c r="F2333" s="17"/>
      <c r="G2333" s="17"/>
      <c r="H2333" s="17"/>
    </row>
    <row r="2334" spans="1:8" x14ac:dyDescent="0.2">
      <c r="A2334" s="16"/>
      <c r="B2334" s="16"/>
      <c r="C2334" s="17"/>
      <c r="D2334" s="17"/>
      <c r="E2334" s="17"/>
      <c r="F2334" s="17"/>
      <c r="G2334" s="17"/>
      <c r="H2334" s="17"/>
    </row>
    <row r="2335" spans="1:8" x14ac:dyDescent="0.2">
      <c r="A2335" s="16"/>
      <c r="B2335" s="16"/>
      <c r="C2335" s="17"/>
      <c r="D2335" s="17"/>
      <c r="E2335" s="17"/>
      <c r="F2335" s="17"/>
      <c r="G2335" s="17"/>
      <c r="H2335" s="17"/>
    </row>
    <row r="2336" spans="1:8" x14ac:dyDescent="0.2">
      <c r="A2336" s="16"/>
      <c r="B2336" s="16"/>
      <c r="C2336" s="17"/>
      <c r="D2336" s="17"/>
      <c r="E2336" s="17"/>
      <c r="F2336" s="17"/>
      <c r="G2336" s="17"/>
      <c r="H2336" s="17"/>
    </row>
    <row r="2337" spans="1:8" x14ac:dyDescent="0.2">
      <c r="A2337" s="16"/>
      <c r="B2337" s="16"/>
      <c r="C2337" s="17"/>
      <c r="D2337" s="17"/>
      <c r="E2337" s="17"/>
      <c r="F2337" s="17"/>
      <c r="G2337" s="17"/>
      <c r="H2337" s="17"/>
    </row>
    <row r="2338" spans="1:8" x14ac:dyDescent="0.2">
      <c r="A2338" s="16"/>
      <c r="B2338" s="16"/>
      <c r="C2338" s="17"/>
      <c r="D2338" s="17"/>
      <c r="E2338" s="17"/>
      <c r="F2338" s="17"/>
      <c r="G2338" s="17"/>
      <c r="H2338" s="17"/>
    </row>
    <row r="2339" spans="1:8" x14ac:dyDescent="0.2">
      <c r="A2339" s="16"/>
      <c r="B2339" s="16"/>
      <c r="C2339" s="17"/>
      <c r="D2339" s="17"/>
      <c r="E2339" s="17"/>
      <c r="F2339" s="17"/>
      <c r="G2339" s="17"/>
      <c r="H2339" s="17"/>
    </row>
    <row r="2340" spans="1:8" x14ac:dyDescent="0.2">
      <c r="A2340" s="16"/>
      <c r="B2340" s="16"/>
      <c r="C2340" s="17"/>
      <c r="D2340" s="17"/>
      <c r="E2340" s="17"/>
      <c r="F2340" s="17"/>
      <c r="G2340" s="17"/>
      <c r="H2340" s="17"/>
    </row>
    <row r="2341" spans="1:8" x14ac:dyDescent="0.2">
      <c r="A2341" s="16"/>
      <c r="B2341" s="16"/>
      <c r="C2341" s="17"/>
      <c r="D2341" s="17"/>
      <c r="E2341" s="17"/>
      <c r="F2341" s="17"/>
      <c r="G2341" s="17"/>
      <c r="H2341" s="17"/>
    </row>
    <row r="2342" spans="1:8" x14ac:dyDescent="0.2">
      <c r="A2342" s="16"/>
      <c r="B2342" s="16"/>
      <c r="C2342" s="17"/>
      <c r="D2342" s="17"/>
      <c r="E2342" s="17"/>
      <c r="F2342" s="17"/>
      <c r="G2342" s="17"/>
      <c r="H2342" s="17"/>
    </row>
    <row r="2343" spans="1:8" x14ac:dyDescent="0.2">
      <c r="A2343" s="16"/>
      <c r="B2343" s="16"/>
      <c r="C2343" s="17"/>
      <c r="D2343" s="17"/>
      <c r="E2343" s="17"/>
      <c r="F2343" s="17"/>
      <c r="G2343" s="17"/>
      <c r="H2343" s="17"/>
    </row>
    <row r="2344" spans="1:8" x14ac:dyDescent="0.2">
      <c r="A2344" s="16"/>
      <c r="B2344" s="16"/>
      <c r="C2344" s="17"/>
      <c r="D2344" s="17"/>
      <c r="E2344" s="17"/>
      <c r="F2344" s="17"/>
      <c r="G2344" s="17"/>
      <c r="H2344" s="17"/>
    </row>
    <row r="2345" spans="1:8" x14ac:dyDescent="0.2">
      <c r="A2345" s="16"/>
      <c r="B2345" s="16"/>
      <c r="C2345" s="17"/>
      <c r="D2345" s="17"/>
      <c r="E2345" s="17"/>
      <c r="F2345" s="17"/>
      <c r="G2345" s="17"/>
      <c r="H2345" s="17"/>
    </row>
    <row r="2346" spans="1:8" x14ac:dyDescent="0.2">
      <c r="A2346" s="16"/>
      <c r="B2346" s="16"/>
      <c r="C2346" s="17"/>
      <c r="D2346" s="17"/>
      <c r="E2346" s="17"/>
      <c r="F2346" s="17"/>
      <c r="G2346" s="17"/>
      <c r="H2346" s="17"/>
    </row>
    <row r="2347" spans="1:8" x14ac:dyDescent="0.2">
      <c r="A2347" s="16"/>
      <c r="B2347" s="16"/>
      <c r="C2347" s="17"/>
      <c r="D2347" s="17"/>
      <c r="E2347" s="17"/>
      <c r="F2347" s="17"/>
      <c r="G2347" s="17"/>
      <c r="H2347" s="17"/>
    </row>
    <row r="2348" spans="1:8" x14ac:dyDescent="0.2">
      <c r="A2348" s="16"/>
      <c r="B2348" s="16"/>
      <c r="C2348" s="17"/>
      <c r="D2348" s="17"/>
      <c r="E2348" s="17"/>
      <c r="F2348" s="17"/>
      <c r="G2348" s="17"/>
      <c r="H2348" s="17"/>
    </row>
    <row r="2349" spans="1:8" x14ac:dyDescent="0.2">
      <c r="A2349" s="16"/>
      <c r="B2349" s="16"/>
      <c r="C2349" s="17"/>
      <c r="D2349" s="17"/>
      <c r="E2349" s="17"/>
      <c r="F2349" s="17"/>
      <c r="G2349" s="17"/>
      <c r="H2349" s="17"/>
    </row>
    <row r="2350" spans="1:8" x14ac:dyDescent="0.2">
      <c r="A2350" s="16"/>
      <c r="B2350" s="16"/>
      <c r="C2350" s="17"/>
      <c r="D2350" s="17"/>
      <c r="E2350" s="17"/>
      <c r="F2350" s="17"/>
      <c r="G2350" s="17"/>
      <c r="H2350" s="17"/>
    </row>
    <row r="2351" spans="1:8" x14ac:dyDescent="0.2">
      <c r="A2351" s="16"/>
      <c r="B2351" s="16"/>
      <c r="C2351" s="17"/>
      <c r="D2351" s="17"/>
      <c r="E2351" s="17"/>
      <c r="F2351" s="17"/>
      <c r="G2351" s="17"/>
      <c r="H2351" s="17"/>
    </row>
    <row r="2352" spans="1:8" x14ac:dyDescent="0.2">
      <c r="A2352" s="16"/>
      <c r="B2352" s="16"/>
      <c r="C2352" s="17"/>
      <c r="D2352" s="17"/>
      <c r="E2352" s="17"/>
      <c r="F2352" s="17"/>
      <c r="G2352" s="17"/>
      <c r="H2352" s="17"/>
    </row>
    <row r="2353" spans="1:8" x14ac:dyDescent="0.2">
      <c r="A2353" s="16"/>
      <c r="B2353" s="16"/>
      <c r="C2353" s="17"/>
      <c r="D2353" s="17"/>
      <c r="E2353" s="17"/>
      <c r="F2353" s="17"/>
      <c r="G2353" s="17"/>
      <c r="H2353" s="17"/>
    </row>
    <row r="2354" spans="1:8" x14ac:dyDescent="0.2">
      <c r="A2354" s="16"/>
      <c r="B2354" s="16"/>
      <c r="C2354" s="17"/>
      <c r="D2354" s="17"/>
      <c r="E2354" s="17"/>
      <c r="F2354" s="17"/>
      <c r="G2354" s="17"/>
      <c r="H2354" s="17"/>
    </row>
    <row r="2355" spans="1:8" x14ac:dyDescent="0.2">
      <c r="A2355" s="16"/>
      <c r="B2355" s="16"/>
      <c r="C2355" s="17"/>
      <c r="D2355" s="17"/>
      <c r="E2355" s="17"/>
      <c r="F2355" s="17"/>
      <c r="G2355" s="17"/>
      <c r="H2355" s="17"/>
    </row>
    <row r="2356" spans="1:8" x14ac:dyDescent="0.2">
      <c r="A2356" s="16"/>
      <c r="B2356" s="16"/>
      <c r="C2356" s="17"/>
      <c r="D2356" s="17"/>
      <c r="E2356" s="17"/>
      <c r="F2356" s="17"/>
      <c r="G2356" s="17"/>
      <c r="H2356" s="17"/>
    </row>
    <row r="2357" spans="1:8" x14ac:dyDescent="0.2">
      <c r="A2357" s="16"/>
      <c r="B2357" s="16"/>
      <c r="C2357" s="17"/>
      <c r="D2357" s="17"/>
      <c r="E2357" s="17"/>
      <c r="F2357" s="17"/>
      <c r="G2357" s="17"/>
      <c r="H2357" s="17"/>
    </row>
    <row r="2358" spans="1:8" x14ac:dyDescent="0.2">
      <c r="A2358" s="16"/>
      <c r="B2358" s="16"/>
      <c r="C2358" s="17"/>
      <c r="D2358" s="17"/>
      <c r="E2358" s="17"/>
      <c r="F2358" s="17"/>
      <c r="G2358" s="17"/>
      <c r="H2358" s="17"/>
    </row>
    <row r="2359" spans="1:8" x14ac:dyDescent="0.2">
      <c r="A2359" s="16"/>
      <c r="B2359" s="16"/>
      <c r="C2359" s="17"/>
      <c r="D2359" s="17"/>
      <c r="E2359" s="17"/>
      <c r="F2359" s="17"/>
      <c r="G2359" s="17"/>
      <c r="H2359" s="17"/>
    </row>
    <row r="2360" spans="1:8" x14ac:dyDescent="0.2">
      <c r="A2360" s="16"/>
      <c r="B2360" s="16"/>
      <c r="C2360" s="17"/>
      <c r="D2360" s="17"/>
      <c r="E2360" s="17"/>
      <c r="F2360" s="17"/>
      <c r="G2360" s="17"/>
      <c r="H2360" s="17"/>
    </row>
    <row r="2361" spans="1:8" x14ac:dyDescent="0.2">
      <c r="A2361" s="16"/>
      <c r="B2361" s="16"/>
      <c r="C2361" s="17"/>
      <c r="D2361" s="17"/>
      <c r="E2361" s="17"/>
      <c r="F2361" s="17"/>
      <c r="G2361" s="17"/>
      <c r="H2361" s="17"/>
    </row>
    <row r="2362" spans="1:8" x14ac:dyDescent="0.2">
      <c r="A2362" s="16"/>
      <c r="B2362" s="16"/>
      <c r="C2362" s="17"/>
      <c r="D2362" s="17"/>
      <c r="E2362" s="17"/>
      <c r="F2362" s="17"/>
      <c r="G2362" s="17"/>
      <c r="H2362" s="17"/>
    </row>
    <row r="2363" spans="1:8" x14ac:dyDescent="0.2">
      <c r="A2363" s="16"/>
      <c r="B2363" s="16"/>
      <c r="C2363" s="17"/>
      <c r="D2363" s="17"/>
      <c r="E2363" s="17"/>
      <c r="F2363" s="17"/>
      <c r="G2363" s="17"/>
      <c r="H2363" s="17"/>
    </row>
    <row r="2364" spans="1:8" x14ac:dyDescent="0.2">
      <c r="A2364" s="16"/>
      <c r="B2364" s="16"/>
      <c r="C2364" s="17"/>
      <c r="D2364" s="17"/>
      <c r="E2364" s="17"/>
      <c r="F2364" s="17"/>
      <c r="G2364" s="17"/>
      <c r="H2364" s="17"/>
    </row>
    <row r="2365" spans="1:8" x14ac:dyDescent="0.2">
      <c r="A2365" s="16"/>
      <c r="B2365" s="16"/>
      <c r="C2365" s="17"/>
      <c r="D2365" s="17"/>
      <c r="E2365" s="17"/>
      <c r="F2365" s="17"/>
      <c r="G2365" s="17"/>
      <c r="H2365" s="17"/>
    </row>
    <row r="2366" spans="1:8" x14ac:dyDescent="0.2">
      <c r="A2366" s="16"/>
      <c r="B2366" s="16"/>
      <c r="C2366" s="17"/>
      <c r="D2366" s="17"/>
      <c r="E2366" s="17"/>
      <c r="F2366" s="17"/>
      <c r="G2366" s="17"/>
      <c r="H2366" s="17"/>
    </row>
    <row r="2367" spans="1:8" x14ac:dyDescent="0.2">
      <c r="A2367" s="16"/>
      <c r="B2367" s="16"/>
      <c r="C2367" s="17"/>
      <c r="D2367" s="17"/>
      <c r="E2367" s="17"/>
      <c r="F2367" s="17"/>
      <c r="G2367" s="17"/>
      <c r="H2367" s="17"/>
    </row>
    <row r="2368" spans="1:8" x14ac:dyDescent="0.2">
      <c r="A2368" s="16"/>
      <c r="B2368" s="16"/>
      <c r="C2368" s="17"/>
      <c r="D2368" s="17"/>
      <c r="E2368" s="17"/>
      <c r="F2368" s="17"/>
      <c r="G2368" s="17"/>
      <c r="H2368" s="17"/>
    </row>
    <row r="2369" spans="1:8" x14ac:dyDescent="0.2">
      <c r="A2369" s="16"/>
      <c r="B2369" s="16"/>
      <c r="C2369" s="17"/>
      <c r="D2369" s="17"/>
      <c r="E2369" s="17"/>
      <c r="F2369" s="17"/>
      <c r="G2369" s="17"/>
      <c r="H2369" s="17"/>
    </row>
    <row r="2370" spans="1:8" x14ac:dyDescent="0.2">
      <c r="A2370" s="16"/>
      <c r="B2370" s="16"/>
      <c r="C2370" s="17"/>
      <c r="D2370" s="17"/>
      <c r="E2370" s="17"/>
      <c r="F2370" s="17"/>
      <c r="G2370" s="17"/>
      <c r="H2370" s="17"/>
    </row>
    <row r="2371" spans="1:8" x14ac:dyDescent="0.2">
      <c r="A2371" s="16"/>
      <c r="B2371" s="16"/>
      <c r="C2371" s="17"/>
      <c r="D2371" s="17"/>
      <c r="E2371" s="17"/>
      <c r="F2371" s="17"/>
      <c r="G2371" s="17"/>
      <c r="H2371" s="17"/>
    </row>
    <row r="2372" spans="1:8" x14ac:dyDescent="0.2">
      <c r="A2372" s="16"/>
      <c r="B2372" s="16"/>
      <c r="C2372" s="17"/>
      <c r="D2372" s="17"/>
      <c r="E2372" s="17"/>
      <c r="F2372" s="17"/>
      <c r="G2372" s="17"/>
      <c r="H2372" s="17"/>
    </row>
    <row r="2373" spans="1:8" x14ac:dyDescent="0.2">
      <c r="A2373" s="16"/>
      <c r="B2373" s="16"/>
      <c r="C2373" s="17"/>
      <c r="D2373" s="17"/>
      <c r="E2373" s="17"/>
      <c r="F2373" s="17"/>
      <c r="G2373" s="17"/>
      <c r="H2373" s="17"/>
    </row>
    <row r="2374" spans="1:8" x14ac:dyDescent="0.2">
      <c r="A2374" s="16"/>
      <c r="B2374" s="16"/>
      <c r="C2374" s="17"/>
      <c r="D2374" s="17"/>
      <c r="E2374" s="17"/>
      <c r="F2374" s="17"/>
      <c r="G2374" s="17"/>
      <c r="H2374" s="17"/>
    </row>
    <row r="2375" spans="1:8" x14ac:dyDescent="0.2">
      <c r="A2375" s="16"/>
      <c r="B2375" s="16"/>
      <c r="C2375" s="17"/>
      <c r="D2375" s="17"/>
      <c r="E2375" s="17"/>
      <c r="F2375" s="17"/>
      <c r="G2375" s="17"/>
      <c r="H2375" s="17"/>
    </row>
    <row r="2376" spans="1:8" x14ac:dyDescent="0.2">
      <c r="A2376" s="16"/>
      <c r="B2376" s="16"/>
      <c r="C2376" s="17"/>
      <c r="D2376" s="17"/>
      <c r="E2376" s="17"/>
      <c r="F2376" s="17"/>
      <c r="G2376" s="17"/>
      <c r="H2376" s="17"/>
    </row>
    <row r="2377" spans="1:8" x14ac:dyDescent="0.2">
      <c r="A2377" s="16"/>
      <c r="B2377" s="16"/>
      <c r="C2377" s="17"/>
      <c r="D2377" s="17"/>
      <c r="E2377" s="17"/>
      <c r="F2377" s="17"/>
      <c r="G2377" s="17"/>
      <c r="H2377" s="17"/>
    </row>
    <row r="2378" spans="1:8" x14ac:dyDescent="0.2">
      <c r="A2378" s="16"/>
      <c r="B2378" s="16"/>
      <c r="C2378" s="17"/>
      <c r="D2378" s="17"/>
      <c r="E2378" s="17"/>
      <c r="F2378" s="17"/>
      <c r="G2378" s="17"/>
      <c r="H2378" s="17"/>
    </row>
    <row r="2379" spans="1:8" x14ac:dyDescent="0.2">
      <c r="A2379" s="16"/>
      <c r="B2379" s="16"/>
      <c r="C2379" s="17"/>
      <c r="D2379" s="17"/>
      <c r="E2379" s="17"/>
      <c r="F2379" s="17"/>
      <c r="G2379" s="17"/>
      <c r="H2379" s="17"/>
    </row>
    <row r="2380" spans="1:8" x14ac:dyDescent="0.2">
      <c r="A2380" s="16"/>
      <c r="B2380" s="16"/>
      <c r="C2380" s="17"/>
      <c r="D2380" s="17"/>
      <c r="E2380" s="17"/>
      <c r="F2380" s="17"/>
      <c r="G2380" s="17"/>
      <c r="H2380" s="17"/>
    </row>
    <row r="2381" spans="1:8" x14ac:dyDescent="0.2">
      <c r="A2381" s="16"/>
      <c r="B2381" s="16"/>
      <c r="C2381" s="17"/>
      <c r="D2381" s="17"/>
      <c r="E2381" s="17"/>
      <c r="F2381" s="17"/>
      <c r="G2381" s="17"/>
      <c r="H2381" s="17"/>
    </row>
    <row r="2382" spans="1:8" x14ac:dyDescent="0.2">
      <c r="A2382" s="16"/>
      <c r="B2382" s="16"/>
      <c r="C2382" s="17"/>
      <c r="D2382" s="17"/>
      <c r="E2382" s="17"/>
      <c r="F2382" s="17"/>
      <c r="G2382" s="17"/>
      <c r="H2382" s="17"/>
    </row>
    <row r="2383" spans="1:8" x14ac:dyDescent="0.2">
      <c r="A2383" s="16"/>
      <c r="B2383" s="16"/>
      <c r="C2383" s="17"/>
      <c r="D2383" s="17"/>
      <c r="E2383" s="17"/>
      <c r="F2383" s="17"/>
      <c r="G2383" s="17"/>
      <c r="H2383" s="17"/>
    </row>
    <row r="2384" spans="1:8" x14ac:dyDescent="0.2">
      <c r="A2384" s="16"/>
      <c r="B2384" s="16"/>
      <c r="C2384" s="17"/>
      <c r="D2384" s="17"/>
      <c r="E2384" s="17"/>
      <c r="F2384" s="17"/>
      <c r="G2384" s="17"/>
      <c r="H2384" s="17"/>
    </row>
    <row r="2385" spans="1:8" x14ac:dyDescent="0.2">
      <c r="A2385" s="16"/>
      <c r="B2385" s="16"/>
      <c r="C2385" s="17"/>
      <c r="D2385" s="17"/>
      <c r="E2385" s="17"/>
      <c r="F2385" s="17"/>
      <c r="G2385" s="17"/>
      <c r="H2385" s="17"/>
    </row>
    <row r="2386" spans="1:8" x14ac:dyDescent="0.2">
      <c r="A2386" s="16"/>
      <c r="B2386" s="16"/>
      <c r="C2386" s="17"/>
      <c r="D2386" s="17"/>
      <c r="E2386" s="17"/>
      <c r="F2386" s="17"/>
      <c r="G2386" s="17"/>
      <c r="H2386" s="17"/>
    </row>
    <row r="2387" spans="1:8" x14ac:dyDescent="0.2">
      <c r="A2387" s="16"/>
      <c r="B2387" s="16"/>
      <c r="C2387" s="17"/>
      <c r="D2387" s="17"/>
      <c r="E2387" s="17"/>
      <c r="F2387" s="17"/>
      <c r="G2387" s="17"/>
      <c r="H2387" s="17"/>
    </row>
    <row r="2388" spans="1:8" x14ac:dyDescent="0.2">
      <c r="A2388" s="16"/>
      <c r="B2388" s="16"/>
      <c r="C2388" s="17"/>
      <c r="D2388" s="17"/>
      <c r="E2388" s="17"/>
      <c r="F2388" s="17"/>
      <c r="G2388" s="17"/>
      <c r="H2388" s="17"/>
    </row>
    <row r="2389" spans="1:8" x14ac:dyDescent="0.2">
      <c r="A2389" s="16"/>
      <c r="B2389" s="16"/>
      <c r="C2389" s="17"/>
      <c r="D2389" s="17"/>
      <c r="E2389" s="17"/>
      <c r="F2389" s="17"/>
      <c r="G2389" s="17"/>
      <c r="H2389" s="17"/>
    </row>
    <row r="2390" spans="1:8" x14ac:dyDescent="0.2">
      <c r="A2390" s="16"/>
      <c r="B2390" s="16"/>
      <c r="C2390" s="17"/>
      <c r="D2390" s="17"/>
      <c r="E2390" s="17"/>
      <c r="F2390" s="17"/>
      <c r="G2390" s="17"/>
      <c r="H2390" s="17"/>
    </row>
    <row r="2391" spans="1:8" x14ac:dyDescent="0.2">
      <c r="A2391" s="16"/>
      <c r="B2391" s="16"/>
      <c r="C2391" s="17"/>
      <c r="D2391" s="17"/>
      <c r="E2391" s="17"/>
      <c r="F2391" s="17"/>
      <c r="G2391" s="17"/>
      <c r="H2391" s="17"/>
    </row>
    <row r="2392" spans="1:8" x14ac:dyDescent="0.2">
      <c r="A2392" s="16"/>
      <c r="B2392" s="16"/>
      <c r="C2392" s="17"/>
      <c r="D2392" s="17"/>
      <c r="E2392" s="17"/>
      <c r="F2392" s="17"/>
      <c r="G2392" s="17"/>
      <c r="H2392" s="17"/>
    </row>
    <row r="2393" spans="1:8" x14ac:dyDescent="0.2">
      <c r="A2393" s="16"/>
      <c r="B2393" s="16"/>
      <c r="C2393" s="17"/>
      <c r="D2393" s="17"/>
      <c r="E2393" s="17"/>
      <c r="F2393" s="17"/>
      <c r="G2393" s="17"/>
      <c r="H2393" s="17"/>
    </row>
    <row r="2394" spans="1:8" x14ac:dyDescent="0.2">
      <c r="A2394" s="16"/>
      <c r="B2394" s="16"/>
      <c r="C2394" s="17"/>
      <c r="D2394" s="17"/>
      <c r="E2394" s="17"/>
      <c r="F2394" s="17"/>
      <c r="G2394" s="17"/>
      <c r="H2394" s="17"/>
    </row>
    <row r="2395" spans="1:8" x14ac:dyDescent="0.2">
      <c r="A2395" s="16"/>
      <c r="B2395" s="16"/>
      <c r="C2395" s="17"/>
      <c r="D2395" s="17"/>
      <c r="E2395" s="17"/>
      <c r="F2395" s="17"/>
      <c r="G2395" s="17"/>
      <c r="H2395" s="17"/>
    </row>
    <row r="2396" spans="1:8" x14ac:dyDescent="0.2">
      <c r="A2396" s="16"/>
      <c r="B2396" s="16"/>
      <c r="C2396" s="17"/>
      <c r="D2396" s="17"/>
      <c r="E2396" s="17"/>
      <c r="F2396" s="17"/>
      <c r="G2396" s="17"/>
      <c r="H2396" s="17"/>
    </row>
    <row r="2397" spans="1:8" x14ac:dyDescent="0.2">
      <c r="A2397" s="16"/>
      <c r="B2397" s="16"/>
      <c r="C2397" s="17"/>
      <c r="D2397" s="17"/>
      <c r="E2397" s="17"/>
      <c r="F2397" s="17"/>
      <c r="G2397" s="17"/>
      <c r="H2397" s="17"/>
    </row>
    <row r="2398" spans="1:8" x14ac:dyDescent="0.2">
      <c r="A2398" s="16"/>
      <c r="B2398" s="16"/>
      <c r="C2398" s="17"/>
      <c r="D2398" s="17"/>
      <c r="E2398" s="17"/>
      <c r="F2398" s="17"/>
      <c r="G2398" s="17"/>
      <c r="H2398" s="17"/>
    </row>
    <row r="2399" spans="1:8" x14ac:dyDescent="0.2">
      <c r="A2399" s="16"/>
      <c r="B2399" s="16"/>
      <c r="C2399" s="17"/>
      <c r="D2399" s="17"/>
      <c r="E2399" s="17"/>
      <c r="F2399" s="17"/>
      <c r="G2399" s="17"/>
      <c r="H2399" s="17"/>
    </row>
    <row r="2400" spans="1:8" x14ac:dyDescent="0.2">
      <c r="A2400" s="16"/>
      <c r="B2400" s="16"/>
      <c r="C2400" s="17"/>
      <c r="D2400" s="17"/>
      <c r="E2400" s="17"/>
      <c r="F2400" s="17"/>
      <c r="G2400" s="17"/>
      <c r="H2400" s="17"/>
    </row>
    <row r="2401" spans="1:8" x14ac:dyDescent="0.2">
      <c r="A2401" s="16"/>
      <c r="B2401" s="16"/>
      <c r="C2401" s="17"/>
      <c r="D2401" s="17"/>
      <c r="E2401" s="17"/>
      <c r="F2401" s="17"/>
      <c r="G2401" s="17"/>
      <c r="H2401" s="17"/>
    </row>
    <row r="2402" spans="1:8" x14ac:dyDescent="0.2">
      <c r="A2402" s="16"/>
      <c r="B2402" s="16"/>
      <c r="C2402" s="17"/>
      <c r="D2402" s="17"/>
      <c r="E2402" s="17"/>
      <c r="F2402" s="17"/>
      <c r="G2402" s="17"/>
      <c r="H2402" s="17"/>
    </row>
    <row r="2403" spans="1:8" x14ac:dyDescent="0.2">
      <c r="A2403" s="16"/>
      <c r="B2403" s="16"/>
      <c r="C2403" s="17"/>
      <c r="D2403" s="17"/>
      <c r="E2403" s="17"/>
      <c r="F2403" s="17"/>
      <c r="G2403" s="17"/>
      <c r="H2403" s="17"/>
    </row>
    <row r="2404" spans="1:8" x14ac:dyDescent="0.2">
      <c r="A2404" s="16"/>
      <c r="B2404" s="16"/>
      <c r="C2404" s="17"/>
      <c r="D2404" s="17"/>
      <c r="E2404" s="17"/>
      <c r="F2404" s="17"/>
      <c r="G2404" s="17"/>
      <c r="H2404" s="17"/>
    </row>
    <row r="2405" spans="1:8" x14ac:dyDescent="0.2">
      <c r="A2405" s="16"/>
      <c r="B2405" s="16"/>
      <c r="C2405" s="17"/>
      <c r="D2405" s="17"/>
      <c r="E2405" s="17"/>
      <c r="F2405" s="17"/>
      <c r="G2405" s="17"/>
      <c r="H2405" s="17"/>
    </row>
    <row r="2406" spans="1:8" x14ac:dyDescent="0.2">
      <c r="A2406" s="16"/>
      <c r="B2406" s="16"/>
      <c r="C2406" s="17"/>
      <c r="D2406" s="17"/>
      <c r="E2406" s="17"/>
      <c r="F2406" s="17"/>
      <c r="G2406" s="17"/>
      <c r="H2406" s="17"/>
    </row>
    <row r="2407" spans="1:8" x14ac:dyDescent="0.2">
      <c r="A2407" s="16"/>
      <c r="B2407" s="16"/>
      <c r="C2407" s="17"/>
      <c r="D2407" s="17"/>
      <c r="E2407" s="17"/>
      <c r="F2407" s="17"/>
      <c r="G2407" s="17"/>
      <c r="H2407" s="17"/>
    </row>
    <row r="2408" spans="1:8" x14ac:dyDescent="0.2">
      <c r="A2408" s="16"/>
      <c r="B2408" s="16"/>
      <c r="C2408" s="17"/>
      <c r="D2408" s="17"/>
      <c r="E2408" s="17"/>
      <c r="F2408" s="17"/>
      <c r="G2408" s="17"/>
      <c r="H2408" s="17"/>
    </row>
    <row r="2409" spans="1:8" x14ac:dyDescent="0.2">
      <c r="A2409" s="16"/>
      <c r="B2409" s="16"/>
      <c r="C2409" s="17"/>
      <c r="D2409" s="17"/>
      <c r="E2409" s="17"/>
      <c r="F2409" s="17"/>
      <c r="G2409" s="17"/>
      <c r="H2409" s="17"/>
    </row>
    <row r="2410" spans="1:8" x14ac:dyDescent="0.2">
      <c r="A2410" s="16"/>
      <c r="B2410" s="16"/>
      <c r="C2410" s="17"/>
      <c r="D2410" s="17"/>
      <c r="E2410" s="17"/>
      <c r="F2410" s="17"/>
      <c r="G2410" s="17"/>
      <c r="H2410" s="17"/>
    </row>
    <row r="2411" spans="1:8" x14ac:dyDescent="0.2">
      <c r="A2411" s="16"/>
      <c r="B2411" s="16"/>
      <c r="C2411" s="17"/>
      <c r="D2411" s="17"/>
      <c r="E2411" s="17"/>
      <c r="F2411" s="17"/>
      <c r="G2411" s="17"/>
      <c r="H2411" s="17"/>
    </row>
    <row r="2412" spans="1:8" x14ac:dyDescent="0.2">
      <c r="A2412" s="16"/>
      <c r="B2412" s="16"/>
      <c r="C2412" s="17"/>
      <c r="D2412" s="17"/>
      <c r="E2412" s="17"/>
      <c r="F2412" s="17"/>
      <c r="G2412" s="17"/>
      <c r="H2412" s="17"/>
    </row>
    <row r="2413" spans="1:8" x14ac:dyDescent="0.2">
      <c r="A2413" s="16"/>
      <c r="B2413" s="16"/>
      <c r="C2413" s="17"/>
      <c r="D2413" s="17"/>
      <c r="E2413" s="17"/>
      <c r="F2413" s="17"/>
      <c r="G2413" s="17"/>
      <c r="H2413" s="17"/>
    </row>
    <row r="2414" spans="1:8" x14ac:dyDescent="0.2">
      <c r="A2414" s="16"/>
      <c r="B2414" s="16"/>
      <c r="C2414" s="17"/>
      <c r="D2414" s="17"/>
      <c r="E2414" s="17"/>
      <c r="F2414" s="17"/>
      <c r="G2414" s="17"/>
      <c r="H2414" s="17"/>
    </row>
    <row r="2415" spans="1:8" x14ac:dyDescent="0.2">
      <c r="A2415" s="16"/>
      <c r="B2415" s="16"/>
      <c r="C2415" s="17"/>
      <c r="D2415" s="17"/>
      <c r="E2415" s="17"/>
      <c r="F2415" s="17"/>
      <c r="G2415" s="17"/>
      <c r="H2415" s="17"/>
    </row>
    <row r="2416" spans="1:8" x14ac:dyDescent="0.2">
      <c r="A2416" s="16"/>
      <c r="B2416" s="16"/>
      <c r="C2416" s="17"/>
      <c r="D2416" s="17"/>
      <c r="E2416" s="17"/>
      <c r="F2416" s="17"/>
      <c r="G2416" s="17"/>
      <c r="H2416" s="17"/>
    </row>
    <row r="2417" spans="1:8" x14ac:dyDescent="0.2">
      <c r="A2417" s="16"/>
      <c r="B2417" s="16"/>
      <c r="C2417" s="17"/>
      <c r="D2417" s="17"/>
      <c r="E2417" s="17"/>
      <c r="F2417" s="17"/>
      <c r="G2417" s="17"/>
      <c r="H2417" s="17"/>
    </row>
    <row r="2418" spans="1:8" x14ac:dyDescent="0.2">
      <c r="A2418" s="16"/>
      <c r="B2418" s="16"/>
      <c r="C2418" s="17"/>
      <c r="D2418" s="17"/>
      <c r="E2418" s="17"/>
      <c r="F2418" s="17"/>
      <c r="G2418" s="17"/>
      <c r="H2418" s="17"/>
    </row>
    <row r="2419" spans="1:8" x14ac:dyDescent="0.2">
      <c r="A2419" s="16"/>
      <c r="B2419" s="16"/>
      <c r="C2419" s="17"/>
      <c r="D2419" s="17"/>
      <c r="E2419" s="17"/>
      <c r="F2419" s="17"/>
      <c r="G2419" s="17"/>
      <c r="H2419" s="17"/>
    </row>
    <row r="2420" spans="1:8" x14ac:dyDescent="0.2">
      <c r="A2420" s="16"/>
      <c r="B2420" s="16"/>
      <c r="C2420" s="17"/>
      <c r="D2420" s="17"/>
      <c r="E2420" s="17"/>
      <c r="F2420" s="17"/>
      <c r="G2420" s="17"/>
      <c r="H2420" s="17"/>
    </row>
    <row r="2421" spans="1:8" x14ac:dyDescent="0.2">
      <c r="A2421" s="16"/>
      <c r="B2421" s="16"/>
      <c r="C2421" s="17"/>
      <c r="D2421" s="17"/>
      <c r="E2421" s="17"/>
      <c r="F2421" s="17"/>
      <c r="G2421" s="17"/>
      <c r="H2421" s="17"/>
    </row>
    <row r="2422" spans="1:8" x14ac:dyDescent="0.2">
      <c r="A2422" s="16"/>
      <c r="B2422" s="16"/>
      <c r="C2422" s="17"/>
      <c r="D2422" s="17"/>
      <c r="E2422" s="17"/>
      <c r="F2422" s="17"/>
      <c r="G2422" s="17"/>
      <c r="H2422" s="17"/>
    </row>
    <row r="2423" spans="1:8" x14ac:dyDescent="0.2">
      <c r="A2423" s="16"/>
      <c r="B2423" s="16"/>
      <c r="C2423" s="17"/>
      <c r="D2423" s="17"/>
      <c r="E2423" s="17"/>
      <c r="F2423" s="17"/>
      <c r="G2423" s="17"/>
      <c r="H2423" s="17"/>
    </row>
    <row r="2424" spans="1:8" x14ac:dyDescent="0.2">
      <c r="A2424" s="16"/>
      <c r="B2424" s="16"/>
      <c r="C2424" s="17"/>
      <c r="D2424" s="17"/>
      <c r="E2424" s="17"/>
      <c r="F2424" s="17"/>
      <c r="G2424" s="17"/>
      <c r="H2424" s="17"/>
    </row>
    <row r="2425" spans="1:8" x14ac:dyDescent="0.2">
      <c r="A2425" s="16"/>
      <c r="B2425" s="16"/>
      <c r="C2425" s="17"/>
      <c r="D2425" s="17"/>
      <c r="E2425" s="17"/>
      <c r="F2425" s="17"/>
      <c r="G2425" s="17"/>
      <c r="H2425" s="17"/>
    </row>
    <row r="2426" spans="1:8" x14ac:dyDescent="0.2">
      <c r="A2426" s="16"/>
      <c r="B2426" s="16"/>
      <c r="C2426" s="17"/>
      <c r="D2426" s="17"/>
      <c r="E2426" s="17"/>
      <c r="F2426" s="17"/>
      <c r="G2426" s="17"/>
      <c r="H2426" s="17"/>
    </row>
    <row r="2427" spans="1:8" x14ac:dyDescent="0.2">
      <c r="A2427" s="16"/>
      <c r="B2427" s="16"/>
      <c r="C2427" s="17"/>
      <c r="D2427" s="17"/>
      <c r="E2427" s="17"/>
      <c r="F2427" s="17"/>
      <c r="G2427" s="17"/>
      <c r="H2427" s="17"/>
    </row>
    <row r="2428" spans="1:8" x14ac:dyDescent="0.2">
      <c r="A2428" s="16"/>
      <c r="B2428" s="16"/>
      <c r="C2428" s="17"/>
      <c r="D2428" s="17"/>
      <c r="E2428" s="17"/>
      <c r="F2428" s="17"/>
      <c r="G2428" s="17"/>
      <c r="H2428" s="17"/>
    </row>
    <row r="2429" spans="1:8" x14ac:dyDescent="0.2">
      <c r="A2429" s="16"/>
      <c r="B2429" s="16"/>
      <c r="C2429" s="17"/>
      <c r="D2429" s="17"/>
      <c r="E2429" s="17"/>
      <c r="F2429" s="17"/>
      <c r="G2429" s="17"/>
      <c r="H2429" s="17"/>
    </row>
    <row r="2430" spans="1:8" x14ac:dyDescent="0.2">
      <c r="A2430" s="16"/>
      <c r="B2430" s="16"/>
      <c r="C2430" s="17"/>
      <c r="D2430" s="17"/>
      <c r="E2430" s="17"/>
      <c r="F2430" s="17"/>
      <c r="G2430" s="17"/>
      <c r="H2430" s="17"/>
    </row>
    <row r="2431" spans="1:8" x14ac:dyDescent="0.2">
      <c r="A2431" s="16"/>
      <c r="B2431" s="16"/>
      <c r="C2431" s="17"/>
      <c r="D2431" s="17"/>
      <c r="E2431" s="17"/>
      <c r="F2431" s="17"/>
      <c r="G2431" s="17"/>
      <c r="H2431" s="17"/>
    </row>
    <row r="2432" spans="1:8" x14ac:dyDescent="0.2">
      <c r="A2432" s="16"/>
      <c r="B2432" s="16"/>
      <c r="C2432" s="17"/>
      <c r="D2432" s="17"/>
      <c r="E2432" s="17"/>
      <c r="F2432" s="17"/>
      <c r="G2432" s="17"/>
      <c r="H2432" s="17"/>
    </row>
    <row r="2433" spans="1:8" x14ac:dyDescent="0.2">
      <c r="A2433" s="16"/>
      <c r="B2433" s="16"/>
      <c r="C2433" s="17"/>
      <c r="D2433" s="17"/>
      <c r="E2433" s="17"/>
      <c r="F2433" s="17"/>
      <c r="G2433" s="17"/>
      <c r="H2433" s="17"/>
    </row>
    <row r="2434" spans="1:8" x14ac:dyDescent="0.2">
      <c r="A2434" s="16"/>
      <c r="B2434" s="16"/>
      <c r="C2434" s="17"/>
      <c r="D2434" s="17"/>
      <c r="E2434" s="17"/>
      <c r="F2434" s="17"/>
      <c r="G2434" s="17"/>
      <c r="H2434" s="17"/>
    </row>
    <row r="2435" spans="1:8" x14ac:dyDescent="0.2">
      <c r="A2435" s="16"/>
      <c r="B2435" s="16"/>
      <c r="C2435" s="17"/>
      <c r="D2435" s="17"/>
      <c r="E2435" s="17"/>
      <c r="F2435" s="17"/>
      <c r="G2435" s="17"/>
      <c r="H2435" s="17"/>
    </row>
    <row r="2436" spans="1:8" x14ac:dyDescent="0.2">
      <c r="A2436" s="16"/>
      <c r="B2436" s="16"/>
      <c r="C2436" s="17"/>
      <c r="D2436" s="17"/>
      <c r="E2436" s="17"/>
      <c r="F2436" s="17"/>
      <c r="G2436" s="17"/>
      <c r="H2436" s="17"/>
    </row>
    <row r="2437" spans="1:8" x14ac:dyDescent="0.2">
      <c r="A2437" s="16"/>
      <c r="B2437" s="16"/>
      <c r="C2437" s="17"/>
      <c r="D2437" s="17"/>
      <c r="E2437" s="17"/>
      <c r="F2437" s="17"/>
      <c r="G2437" s="17"/>
      <c r="H2437" s="17"/>
    </row>
    <row r="2438" spans="1:8" x14ac:dyDescent="0.2">
      <c r="A2438" s="16"/>
      <c r="B2438" s="16"/>
      <c r="C2438" s="17"/>
      <c r="D2438" s="17"/>
      <c r="E2438" s="17"/>
      <c r="F2438" s="17"/>
      <c r="G2438" s="17"/>
      <c r="H2438" s="17"/>
    </row>
    <row r="2439" spans="1:8" x14ac:dyDescent="0.2">
      <c r="A2439" s="16"/>
      <c r="B2439" s="16"/>
      <c r="C2439" s="17"/>
      <c r="D2439" s="17"/>
      <c r="E2439" s="17"/>
      <c r="F2439" s="17"/>
      <c r="G2439" s="17"/>
      <c r="H2439" s="17"/>
    </row>
    <row r="2440" spans="1:8" x14ac:dyDescent="0.2">
      <c r="A2440" s="16"/>
      <c r="B2440" s="16"/>
      <c r="C2440" s="17"/>
      <c r="D2440" s="17"/>
      <c r="E2440" s="17"/>
      <c r="F2440" s="17"/>
      <c r="G2440" s="17"/>
      <c r="H2440" s="17"/>
    </row>
    <row r="2441" spans="1:8" x14ac:dyDescent="0.2">
      <c r="A2441" s="16"/>
      <c r="B2441" s="16"/>
      <c r="C2441" s="17"/>
      <c r="D2441" s="17"/>
      <c r="E2441" s="17"/>
      <c r="F2441" s="17"/>
      <c r="G2441" s="17"/>
      <c r="H2441" s="17"/>
    </row>
    <row r="2442" spans="1:8" x14ac:dyDescent="0.2">
      <c r="A2442" s="16"/>
      <c r="B2442" s="16"/>
      <c r="C2442" s="17"/>
      <c r="D2442" s="17"/>
      <c r="E2442" s="17"/>
      <c r="F2442" s="17"/>
      <c r="G2442" s="17"/>
      <c r="H2442" s="17"/>
    </row>
    <row r="2443" spans="1:8" x14ac:dyDescent="0.2">
      <c r="A2443" s="16"/>
      <c r="B2443" s="16"/>
      <c r="C2443" s="17"/>
      <c r="D2443" s="17"/>
      <c r="E2443" s="17"/>
      <c r="F2443" s="17"/>
      <c r="G2443" s="17"/>
      <c r="H2443" s="17"/>
    </row>
    <row r="2444" spans="1:8" x14ac:dyDescent="0.2">
      <c r="A2444" s="16"/>
      <c r="B2444" s="16"/>
      <c r="C2444" s="17"/>
      <c r="D2444" s="17"/>
      <c r="E2444" s="17"/>
      <c r="F2444" s="17"/>
      <c r="G2444" s="17"/>
      <c r="H2444" s="17"/>
    </row>
    <row r="2445" spans="1:8" x14ac:dyDescent="0.2">
      <c r="A2445" s="16"/>
      <c r="B2445" s="16"/>
      <c r="C2445" s="17"/>
      <c r="D2445" s="17"/>
      <c r="E2445" s="17"/>
      <c r="F2445" s="17"/>
      <c r="G2445" s="17"/>
      <c r="H2445" s="17"/>
    </row>
    <row r="2446" spans="1:8" x14ac:dyDescent="0.2">
      <c r="A2446" s="16"/>
      <c r="B2446" s="16"/>
      <c r="C2446" s="17"/>
      <c r="D2446" s="17"/>
      <c r="E2446" s="17"/>
      <c r="F2446" s="17"/>
      <c r="G2446" s="17"/>
      <c r="H2446" s="17"/>
    </row>
    <row r="2447" spans="1:8" x14ac:dyDescent="0.2">
      <c r="A2447" s="16"/>
      <c r="B2447" s="16"/>
      <c r="C2447" s="17"/>
      <c r="D2447" s="17"/>
      <c r="E2447" s="17"/>
      <c r="F2447" s="17"/>
      <c r="G2447" s="17"/>
      <c r="H2447" s="17"/>
    </row>
    <row r="2448" spans="1:8" x14ac:dyDescent="0.2">
      <c r="A2448" s="16"/>
      <c r="B2448" s="16"/>
      <c r="C2448" s="17"/>
      <c r="D2448" s="17"/>
      <c r="E2448" s="17"/>
      <c r="F2448" s="17"/>
      <c r="G2448" s="17"/>
      <c r="H2448" s="17"/>
    </row>
    <row r="2449" spans="1:8" x14ac:dyDescent="0.2">
      <c r="A2449" s="16"/>
      <c r="B2449" s="16"/>
      <c r="C2449" s="17"/>
      <c r="D2449" s="17"/>
      <c r="E2449" s="17"/>
      <c r="F2449" s="17"/>
      <c r="G2449" s="17"/>
      <c r="H2449" s="17"/>
    </row>
    <row r="2450" spans="1:8" x14ac:dyDescent="0.2">
      <c r="A2450" s="16"/>
      <c r="B2450" s="16"/>
      <c r="C2450" s="17"/>
      <c r="D2450" s="17"/>
      <c r="E2450" s="17"/>
      <c r="F2450" s="17"/>
      <c r="G2450" s="17"/>
      <c r="H2450" s="17"/>
    </row>
    <row r="2451" spans="1:8" x14ac:dyDescent="0.2">
      <c r="A2451" s="16"/>
      <c r="B2451" s="16"/>
      <c r="C2451" s="17"/>
      <c r="D2451" s="17"/>
      <c r="E2451" s="17"/>
      <c r="F2451" s="17"/>
      <c r="G2451" s="17"/>
      <c r="H2451" s="17"/>
    </row>
    <row r="2452" spans="1:8" x14ac:dyDescent="0.2">
      <c r="A2452" s="16"/>
      <c r="B2452" s="16"/>
      <c r="C2452" s="17"/>
      <c r="D2452" s="17"/>
      <c r="E2452" s="17"/>
      <c r="F2452" s="17"/>
      <c r="G2452" s="17"/>
      <c r="H2452" s="17"/>
    </row>
    <row r="2453" spans="1:8" x14ac:dyDescent="0.2">
      <c r="A2453" s="16"/>
      <c r="B2453" s="16"/>
      <c r="C2453" s="17"/>
      <c r="D2453" s="17"/>
      <c r="E2453" s="17"/>
      <c r="F2453" s="17"/>
      <c r="G2453" s="17"/>
      <c r="H2453" s="17"/>
    </row>
    <row r="2454" spans="1:8" x14ac:dyDescent="0.2">
      <c r="A2454" s="16"/>
      <c r="B2454" s="16"/>
      <c r="C2454" s="17"/>
      <c r="D2454" s="17"/>
      <c r="E2454" s="17"/>
      <c r="F2454" s="17"/>
      <c r="G2454" s="17"/>
      <c r="H2454" s="17"/>
    </row>
    <row r="2455" spans="1:8" x14ac:dyDescent="0.2">
      <c r="A2455" s="16"/>
      <c r="B2455" s="16"/>
      <c r="C2455" s="17"/>
      <c r="D2455" s="17"/>
      <c r="E2455" s="17"/>
      <c r="F2455" s="17"/>
      <c r="G2455" s="17"/>
      <c r="H2455" s="17"/>
    </row>
    <row r="2456" spans="1:8" x14ac:dyDescent="0.2">
      <c r="A2456" s="16"/>
      <c r="B2456" s="16"/>
      <c r="C2456" s="17"/>
      <c r="D2456" s="17"/>
      <c r="E2456" s="17"/>
      <c r="F2456" s="17"/>
      <c r="G2456" s="17"/>
      <c r="H2456" s="17"/>
    </row>
    <row r="2457" spans="1:8" x14ac:dyDescent="0.2">
      <c r="A2457" s="16"/>
      <c r="B2457" s="16"/>
      <c r="C2457" s="17"/>
      <c r="D2457" s="17"/>
      <c r="E2457" s="17"/>
      <c r="F2457" s="17"/>
      <c r="G2457" s="17"/>
      <c r="H2457" s="17"/>
    </row>
    <row r="2458" spans="1:8" x14ac:dyDescent="0.2">
      <c r="A2458" s="16"/>
      <c r="B2458" s="16"/>
      <c r="C2458" s="17"/>
      <c r="D2458" s="17"/>
      <c r="E2458" s="17"/>
      <c r="F2458" s="17"/>
      <c r="G2458" s="17"/>
      <c r="H2458" s="17"/>
    </row>
    <row r="2459" spans="1:8" x14ac:dyDescent="0.2">
      <c r="A2459" s="16"/>
      <c r="B2459" s="16"/>
      <c r="C2459" s="17"/>
      <c r="D2459" s="17"/>
      <c r="E2459" s="17"/>
      <c r="F2459" s="17"/>
      <c r="G2459" s="17"/>
      <c r="H2459" s="17"/>
    </row>
    <row r="2460" spans="1:8" x14ac:dyDescent="0.2">
      <c r="A2460" s="16"/>
      <c r="B2460" s="16"/>
      <c r="C2460" s="17"/>
      <c r="D2460" s="17"/>
      <c r="E2460" s="17"/>
      <c r="F2460" s="17"/>
      <c r="G2460" s="17"/>
      <c r="H2460" s="17"/>
    </row>
    <row r="2461" spans="1:8" x14ac:dyDescent="0.2">
      <c r="A2461" s="16"/>
      <c r="B2461" s="16"/>
      <c r="C2461" s="17"/>
      <c r="D2461" s="17"/>
      <c r="E2461" s="17"/>
      <c r="F2461" s="17"/>
      <c r="G2461" s="17"/>
      <c r="H2461" s="17"/>
    </row>
    <row r="2462" spans="1:8" x14ac:dyDescent="0.2">
      <c r="A2462" s="16"/>
      <c r="B2462" s="16"/>
      <c r="C2462" s="17"/>
      <c r="D2462" s="17"/>
      <c r="E2462" s="17"/>
      <c r="F2462" s="17"/>
      <c r="G2462" s="17"/>
      <c r="H2462" s="17"/>
    </row>
    <row r="2463" spans="1:8" x14ac:dyDescent="0.2">
      <c r="A2463" s="16"/>
      <c r="B2463" s="16"/>
      <c r="C2463" s="17"/>
      <c r="D2463" s="17"/>
      <c r="E2463" s="17"/>
      <c r="F2463" s="17"/>
      <c r="G2463" s="17"/>
      <c r="H2463" s="17"/>
    </row>
    <row r="2464" spans="1:8" x14ac:dyDescent="0.2">
      <c r="A2464" s="16"/>
      <c r="B2464" s="16"/>
      <c r="C2464" s="17"/>
      <c r="D2464" s="17"/>
      <c r="E2464" s="17"/>
      <c r="F2464" s="17"/>
      <c r="G2464" s="17"/>
      <c r="H2464" s="17"/>
    </row>
    <row r="2465" spans="1:8" x14ac:dyDescent="0.2">
      <c r="A2465" s="16"/>
      <c r="B2465" s="16"/>
      <c r="C2465" s="17"/>
      <c r="D2465" s="17"/>
      <c r="E2465" s="17"/>
      <c r="F2465" s="17"/>
      <c r="G2465" s="17"/>
      <c r="H2465" s="17"/>
    </row>
    <row r="2466" spans="1:8" x14ac:dyDescent="0.2">
      <c r="A2466" s="16"/>
      <c r="B2466" s="16"/>
      <c r="C2466" s="17"/>
      <c r="D2466" s="17"/>
      <c r="E2466" s="17"/>
      <c r="F2466" s="17"/>
      <c r="G2466" s="17"/>
      <c r="H2466" s="17"/>
    </row>
    <row r="2467" spans="1:8" x14ac:dyDescent="0.2">
      <c r="A2467" s="16"/>
      <c r="B2467" s="16"/>
      <c r="C2467" s="17"/>
      <c r="D2467" s="17"/>
      <c r="E2467" s="17"/>
      <c r="F2467" s="17"/>
      <c r="G2467" s="17"/>
      <c r="H2467" s="17"/>
    </row>
    <row r="2468" spans="1:8" x14ac:dyDescent="0.2">
      <c r="A2468" s="16"/>
      <c r="B2468" s="16"/>
      <c r="C2468" s="17"/>
      <c r="D2468" s="17"/>
      <c r="E2468" s="17"/>
      <c r="F2468" s="17"/>
      <c r="G2468" s="17"/>
      <c r="H2468" s="17"/>
    </row>
    <row r="2469" spans="1:8" x14ac:dyDescent="0.2">
      <c r="A2469" s="16"/>
      <c r="B2469" s="16"/>
      <c r="C2469" s="17"/>
      <c r="D2469" s="17"/>
      <c r="E2469" s="17"/>
      <c r="F2469" s="17"/>
      <c r="G2469" s="17"/>
      <c r="H2469" s="17"/>
    </row>
    <row r="2470" spans="1:8" x14ac:dyDescent="0.2">
      <c r="A2470" s="16"/>
      <c r="B2470" s="16"/>
      <c r="C2470" s="17"/>
      <c r="D2470" s="17"/>
      <c r="E2470" s="17"/>
      <c r="F2470" s="17"/>
      <c r="G2470" s="17"/>
      <c r="H2470" s="17"/>
    </row>
    <row r="2471" spans="1:8" x14ac:dyDescent="0.2">
      <c r="A2471" s="16"/>
      <c r="B2471" s="16"/>
      <c r="C2471" s="17"/>
      <c r="D2471" s="17"/>
      <c r="E2471" s="17"/>
      <c r="F2471" s="17"/>
      <c r="G2471" s="17"/>
      <c r="H2471" s="17"/>
    </row>
    <row r="2472" spans="1:8" x14ac:dyDescent="0.2">
      <c r="A2472" s="16"/>
      <c r="B2472" s="16"/>
      <c r="C2472" s="17"/>
      <c r="D2472" s="17"/>
      <c r="E2472" s="17"/>
      <c r="F2472" s="17"/>
      <c r="G2472" s="17"/>
      <c r="H2472" s="17"/>
    </row>
    <row r="2473" spans="1:8" x14ac:dyDescent="0.2">
      <c r="A2473" s="16"/>
      <c r="B2473" s="16"/>
      <c r="C2473" s="17"/>
      <c r="D2473" s="17"/>
      <c r="E2473" s="17"/>
      <c r="F2473" s="17"/>
      <c r="G2473" s="17"/>
      <c r="H2473" s="17"/>
    </row>
    <row r="2474" spans="1:8" x14ac:dyDescent="0.2">
      <c r="A2474" s="16"/>
      <c r="B2474" s="16"/>
      <c r="C2474" s="17"/>
      <c r="D2474" s="17"/>
      <c r="E2474" s="17"/>
      <c r="F2474" s="17"/>
      <c r="G2474" s="17"/>
      <c r="H2474" s="17"/>
    </row>
    <row r="2475" spans="1:8" x14ac:dyDescent="0.2">
      <c r="A2475" s="16"/>
      <c r="B2475" s="16"/>
      <c r="C2475" s="17"/>
      <c r="D2475" s="17"/>
      <c r="E2475" s="17"/>
      <c r="F2475" s="17"/>
      <c r="G2475" s="17"/>
      <c r="H2475" s="17"/>
    </row>
    <row r="2476" spans="1:8" x14ac:dyDescent="0.2">
      <c r="A2476" s="16"/>
      <c r="B2476" s="16"/>
      <c r="C2476" s="17"/>
      <c r="D2476" s="17"/>
      <c r="E2476" s="17"/>
      <c r="F2476" s="17"/>
      <c r="G2476" s="17"/>
      <c r="H2476" s="17"/>
    </row>
    <row r="2477" spans="1:8" x14ac:dyDescent="0.2">
      <c r="A2477" s="16"/>
      <c r="B2477" s="16"/>
      <c r="C2477" s="17"/>
      <c r="D2477" s="17"/>
      <c r="E2477" s="17"/>
      <c r="F2477" s="17"/>
      <c r="G2477" s="17"/>
      <c r="H2477" s="17"/>
    </row>
    <row r="2478" spans="1:8" x14ac:dyDescent="0.2">
      <c r="A2478" s="16"/>
      <c r="B2478" s="16"/>
      <c r="C2478" s="17"/>
      <c r="D2478" s="17"/>
      <c r="E2478" s="17"/>
      <c r="F2478" s="17"/>
      <c r="G2478" s="17"/>
      <c r="H2478" s="17"/>
    </row>
    <row r="2479" spans="1:8" x14ac:dyDescent="0.2">
      <c r="A2479" s="16"/>
      <c r="B2479" s="16"/>
      <c r="C2479" s="17"/>
      <c r="D2479" s="17"/>
      <c r="E2479" s="17"/>
      <c r="F2479" s="17"/>
      <c r="G2479" s="17"/>
      <c r="H2479" s="17"/>
    </row>
    <row r="2480" spans="1:8" x14ac:dyDescent="0.2">
      <c r="A2480" s="16"/>
      <c r="B2480" s="16"/>
      <c r="C2480" s="17"/>
      <c r="D2480" s="17"/>
      <c r="E2480" s="17"/>
      <c r="F2480" s="17"/>
      <c r="G2480" s="17"/>
      <c r="H2480" s="17"/>
    </row>
    <row r="2481" spans="1:8" x14ac:dyDescent="0.2">
      <c r="A2481" s="16"/>
      <c r="B2481" s="16"/>
      <c r="C2481" s="17"/>
      <c r="D2481" s="17"/>
      <c r="E2481" s="17"/>
      <c r="F2481" s="17"/>
      <c r="G2481" s="17"/>
      <c r="H2481" s="17"/>
    </row>
    <row r="2482" spans="1:8" x14ac:dyDescent="0.2">
      <c r="A2482" s="16"/>
      <c r="B2482" s="16"/>
      <c r="C2482" s="17"/>
      <c r="D2482" s="17"/>
      <c r="E2482" s="17"/>
      <c r="F2482" s="17"/>
      <c r="G2482" s="17"/>
      <c r="H2482" s="17"/>
    </row>
    <row r="2483" spans="1:8" x14ac:dyDescent="0.2">
      <c r="A2483" s="16"/>
      <c r="B2483" s="16"/>
      <c r="C2483" s="17"/>
      <c r="D2483" s="17"/>
      <c r="E2483" s="17"/>
      <c r="F2483" s="17"/>
      <c r="G2483" s="17"/>
      <c r="H2483" s="17"/>
    </row>
    <row r="2484" spans="1:8" x14ac:dyDescent="0.2">
      <c r="A2484" s="16"/>
      <c r="B2484" s="16"/>
      <c r="C2484" s="17"/>
      <c r="D2484" s="17"/>
      <c r="E2484" s="17"/>
      <c r="F2484" s="17"/>
      <c r="G2484" s="17"/>
      <c r="H2484" s="17"/>
    </row>
    <row r="2485" spans="1:8" x14ac:dyDescent="0.2">
      <c r="A2485" s="16"/>
      <c r="B2485" s="16"/>
      <c r="C2485" s="17"/>
      <c r="D2485" s="17"/>
      <c r="E2485" s="17"/>
      <c r="F2485" s="17"/>
      <c r="G2485" s="17"/>
      <c r="H2485" s="17"/>
    </row>
    <row r="2486" spans="1:8" x14ac:dyDescent="0.2">
      <c r="A2486" s="16"/>
      <c r="B2486" s="16"/>
      <c r="C2486" s="17"/>
      <c r="D2486" s="17"/>
      <c r="E2486" s="17"/>
      <c r="F2486" s="17"/>
      <c r="G2486" s="17"/>
      <c r="H2486" s="17"/>
    </row>
    <row r="2487" spans="1:8" x14ac:dyDescent="0.2">
      <c r="A2487" s="16"/>
      <c r="B2487" s="16"/>
      <c r="C2487" s="17"/>
      <c r="D2487" s="17"/>
      <c r="E2487" s="17"/>
      <c r="F2487" s="17"/>
      <c r="G2487" s="17"/>
      <c r="H2487" s="17"/>
    </row>
    <row r="2488" spans="1:8" x14ac:dyDescent="0.2">
      <c r="A2488" s="16"/>
      <c r="B2488" s="16"/>
      <c r="C2488" s="17"/>
      <c r="D2488" s="17"/>
      <c r="E2488" s="17"/>
      <c r="F2488" s="17"/>
      <c r="G2488" s="17"/>
      <c r="H2488" s="17"/>
    </row>
    <row r="2489" spans="1:8" x14ac:dyDescent="0.2">
      <c r="A2489" s="16"/>
      <c r="B2489" s="16"/>
      <c r="C2489" s="17"/>
      <c r="D2489" s="17"/>
      <c r="E2489" s="17"/>
      <c r="F2489" s="17"/>
      <c r="G2489" s="17"/>
      <c r="H2489" s="17"/>
    </row>
    <row r="2490" spans="1:8" x14ac:dyDescent="0.2">
      <c r="A2490" s="16"/>
      <c r="B2490" s="16"/>
      <c r="C2490" s="17"/>
      <c r="D2490" s="17"/>
      <c r="E2490" s="17"/>
      <c r="F2490" s="17"/>
      <c r="G2490" s="17"/>
      <c r="H2490" s="17"/>
    </row>
    <row r="2491" spans="1:8" x14ac:dyDescent="0.2">
      <c r="A2491" s="16"/>
      <c r="B2491" s="16"/>
      <c r="C2491" s="17"/>
      <c r="D2491" s="17"/>
      <c r="E2491" s="17"/>
      <c r="F2491" s="17"/>
      <c r="G2491" s="17"/>
      <c r="H2491" s="17"/>
    </row>
    <row r="2492" spans="1:8" x14ac:dyDescent="0.2">
      <c r="A2492" s="16"/>
      <c r="B2492" s="16"/>
      <c r="C2492" s="17"/>
      <c r="D2492" s="17"/>
      <c r="E2492" s="17"/>
      <c r="F2492" s="17"/>
      <c r="G2492" s="17"/>
      <c r="H2492" s="17"/>
    </row>
    <row r="2493" spans="1:8" x14ac:dyDescent="0.2">
      <c r="A2493" s="16"/>
      <c r="B2493" s="16"/>
      <c r="C2493" s="17"/>
      <c r="D2493" s="17"/>
      <c r="E2493" s="17"/>
      <c r="F2493" s="17"/>
      <c r="G2493" s="17"/>
      <c r="H2493" s="17"/>
    </row>
    <row r="2494" spans="1:8" x14ac:dyDescent="0.2">
      <c r="A2494" s="16"/>
      <c r="B2494" s="16"/>
      <c r="C2494" s="17"/>
      <c r="D2494" s="17"/>
      <c r="E2494" s="17"/>
      <c r="F2494" s="17"/>
      <c r="G2494" s="17"/>
      <c r="H2494" s="17"/>
    </row>
    <row r="2495" spans="1:8" x14ac:dyDescent="0.2">
      <c r="A2495" s="16"/>
      <c r="B2495" s="16"/>
      <c r="C2495" s="17"/>
      <c r="D2495" s="17"/>
      <c r="E2495" s="17"/>
      <c r="F2495" s="17"/>
      <c r="G2495" s="17"/>
      <c r="H2495" s="17"/>
    </row>
    <row r="2496" spans="1:8" x14ac:dyDescent="0.2">
      <c r="A2496" s="16"/>
      <c r="B2496" s="16"/>
      <c r="C2496" s="17"/>
      <c r="D2496" s="17"/>
      <c r="E2496" s="17"/>
      <c r="F2496" s="17"/>
      <c r="G2496" s="17"/>
      <c r="H2496" s="17"/>
    </row>
    <row r="2497" spans="1:8" x14ac:dyDescent="0.2">
      <c r="A2497" s="16"/>
      <c r="B2497" s="16"/>
      <c r="C2497" s="17"/>
      <c r="D2497" s="17"/>
      <c r="E2497" s="17"/>
      <c r="F2497" s="17"/>
      <c r="G2497" s="17"/>
      <c r="H2497" s="17"/>
    </row>
    <row r="2498" spans="1:8" x14ac:dyDescent="0.2">
      <c r="A2498" s="16"/>
      <c r="B2498" s="16"/>
      <c r="C2498" s="17"/>
      <c r="D2498" s="17"/>
      <c r="E2498" s="17"/>
      <c r="F2498" s="17"/>
      <c r="G2498" s="17"/>
      <c r="H2498" s="17"/>
    </row>
    <row r="2499" spans="1:8" x14ac:dyDescent="0.2">
      <c r="A2499" s="16"/>
      <c r="B2499" s="16"/>
      <c r="C2499" s="17"/>
      <c r="D2499" s="17"/>
      <c r="E2499" s="17"/>
      <c r="F2499" s="17"/>
      <c r="G2499" s="17"/>
      <c r="H2499" s="17"/>
    </row>
    <row r="2500" spans="1:8" x14ac:dyDescent="0.2">
      <c r="A2500" s="16"/>
      <c r="B2500" s="16"/>
      <c r="C2500" s="17"/>
      <c r="D2500" s="17"/>
      <c r="E2500" s="17"/>
      <c r="F2500" s="17"/>
      <c r="G2500" s="17"/>
      <c r="H2500" s="17"/>
    </row>
    <row r="2501" spans="1:8" x14ac:dyDescent="0.2">
      <c r="A2501" s="16"/>
      <c r="B2501" s="16"/>
      <c r="C2501" s="17"/>
      <c r="D2501" s="17"/>
      <c r="E2501" s="17"/>
      <c r="F2501" s="17"/>
      <c r="G2501" s="17"/>
      <c r="H2501" s="17"/>
    </row>
    <row r="2502" spans="1:8" x14ac:dyDescent="0.2">
      <c r="A2502" s="16"/>
      <c r="B2502" s="16"/>
      <c r="C2502" s="17"/>
      <c r="D2502" s="17"/>
      <c r="E2502" s="17"/>
      <c r="F2502" s="17"/>
      <c r="G2502" s="17"/>
      <c r="H2502" s="17"/>
    </row>
    <row r="2503" spans="1:8" x14ac:dyDescent="0.2">
      <c r="A2503" s="16"/>
      <c r="B2503" s="16"/>
      <c r="C2503" s="17"/>
      <c r="D2503" s="17"/>
      <c r="E2503" s="17"/>
      <c r="F2503" s="17"/>
      <c r="G2503" s="17"/>
      <c r="H2503" s="17"/>
    </row>
    <row r="2504" spans="1:8" x14ac:dyDescent="0.2">
      <c r="A2504" s="16"/>
      <c r="B2504" s="16"/>
      <c r="C2504" s="17"/>
      <c r="D2504" s="17"/>
      <c r="E2504" s="17"/>
      <c r="F2504" s="17"/>
      <c r="G2504" s="17"/>
      <c r="H2504" s="17"/>
    </row>
    <row r="2505" spans="1:8" x14ac:dyDescent="0.2">
      <c r="A2505" s="16"/>
      <c r="B2505" s="16"/>
      <c r="C2505" s="17"/>
      <c r="D2505" s="17"/>
      <c r="E2505" s="17"/>
      <c r="F2505" s="17"/>
      <c r="G2505" s="17"/>
      <c r="H2505" s="17"/>
    </row>
    <row r="2506" spans="1:8" x14ac:dyDescent="0.2">
      <c r="A2506" s="16"/>
      <c r="B2506" s="16"/>
      <c r="C2506" s="17"/>
      <c r="D2506" s="17"/>
      <c r="E2506" s="17"/>
      <c r="F2506" s="17"/>
      <c r="G2506" s="17"/>
      <c r="H2506" s="17"/>
    </row>
    <row r="2507" spans="1:8" x14ac:dyDescent="0.2">
      <c r="A2507" s="16"/>
      <c r="B2507" s="16"/>
      <c r="C2507" s="17"/>
      <c r="D2507" s="17"/>
      <c r="E2507" s="17"/>
      <c r="F2507" s="17"/>
      <c r="G2507" s="17"/>
      <c r="H2507" s="17"/>
    </row>
    <row r="2508" spans="1:8" x14ac:dyDescent="0.2">
      <c r="A2508" s="16"/>
      <c r="B2508" s="16"/>
      <c r="C2508" s="17"/>
      <c r="D2508" s="17"/>
      <c r="E2508" s="17"/>
      <c r="F2508" s="17"/>
      <c r="G2508" s="17"/>
      <c r="H2508" s="17"/>
    </row>
    <row r="2509" spans="1:8" x14ac:dyDescent="0.2">
      <c r="A2509" s="16"/>
      <c r="B2509" s="16"/>
      <c r="C2509" s="17"/>
      <c r="D2509" s="17"/>
      <c r="E2509" s="17"/>
      <c r="F2509" s="17"/>
      <c r="G2509" s="17"/>
      <c r="H2509" s="17"/>
    </row>
    <row r="2510" spans="1:8" x14ac:dyDescent="0.2">
      <c r="A2510" s="16"/>
      <c r="B2510" s="16"/>
      <c r="C2510" s="17"/>
      <c r="D2510" s="17"/>
      <c r="E2510" s="17"/>
      <c r="F2510" s="17"/>
      <c r="G2510" s="17"/>
      <c r="H2510" s="17"/>
    </row>
    <row r="2511" spans="1:8" x14ac:dyDescent="0.2">
      <c r="A2511" s="16"/>
      <c r="B2511" s="16"/>
      <c r="C2511" s="17"/>
      <c r="D2511" s="17"/>
      <c r="E2511" s="17"/>
      <c r="F2511" s="17"/>
      <c r="G2511" s="17"/>
      <c r="H2511" s="17"/>
    </row>
    <row r="2512" spans="1:8" x14ac:dyDescent="0.2">
      <c r="A2512" s="16"/>
      <c r="B2512" s="16"/>
      <c r="C2512" s="17"/>
      <c r="D2512" s="17"/>
      <c r="E2512" s="17"/>
      <c r="F2512" s="17"/>
      <c r="G2512" s="17"/>
      <c r="H2512" s="17"/>
    </row>
    <row r="2513" spans="1:8" x14ac:dyDescent="0.2">
      <c r="A2513" s="16"/>
      <c r="B2513" s="16"/>
      <c r="C2513" s="17"/>
      <c r="D2513" s="17"/>
      <c r="E2513" s="17"/>
      <c r="F2513" s="17"/>
      <c r="G2513" s="17"/>
      <c r="H2513" s="17"/>
    </row>
    <row r="2514" spans="1:8" x14ac:dyDescent="0.2">
      <c r="A2514" s="16"/>
      <c r="B2514" s="16"/>
      <c r="C2514" s="17"/>
      <c r="D2514" s="17"/>
      <c r="E2514" s="17"/>
      <c r="F2514" s="17"/>
      <c r="G2514" s="17"/>
      <c r="H2514" s="17"/>
    </row>
    <row r="2515" spans="1:8" x14ac:dyDescent="0.2">
      <c r="A2515" s="16"/>
      <c r="B2515" s="16"/>
      <c r="C2515" s="17"/>
      <c r="D2515" s="17"/>
      <c r="E2515" s="17"/>
      <c r="F2515" s="17"/>
      <c r="G2515" s="17"/>
      <c r="H2515" s="17"/>
    </row>
    <row r="2516" spans="1:8" x14ac:dyDescent="0.2">
      <c r="A2516" s="16"/>
      <c r="B2516" s="16"/>
      <c r="C2516" s="17"/>
      <c r="D2516" s="17"/>
      <c r="E2516" s="17"/>
      <c r="F2516" s="17"/>
      <c r="G2516" s="17"/>
      <c r="H2516" s="17"/>
    </row>
    <row r="2517" spans="1:8" x14ac:dyDescent="0.2">
      <c r="A2517" s="16"/>
      <c r="B2517" s="16"/>
      <c r="C2517" s="17"/>
      <c r="D2517" s="17"/>
      <c r="E2517" s="17"/>
      <c r="F2517" s="17"/>
      <c r="G2517" s="17"/>
      <c r="H2517" s="17"/>
    </row>
    <row r="2518" spans="1:8" x14ac:dyDescent="0.2">
      <c r="A2518" s="16"/>
      <c r="B2518" s="16"/>
      <c r="C2518" s="17"/>
      <c r="D2518" s="17"/>
      <c r="E2518" s="17"/>
      <c r="F2518" s="17"/>
      <c r="G2518" s="17"/>
      <c r="H2518" s="17"/>
    </row>
    <row r="2519" spans="1:8" x14ac:dyDescent="0.2">
      <c r="A2519" s="16"/>
      <c r="B2519" s="16"/>
      <c r="C2519" s="17"/>
      <c r="D2519" s="17"/>
      <c r="E2519" s="17"/>
      <c r="F2519" s="17"/>
      <c r="G2519" s="17"/>
      <c r="H2519" s="17"/>
    </row>
    <row r="2520" spans="1:8" x14ac:dyDescent="0.2">
      <c r="A2520" s="16"/>
      <c r="B2520" s="16"/>
      <c r="C2520" s="17"/>
      <c r="D2520" s="17"/>
      <c r="E2520" s="17"/>
      <c r="F2520" s="17"/>
      <c r="G2520" s="17"/>
      <c r="H2520" s="17"/>
    </row>
    <row r="2521" spans="1:8" x14ac:dyDescent="0.2">
      <c r="A2521" s="16"/>
      <c r="B2521" s="16"/>
      <c r="C2521" s="17"/>
      <c r="D2521" s="17"/>
      <c r="E2521" s="17"/>
      <c r="F2521" s="17"/>
      <c r="G2521" s="17"/>
      <c r="H2521" s="17"/>
    </row>
    <row r="2522" spans="1:8" x14ac:dyDescent="0.2">
      <c r="A2522" s="16"/>
      <c r="B2522" s="16"/>
      <c r="C2522" s="17"/>
      <c r="D2522" s="17"/>
      <c r="E2522" s="17"/>
      <c r="F2522" s="17"/>
      <c r="G2522" s="17"/>
      <c r="H2522" s="17"/>
    </row>
    <row r="2523" spans="1:8" x14ac:dyDescent="0.2">
      <c r="A2523" s="16"/>
      <c r="B2523" s="16"/>
      <c r="C2523" s="17"/>
      <c r="D2523" s="17"/>
      <c r="E2523" s="17"/>
      <c r="F2523" s="17"/>
      <c r="G2523" s="17"/>
      <c r="H2523" s="17"/>
    </row>
    <row r="2524" spans="1:8" x14ac:dyDescent="0.2">
      <c r="A2524" s="16"/>
      <c r="B2524" s="16"/>
      <c r="C2524" s="17"/>
      <c r="D2524" s="17"/>
      <c r="E2524" s="17"/>
      <c r="F2524" s="17"/>
      <c r="G2524" s="17"/>
      <c r="H2524" s="17"/>
    </row>
    <row r="2525" spans="1:8" x14ac:dyDescent="0.2">
      <c r="A2525" s="16"/>
      <c r="B2525" s="16"/>
      <c r="C2525" s="17"/>
      <c r="D2525" s="17"/>
      <c r="E2525" s="17"/>
      <c r="F2525" s="17"/>
      <c r="G2525" s="17"/>
      <c r="H2525" s="17"/>
    </row>
    <row r="2526" spans="1:8" x14ac:dyDescent="0.2">
      <c r="A2526" s="16"/>
      <c r="B2526" s="16"/>
      <c r="C2526" s="17"/>
      <c r="D2526" s="17"/>
      <c r="E2526" s="17"/>
      <c r="F2526" s="17"/>
      <c r="G2526" s="17"/>
      <c r="H2526" s="17"/>
    </row>
    <row r="2527" spans="1:8" x14ac:dyDescent="0.2">
      <c r="A2527" s="16"/>
      <c r="B2527" s="16"/>
      <c r="C2527" s="17"/>
      <c r="D2527" s="17"/>
      <c r="E2527" s="17"/>
      <c r="F2527" s="17"/>
      <c r="G2527" s="17"/>
      <c r="H2527" s="17"/>
    </row>
    <row r="2528" spans="1:8" x14ac:dyDescent="0.2">
      <c r="A2528" s="16"/>
      <c r="B2528" s="16"/>
      <c r="C2528" s="17"/>
      <c r="D2528" s="17"/>
      <c r="E2528" s="17"/>
      <c r="F2528" s="17"/>
      <c r="G2528" s="17"/>
      <c r="H2528" s="17"/>
    </row>
    <row r="2529" spans="1:8" x14ac:dyDescent="0.2">
      <c r="A2529" s="16"/>
      <c r="B2529" s="16"/>
      <c r="C2529" s="17"/>
      <c r="D2529" s="17"/>
      <c r="E2529" s="17"/>
      <c r="F2529" s="17"/>
      <c r="G2529" s="17"/>
      <c r="H2529" s="17"/>
    </row>
    <row r="2530" spans="1:8" x14ac:dyDescent="0.2">
      <c r="A2530" s="16"/>
      <c r="B2530" s="16"/>
      <c r="C2530" s="17"/>
      <c r="D2530" s="17"/>
      <c r="E2530" s="17"/>
      <c r="F2530" s="17"/>
      <c r="G2530" s="17"/>
      <c r="H2530" s="17"/>
    </row>
    <row r="2531" spans="1:8" x14ac:dyDescent="0.2">
      <c r="A2531" s="16"/>
      <c r="B2531" s="16"/>
      <c r="C2531" s="17"/>
      <c r="D2531" s="17"/>
      <c r="E2531" s="17"/>
      <c r="F2531" s="17"/>
      <c r="G2531" s="17"/>
      <c r="H2531" s="17"/>
    </row>
    <row r="2532" spans="1:8" x14ac:dyDescent="0.2">
      <c r="A2532" s="16"/>
      <c r="B2532" s="16"/>
      <c r="C2532" s="17"/>
      <c r="D2532" s="17"/>
      <c r="E2532" s="17"/>
      <c r="F2532" s="17"/>
      <c r="G2532" s="17"/>
      <c r="H2532" s="17"/>
    </row>
    <row r="2533" spans="1:8" x14ac:dyDescent="0.2">
      <c r="A2533" s="16"/>
      <c r="B2533" s="16"/>
      <c r="C2533" s="17"/>
      <c r="D2533" s="17"/>
      <c r="E2533" s="17"/>
      <c r="F2533" s="17"/>
      <c r="G2533" s="17"/>
      <c r="H2533" s="17"/>
    </row>
    <row r="2534" spans="1:8" x14ac:dyDescent="0.2">
      <c r="A2534" s="16"/>
      <c r="B2534" s="16"/>
      <c r="C2534" s="17"/>
      <c r="D2534" s="17"/>
      <c r="E2534" s="17"/>
      <c r="F2534" s="17"/>
      <c r="G2534" s="17"/>
      <c r="H2534" s="17"/>
    </row>
    <row r="2535" spans="1:8" x14ac:dyDescent="0.2">
      <c r="A2535" s="16"/>
      <c r="B2535" s="16"/>
      <c r="C2535" s="17"/>
      <c r="D2535" s="17"/>
      <c r="E2535" s="17"/>
      <c r="F2535" s="17"/>
      <c r="G2535" s="17"/>
      <c r="H2535" s="17"/>
    </row>
    <row r="2536" spans="1:8" x14ac:dyDescent="0.2">
      <c r="A2536" s="16"/>
      <c r="B2536" s="16"/>
      <c r="C2536" s="17"/>
      <c r="D2536" s="17"/>
      <c r="E2536" s="17"/>
      <c r="F2536" s="17"/>
      <c r="G2536" s="17"/>
      <c r="H2536" s="17"/>
    </row>
    <row r="2537" spans="1:8" x14ac:dyDescent="0.2">
      <c r="A2537" s="16"/>
      <c r="B2537" s="16"/>
      <c r="C2537" s="17"/>
      <c r="D2537" s="17"/>
      <c r="E2537" s="17"/>
      <c r="F2537" s="17"/>
      <c r="G2537" s="17"/>
      <c r="H2537" s="17"/>
    </row>
    <row r="2538" spans="1:8" x14ac:dyDescent="0.2">
      <c r="A2538" s="16"/>
      <c r="B2538" s="16"/>
      <c r="C2538" s="17"/>
      <c r="D2538" s="17"/>
      <c r="E2538" s="17"/>
      <c r="F2538" s="17"/>
      <c r="G2538" s="17"/>
      <c r="H2538" s="17"/>
    </row>
    <row r="2539" spans="1:8" x14ac:dyDescent="0.2">
      <c r="A2539" s="16"/>
      <c r="B2539" s="16"/>
      <c r="C2539" s="17"/>
      <c r="D2539" s="17"/>
      <c r="E2539" s="17"/>
      <c r="F2539" s="17"/>
      <c r="G2539" s="17"/>
      <c r="H2539" s="17"/>
    </row>
    <row r="2540" spans="1:8" x14ac:dyDescent="0.2">
      <c r="A2540" s="16"/>
      <c r="B2540" s="16"/>
      <c r="C2540" s="17"/>
      <c r="D2540" s="17"/>
      <c r="E2540" s="17"/>
      <c r="F2540" s="17"/>
      <c r="G2540" s="17"/>
      <c r="H2540" s="17"/>
    </row>
    <row r="2541" spans="1:8" x14ac:dyDescent="0.2">
      <c r="A2541" s="16"/>
      <c r="B2541" s="16"/>
      <c r="C2541" s="17"/>
      <c r="D2541" s="17"/>
      <c r="E2541" s="17"/>
      <c r="F2541" s="17"/>
      <c r="G2541" s="17"/>
      <c r="H2541" s="17"/>
    </row>
    <row r="2542" spans="1:8" x14ac:dyDescent="0.2">
      <c r="A2542" s="16"/>
      <c r="B2542" s="16"/>
      <c r="C2542" s="17"/>
      <c r="D2542" s="17"/>
      <c r="E2542" s="17"/>
      <c r="F2542" s="17"/>
      <c r="G2542" s="17"/>
      <c r="H2542" s="17"/>
    </row>
    <row r="2543" spans="1:8" x14ac:dyDescent="0.2">
      <c r="A2543" s="16"/>
      <c r="B2543" s="16"/>
      <c r="C2543" s="17"/>
      <c r="D2543" s="17"/>
      <c r="E2543" s="17"/>
      <c r="F2543" s="17"/>
      <c r="G2543" s="17"/>
      <c r="H2543" s="17"/>
    </row>
    <row r="2544" spans="1:8" x14ac:dyDescent="0.2">
      <c r="A2544" s="16"/>
      <c r="B2544" s="16"/>
      <c r="C2544" s="17"/>
      <c r="D2544" s="17"/>
      <c r="E2544" s="17"/>
      <c r="F2544" s="17"/>
      <c r="G2544" s="17"/>
      <c r="H2544" s="17"/>
    </row>
    <row r="2545" spans="1:8" x14ac:dyDescent="0.2">
      <c r="A2545" s="16"/>
      <c r="B2545" s="16"/>
      <c r="C2545" s="17"/>
      <c r="D2545" s="17"/>
      <c r="E2545" s="17"/>
      <c r="F2545" s="17"/>
      <c r="G2545" s="17"/>
      <c r="H2545" s="17"/>
    </row>
    <row r="2546" spans="1:8" x14ac:dyDescent="0.2">
      <c r="A2546" s="16"/>
      <c r="B2546" s="16"/>
      <c r="C2546" s="17"/>
      <c r="D2546" s="17"/>
      <c r="E2546" s="17"/>
      <c r="F2546" s="17"/>
      <c r="G2546" s="17"/>
      <c r="H2546" s="17"/>
    </row>
    <row r="2547" spans="1:8" x14ac:dyDescent="0.2">
      <c r="A2547" s="16"/>
      <c r="B2547" s="16"/>
      <c r="C2547" s="17"/>
      <c r="D2547" s="17"/>
      <c r="E2547" s="17"/>
      <c r="F2547" s="17"/>
      <c r="G2547" s="17"/>
      <c r="H2547" s="17"/>
    </row>
    <row r="2548" spans="1:8" x14ac:dyDescent="0.2">
      <c r="A2548" s="16"/>
      <c r="B2548" s="16"/>
      <c r="C2548" s="17"/>
      <c r="D2548" s="17"/>
      <c r="E2548" s="17"/>
      <c r="F2548" s="17"/>
      <c r="G2548" s="17"/>
      <c r="H2548" s="17"/>
    </row>
    <row r="2549" spans="1:8" x14ac:dyDescent="0.2">
      <c r="A2549" s="16"/>
      <c r="B2549" s="16"/>
      <c r="C2549" s="17"/>
      <c r="D2549" s="17"/>
      <c r="E2549" s="17"/>
      <c r="F2549" s="17"/>
      <c r="G2549" s="17"/>
      <c r="H2549" s="17"/>
    </row>
    <row r="2550" spans="1:8" x14ac:dyDescent="0.2">
      <c r="A2550" s="16"/>
      <c r="B2550" s="16"/>
      <c r="C2550" s="17"/>
      <c r="D2550" s="17"/>
      <c r="E2550" s="17"/>
      <c r="F2550" s="17"/>
      <c r="G2550" s="17"/>
      <c r="H2550" s="17"/>
    </row>
    <row r="2551" spans="1:8" x14ac:dyDescent="0.2">
      <c r="A2551" s="16"/>
      <c r="B2551" s="16"/>
      <c r="C2551" s="17"/>
      <c r="D2551" s="17"/>
      <c r="E2551" s="17"/>
      <c r="F2551" s="17"/>
      <c r="G2551" s="17"/>
      <c r="H2551" s="17"/>
    </row>
    <row r="2552" spans="1:8" x14ac:dyDescent="0.2">
      <c r="A2552" s="16"/>
      <c r="B2552" s="16"/>
      <c r="C2552" s="17"/>
      <c r="D2552" s="17"/>
      <c r="E2552" s="17"/>
      <c r="F2552" s="17"/>
      <c r="G2552" s="17"/>
      <c r="H2552" s="17"/>
    </row>
    <row r="2553" spans="1:8" x14ac:dyDescent="0.2">
      <c r="A2553" s="16"/>
      <c r="B2553" s="16"/>
      <c r="C2553" s="17"/>
      <c r="D2553" s="17"/>
      <c r="E2553" s="17"/>
      <c r="F2553" s="17"/>
      <c r="G2553" s="17"/>
      <c r="H2553" s="17"/>
    </row>
    <row r="2554" spans="1:8" x14ac:dyDescent="0.2">
      <c r="A2554" s="16"/>
      <c r="B2554" s="16"/>
      <c r="C2554" s="17"/>
      <c r="D2554" s="17"/>
      <c r="E2554" s="17"/>
      <c r="F2554" s="17"/>
      <c r="G2554" s="17"/>
      <c r="H2554" s="17"/>
    </row>
    <row r="2555" spans="1:8" x14ac:dyDescent="0.2">
      <c r="A2555" s="16"/>
      <c r="B2555" s="16"/>
      <c r="C2555" s="17"/>
      <c r="D2555" s="17"/>
      <c r="E2555" s="17"/>
      <c r="F2555" s="17"/>
      <c r="G2555" s="17"/>
      <c r="H2555" s="17"/>
    </row>
    <row r="2556" spans="1:8" x14ac:dyDescent="0.2">
      <c r="A2556" s="16"/>
      <c r="B2556" s="16"/>
      <c r="C2556" s="17"/>
      <c r="D2556" s="17"/>
      <c r="E2556" s="17"/>
      <c r="F2556" s="17"/>
      <c r="G2556" s="17"/>
      <c r="H2556" s="17"/>
    </row>
    <row r="2557" spans="1:8" x14ac:dyDescent="0.2">
      <c r="A2557" s="16"/>
      <c r="B2557" s="16"/>
      <c r="C2557" s="17"/>
      <c r="D2557" s="17"/>
      <c r="E2557" s="17"/>
      <c r="F2557" s="17"/>
      <c r="G2557" s="17"/>
      <c r="H2557" s="17"/>
    </row>
    <row r="2558" spans="1:8" x14ac:dyDescent="0.2">
      <c r="A2558" s="16"/>
      <c r="B2558" s="16"/>
      <c r="C2558" s="17"/>
      <c r="D2558" s="17"/>
      <c r="E2558" s="17"/>
      <c r="F2558" s="17"/>
      <c r="G2558" s="17"/>
      <c r="H2558" s="17"/>
    </row>
    <row r="2559" spans="1:8" x14ac:dyDescent="0.2">
      <c r="A2559" s="16"/>
      <c r="B2559" s="16"/>
      <c r="C2559" s="17"/>
      <c r="D2559" s="17"/>
      <c r="E2559" s="17"/>
      <c r="F2559" s="17"/>
      <c r="G2559" s="17"/>
      <c r="H2559" s="17"/>
    </row>
    <row r="2560" spans="1:8" x14ac:dyDescent="0.2">
      <c r="A2560" s="16"/>
      <c r="B2560" s="16"/>
      <c r="C2560" s="17"/>
      <c r="D2560" s="17"/>
      <c r="E2560" s="17"/>
      <c r="F2560" s="17"/>
      <c r="G2560" s="17"/>
      <c r="H2560" s="17"/>
    </row>
    <row r="2561" spans="1:8" x14ac:dyDescent="0.2">
      <c r="A2561" s="16"/>
      <c r="B2561" s="16"/>
      <c r="C2561" s="17"/>
      <c r="D2561" s="17"/>
      <c r="E2561" s="17"/>
      <c r="F2561" s="17"/>
      <c r="G2561" s="17"/>
      <c r="H2561" s="17"/>
    </row>
    <row r="2562" spans="1:8" x14ac:dyDescent="0.2">
      <c r="A2562" s="16"/>
      <c r="B2562" s="16"/>
      <c r="C2562" s="17"/>
      <c r="D2562" s="17"/>
      <c r="E2562" s="17"/>
      <c r="F2562" s="17"/>
      <c r="G2562" s="17"/>
      <c r="H2562" s="17"/>
    </row>
    <row r="2563" spans="1:8" x14ac:dyDescent="0.2">
      <c r="A2563" s="16"/>
      <c r="B2563" s="16"/>
      <c r="C2563" s="17"/>
      <c r="D2563" s="17"/>
      <c r="E2563" s="17"/>
      <c r="F2563" s="17"/>
      <c r="G2563" s="17"/>
      <c r="H2563" s="17"/>
    </row>
    <row r="2564" spans="1:8" x14ac:dyDescent="0.2">
      <c r="A2564" s="16"/>
      <c r="B2564" s="16"/>
      <c r="C2564" s="17"/>
      <c r="D2564" s="17"/>
      <c r="E2564" s="17"/>
      <c r="F2564" s="17"/>
      <c r="G2564" s="17"/>
      <c r="H2564" s="17"/>
    </row>
    <row r="2565" spans="1:8" x14ac:dyDescent="0.2">
      <c r="A2565" s="16"/>
      <c r="B2565" s="16"/>
      <c r="C2565" s="17"/>
      <c r="D2565" s="17"/>
      <c r="E2565" s="17"/>
      <c r="F2565" s="17"/>
      <c r="G2565" s="17"/>
      <c r="H2565" s="17"/>
    </row>
    <row r="2566" spans="1:8" x14ac:dyDescent="0.2">
      <c r="A2566" s="16"/>
      <c r="B2566" s="16"/>
      <c r="C2566" s="17"/>
      <c r="D2566" s="17"/>
      <c r="E2566" s="17"/>
      <c r="F2566" s="17"/>
      <c r="G2566" s="17"/>
      <c r="H2566" s="17"/>
    </row>
    <row r="2567" spans="1:8" x14ac:dyDescent="0.2">
      <c r="A2567" s="16"/>
      <c r="B2567" s="16"/>
      <c r="C2567" s="17"/>
      <c r="D2567" s="17"/>
      <c r="E2567" s="17"/>
      <c r="F2567" s="17"/>
      <c r="G2567" s="17"/>
      <c r="H2567" s="17"/>
    </row>
    <row r="2568" spans="1:8" x14ac:dyDescent="0.2">
      <c r="A2568" s="16"/>
      <c r="B2568" s="16"/>
      <c r="C2568" s="17"/>
      <c r="D2568" s="17"/>
      <c r="E2568" s="17"/>
      <c r="F2568" s="17"/>
      <c r="G2568" s="17"/>
      <c r="H2568" s="17"/>
    </row>
    <row r="2569" spans="1:8" x14ac:dyDescent="0.2">
      <c r="A2569" s="16"/>
      <c r="B2569" s="16"/>
      <c r="C2569" s="17"/>
      <c r="D2569" s="17"/>
      <c r="E2569" s="17"/>
      <c r="F2569" s="17"/>
      <c r="G2569" s="17"/>
      <c r="H2569" s="17"/>
    </row>
    <row r="2570" spans="1:8" x14ac:dyDescent="0.2">
      <c r="A2570" s="16"/>
      <c r="B2570" s="16"/>
      <c r="C2570" s="17"/>
      <c r="D2570" s="17"/>
      <c r="E2570" s="17"/>
      <c r="F2570" s="17"/>
      <c r="G2570" s="17"/>
      <c r="H2570" s="17"/>
    </row>
    <row r="2571" spans="1:8" x14ac:dyDescent="0.2">
      <c r="A2571" s="16"/>
      <c r="B2571" s="16"/>
      <c r="C2571" s="17"/>
      <c r="D2571" s="17"/>
      <c r="E2571" s="17"/>
      <c r="F2571" s="17"/>
      <c r="G2571" s="17"/>
      <c r="H2571" s="17"/>
    </row>
    <row r="2572" spans="1:8" x14ac:dyDescent="0.2">
      <c r="A2572" s="16"/>
      <c r="B2572" s="16"/>
      <c r="C2572" s="17"/>
      <c r="D2572" s="17"/>
      <c r="E2572" s="17"/>
      <c r="F2572" s="17"/>
      <c r="G2572" s="17"/>
      <c r="H2572" s="17"/>
    </row>
    <row r="2573" spans="1:8" x14ac:dyDescent="0.2">
      <c r="A2573" s="16"/>
      <c r="B2573" s="16"/>
      <c r="C2573" s="17"/>
      <c r="D2573" s="17"/>
      <c r="E2573" s="17"/>
      <c r="F2573" s="17"/>
      <c r="G2573" s="17"/>
      <c r="H2573" s="17"/>
    </row>
    <row r="2574" spans="1:8" x14ac:dyDescent="0.2">
      <c r="A2574" s="16"/>
      <c r="B2574" s="16"/>
      <c r="C2574" s="17"/>
      <c r="D2574" s="17"/>
      <c r="E2574" s="17"/>
      <c r="F2574" s="17"/>
      <c r="G2574" s="17"/>
      <c r="H2574" s="17"/>
    </row>
    <row r="2575" spans="1:8" x14ac:dyDescent="0.2">
      <c r="A2575" s="16"/>
      <c r="B2575" s="16"/>
      <c r="C2575" s="17"/>
      <c r="D2575" s="17"/>
      <c r="E2575" s="17"/>
      <c r="F2575" s="17"/>
      <c r="G2575" s="17"/>
      <c r="H2575" s="17"/>
    </row>
    <row r="2576" spans="1:8" x14ac:dyDescent="0.2">
      <c r="A2576" s="16"/>
      <c r="B2576" s="16"/>
      <c r="C2576" s="17"/>
      <c r="D2576" s="17"/>
      <c r="E2576" s="17"/>
      <c r="F2576" s="17"/>
      <c r="G2576" s="17"/>
      <c r="H2576" s="17"/>
    </row>
    <row r="2577" spans="1:8" x14ac:dyDescent="0.2">
      <c r="A2577" s="16"/>
      <c r="B2577" s="16"/>
      <c r="C2577" s="17"/>
      <c r="D2577" s="17"/>
      <c r="E2577" s="17"/>
      <c r="F2577" s="17"/>
      <c r="G2577" s="17"/>
      <c r="H2577" s="17"/>
    </row>
    <row r="2578" spans="1:8" x14ac:dyDescent="0.2">
      <c r="A2578" s="16"/>
      <c r="B2578" s="16"/>
      <c r="C2578" s="17"/>
      <c r="D2578" s="17"/>
      <c r="E2578" s="17"/>
      <c r="F2578" s="17"/>
      <c r="G2578" s="17"/>
      <c r="H2578" s="17"/>
    </row>
    <row r="2579" spans="1:8" x14ac:dyDescent="0.2">
      <c r="A2579" s="16"/>
      <c r="B2579" s="16"/>
      <c r="C2579" s="17"/>
      <c r="D2579" s="17"/>
      <c r="E2579" s="17"/>
      <c r="F2579" s="17"/>
      <c r="G2579" s="17"/>
      <c r="H2579" s="17"/>
    </row>
    <row r="2580" spans="1:8" x14ac:dyDescent="0.2">
      <c r="A2580" s="16"/>
      <c r="B2580" s="16"/>
      <c r="C2580" s="17"/>
      <c r="D2580" s="17"/>
      <c r="E2580" s="17"/>
      <c r="F2580" s="17"/>
      <c r="G2580" s="17"/>
      <c r="H2580" s="17"/>
    </row>
    <row r="2581" spans="1:8" x14ac:dyDescent="0.2">
      <c r="A2581" s="16"/>
      <c r="B2581" s="16"/>
      <c r="C2581" s="17"/>
      <c r="D2581" s="17"/>
      <c r="E2581" s="17"/>
      <c r="F2581" s="17"/>
      <c r="G2581" s="17"/>
      <c r="H2581" s="17"/>
    </row>
    <row r="2582" spans="1:8" x14ac:dyDescent="0.2">
      <c r="A2582" s="16"/>
      <c r="B2582" s="16"/>
      <c r="C2582" s="17"/>
      <c r="D2582" s="17"/>
      <c r="E2582" s="17"/>
      <c r="F2582" s="17"/>
      <c r="G2582" s="17"/>
      <c r="H2582" s="17"/>
    </row>
    <row r="2583" spans="1:8" x14ac:dyDescent="0.2">
      <c r="A2583" s="16"/>
      <c r="B2583" s="16"/>
      <c r="C2583" s="17"/>
      <c r="D2583" s="17"/>
      <c r="E2583" s="17"/>
      <c r="F2583" s="17"/>
      <c r="G2583" s="17"/>
      <c r="H2583" s="17"/>
    </row>
    <row r="2584" spans="1:8" x14ac:dyDescent="0.2">
      <c r="A2584" s="16"/>
      <c r="B2584" s="16"/>
      <c r="C2584" s="17"/>
      <c r="D2584" s="17"/>
      <c r="E2584" s="17"/>
      <c r="F2584" s="17"/>
      <c r="G2584" s="17"/>
      <c r="H2584" s="17"/>
    </row>
    <row r="2585" spans="1:8" x14ac:dyDescent="0.2">
      <c r="A2585" s="16"/>
      <c r="B2585" s="16"/>
      <c r="C2585" s="17"/>
      <c r="D2585" s="17"/>
      <c r="E2585" s="17"/>
      <c r="F2585" s="17"/>
      <c r="G2585" s="17"/>
      <c r="H2585" s="17"/>
    </row>
    <row r="2586" spans="1:8" x14ac:dyDescent="0.2">
      <c r="A2586" s="16"/>
      <c r="B2586" s="16"/>
      <c r="C2586" s="17"/>
      <c r="D2586" s="17"/>
      <c r="E2586" s="17"/>
      <c r="F2586" s="17"/>
      <c r="G2586" s="17"/>
      <c r="H2586" s="17"/>
    </row>
    <row r="2587" spans="1:8" x14ac:dyDescent="0.2">
      <c r="A2587" s="16"/>
      <c r="B2587" s="16"/>
      <c r="C2587" s="17"/>
      <c r="D2587" s="17"/>
      <c r="E2587" s="17"/>
      <c r="F2587" s="17"/>
      <c r="G2587" s="17"/>
      <c r="H2587" s="17"/>
    </row>
    <row r="2588" spans="1:8" x14ac:dyDescent="0.2">
      <c r="A2588" s="16"/>
      <c r="B2588" s="16"/>
      <c r="C2588" s="17"/>
      <c r="D2588" s="17"/>
      <c r="E2588" s="17"/>
      <c r="F2588" s="17"/>
      <c r="G2588" s="17"/>
      <c r="H2588" s="17"/>
    </row>
    <row r="2589" spans="1:8" x14ac:dyDescent="0.2">
      <c r="A2589" s="16"/>
      <c r="B2589" s="16"/>
      <c r="C2589" s="17"/>
      <c r="D2589" s="17"/>
      <c r="E2589" s="17"/>
      <c r="F2589" s="17"/>
      <c r="G2589" s="17"/>
      <c r="H2589" s="17"/>
    </row>
    <row r="2590" spans="1:8" x14ac:dyDescent="0.2">
      <c r="A2590" s="16"/>
      <c r="B2590" s="16"/>
      <c r="C2590" s="17"/>
      <c r="D2590" s="17"/>
      <c r="E2590" s="17"/>
      <c r="F2590" s="17"/>
      <c r="G2590" s="17"/>
      <c r="H2590" s="17"/>
    </row>
    <row r="2591" spans="1:8" x14ac:dyDescent="0.2">
      <c r="A2591" s="16"/>
      <c r="B2591" s="16"/>
      <c r="C2591" s="17"/>
      <c r="D2591" s="17"/>
      <c r="E2591" s="17"/>
      <c r="F2591" s="17"/>
      <c r="G2591" s="17"/>
      <c r="H2591" s="17"/>
    </row>
    <row r="2592" spans="1:8" x14ac:dyDescent="0.2">
      <c r="A2592" s="16"/>
      <c r="B2592" s="16"/>
      <c r="C2592" s="17"/>
      <c r="D2592" s="17"/>
      <c r="E2592" s="17"/>
      <c r="F2592" s="17"/>
      <c r="G2592" s="17"/>
      <c r="H2592" s="17"/>
    </row>
    <row r="2593" spans="1:8" x14ac:dyDescent="0.2">
      <c r="A2593" s="16"/>
      <c r="B2593" s="16"/>
      <c r="C2593" s="17"/>
      <c r="D2593" s="17"/>
      <c r="E2593" s="17"/>
      <c r="F2593" s="17"/>
      <c r="G2593" s="17"/>
      <c r="H2593" s="17"/>
    </row>
    <row r="2594" spans="1:8" x14ac:dyDescent="0.2">
      <c r="A2594" s="16"/>
      <c r="B2594" s="16"/>
      <c r="C2594" s="17"/>
      <c r="D2594" s="17"/>
      <c r="E2594" s="17"/>
      <c r="F2594" s="17"/>
      <c r="G2594" s="17"/>
      <c r="H2594" s="17"/>
    </row>
    <row r="2595" spans="1:8" x14ac:dyDescent="0.2">
      <c r="A2595" s="16"/>
      <c r="B2595" s="16"/>
      <c r="C2595" s="17"/>
      <c r="D2595" s="17"/>
      <c r="E2595" s="17"/>
      <c r="F2595" s="17"/>
      <c r="G2595" s="17"/>
      <c r="H2595" s="17"/>
    </row>
    <row r="2596" spans="1:8" x14ac:dyDescent="0.2">
      <c r="A2596" s="16"/>
      <c r="B2596" s="16"/>
      <c r="C2596" s="17"/>
      <c r="D2596" s="17"/>
      <c r="E2596" s="17"/>
      <c r="F2596" s="17"/>
      <c r="G2596" s="17"/>
      <c r="H2596" s="17"/>
    </row>
    <row r="2597" spans="1:8" x14ac:dyDescent="0.2">
      <c r="A2597" s="16"/>
      <c r="B2597" s="16"/>
      <c r="C2597" s="17"/>
      <c r="D2597" s="17"/>
      <c r="E2597" s="17"/>
      <c r="F2597" s="17"/>
      <c r="G2597" s="17"/>
      <c r="H2597" s="17"/>
    </row>
    <row r="2598" spans="1:8" x14ac:dyDescent="0.2">
      <c r="A2598" s="16"/>
      <c r="B2598" s="16"/>
      <c r="C2598" s="17"/>
      <c r="D2598" s="17"/>
      <c r="E2598" s="17"/>
      <c r="F2598" s="17"/>
      <c r="G2598" s="17"/>
      <c r="H2598" s="17"/>
    </row>
    <row r="2599" spans="1:8" x14ac:dyDescent="0.2">
      <c r="A2599" s="16"/>
      <c r="B2599" s="16"/>
      <c r="C2599" s="17"/>
      <c r="D2599" s="17"/>
      <c r="E2599" s="17"/>
      <c r="F2599" s="17"/>
      <c r="G2599" s="17"/>
      <c r="H2599" s="17"/>
    </row>
    <row r="2600" spans="1:8" x14ac:dyDescent="0.2">
      <c r="A2600" s="16"/>
      <c r="B2600" s="16"/>
      <c r="C2600" s="17"/>
      <c r="D2600" s="17"/>
      <c r="E2600" s="17"/>
      <c r="F2600" s="17"/>
      <c r="G2600" s="17"/>
      <c r="H2600" s="17"/>
    </row>
    <row r="2601" spans="1:8" x14ac:dyDescent="0.2">
      <c r="A2601" s="16"/>
      <c r="B2601" s="16"/>
      <c r="C2601" s="17"/>
      <c r="D2601" s="17"/>
      <c r="E2601" s="17"/>
      <c r="F2601" s="17"/>
      <c r="G2601" s="17"/>
      <c r="H2601" s="17"/>
    </row>
    <row r="2602" spans="1:8" x14ac:dyDescent="0.2">
      <c r="A2602" s="16"/>
      <c r="B2602" s="16"/>
      <c r="C2602" s="17"/>
      <c r="D2602" s="17"/>
      <c r="E2602" s="17"/>
      <c r="F2602" s="17"/>
      <c r="G2602" s="17"/>
      <c r="H2602" s="17"/>
    </row>
    <row r="2603" spans="1:8" x14ac:dyDescent="0.2">
      <c r="A2603" s="16"/>
      <c r="B2603" s="16"/>
      <c r="C2603" s="17"/>
      <c r="D2603" s="17"/>
      <c r="E2603" s="17"/>
      <c r="F2603" s="17"/>
      <c r="G2603" s="17"/>
      <c r="H2603" s="17"/>
    </row>
    <row r="2604" spans="1:8" x14ac:dyDescent="0.2">
      <c r="A2604" s="16"/>
      <c r="B2604" s="16"/>
      <c r="C2604" s="17"/>
      <c r="D2604" s="17"/>
      <c r="E2604" s="17"/>
      <c r="F2604" s="17"/>
      <c r="G2604" s="17"/>
      <c r="H2604" s="17"/>
    </row>
    <row r="2605" spans="1:8" x14ac:dyDescent="0.2">
      <c r="A2605" s="16"/>
      <c r="B2605" s="16"/>
      <c r="C2605" s="17"/>
      <c r="D2605" s="17"/>
      <c r="E2605" s="17"/>
      <c r="F2605" s="17"/>
      <c r="G2605" s="17"/>
      <c r="H2605" s="17"/>
    </row>
    <row r="2606" spans="1:8" x14ac:dyDescent="0.2">
      <c r="A2606" s="16"/>
      <c r="B2606" s="16"/>
      <c r="C2606" s="17"/>
      <c r="D2606" s="17"/>
      <c r="E2606" s="17"/>
      <c r="F2606" s="17"/>
      <c r="G2606" s="17"/>
      <c r="H2606" s="17"/>
    </row>
    <row r="2607" spans="1:8" x14ac:dyDescent="0.2">
      <c r="A2607" s="16"/>
      <c r="B2607" s="16"/>
      <c r="C2607" s="17"/>
      <c r="D2607" s="17"/>
      <c r="E2607" s="17"/>
      <c r="F2607" s="17"/>
      <c r="G2607" s="17"/>
      <c r="H2607" s="17"/>
    </row>
    <row r="2608" spans="1:8" x14ac:dyDescent="0.2">
      <c r="A2608" s="16"/>
      <c r="B2608" s="16"/>
      <c r="C2608" s="17"/>
      <c r="D2608" s="17"/>
      <c r="E2608" s="17"/>
      <c r="F2608" s="17"/>
      <c r="G2608" s="17"/>
      <c r="H2608" s="17"/>
    </row>
    <row r="2609" spans="1:8" x14ac:dyDescent="0.2">
      <c r="A2609" s="16"/>
      <c r="B2609" s="16"/>
      <c r="C2609" s="17"/>
      <c r="D2609" s="17"/>
      <c r="E2609" s="17"/>
      <c r="F2609" s="17"/>
      <c r="G2609" s="17"/>
      <c r="H2609" s="17"/>
    </row>
    <row r="2610" spans="1:8" x14ac:dyDescent="0.2">
      <c r="A2610" s="16"/>
      <c r="B2610" s="16"/>
      <c r="C2610" s="17"/>
      <c r="D2610" s="17"/>
      <c r="E2610" s="17"/>
      <c r="F2610" s="17"/>
      <c r="G2610" s="17"/>
      <c r="H2610" s="17"/>
    </row>
    <row r="2611" spans="1:8" x14ac:dyDescent="0.2">
      <c r="A2611" s="16"/>
      <c r="B2611" s="16"/>
      <c r="C2611" s="17"/>
      <c r="D2611" s="17"/>
      <c r="E2611" s="17"/>
      <c r="F2611" s="17"/>
      <c r="G2611" s="17"/>
      <c r="H2611" s="17"/>
    </row>
    <row r="2612" spans="1:8" x14ac:dyDescent="0.2">
      <c r="A2612" s="16"/>
      <c r="B2612" s="16"/>
      <c r="C2612" s="17"/>
      <c r="D2612" s="17"/>
      <c r="E2612" s="17"/>
      <c r="F2612" s="17"/>
      <c r="G2612" s="17"/>
      <c r="H2612" s="17"/>
    </row>
    <row r="2613" spans="1:8" x14ac:dyDescent="0.2">
      <c r="A2613" s="16"/>
      <c r="B2613" s="16"/>
      <c r="C2613" s="17"/>
      <c r="D2613" s="17"/>
      <c r="E2613" s="17"/>
      <c r="F2613" s="17"/>
      <c r="G2613" s="17"/>
      <c r="H2613" s="17"/>
    </row>
    <row r="2614" spans="1:8" x14ac:dyDescent="0.2">
      <c r="A2614" s="16"/>
      <c r="B2614" s="16"/>
      <c r="C2614" s="17"/>
      <c r="D2614" s="17"/>
      <c r="E2614" s="17"/>
      <c r="F2614" s="17"/>
      <c r="G2614" s="17"/>
      <c r="H2614" s="17"/>
    </row>
    <row r="2615" spans="1:8" x14ac:dyDescent="0.2">
      <c r="A2615" s="16"/>
      <c r="B2615" s="16"/>
      <c r="C2615" s="17"/>
      <c r="D2615" s="17"/>
      <c r="E2615" s="17"/>
      <c r="F2615" s="17"/>
      <c r="G2615" s="17"/>
      <c r="H2615" s="17"/>
    </row>
    <row r="2616" spans="1:8" x14ac:dyDescent="0.2">
      <c r="A2616" s="16"/>
      <c r="B2616" s="16"/>
      <c r="C2616" s="17"/>
      <c r="D2616" s="17"/>
      <c r="E2616" s="17"/>
      <c r="F2616" s="17"/>
      <c r="G2616" s="17"/>
      <c r="H2616" s="17"/>
    </row>
    <row r="2617" spans="1:8" x14ac:dyDescent="0.2">
      <c r="A2617" s="16"/>
      <c r="B2617" s="16"/>
      <c r="C2617" s="17"/>
      <c r="D2617" s="17"/>
      <c r="E2617" s="17"/>
      <c r="F2617" s="17"/>
      <c r="G2617" s="17"/>
      <c r="H2617" s="17"/>
    </row>
    <row r="2618" spans="1:8" x14ac:dyDescent="0.2">
      <c r="A2618" s="16"/>
      <c r="B2618" s="16"/>
      <c r="C2618" s="17"/>
      <c r="D2618" s="17"/>
      <c r="E2618" s="17"/>
      <c r="F2618" s="17"/>
      <c r="G2618" s="17"/>
      <c r="H2618" s="17"/>
    </row>
    <row r="2619" spans="1:8" x14ac:dyDescent="0.2">
      <c r="A2619" s="16"/>
      <c r="B2619" s="16"/>
      <c r="C2619" s="17"/>
      <c r="D2619" s="17"/>
      <c r="E2619" s="17"/>
      <c r="F2619" s="17"/>
      <c r="G2619" s="17"/>
      <c r="H2619" s="17"/>
    </row>
    <row r="2620" spans="1:8" x14ac:dyDescent="0.2">
      <c r="A2620" s="16"/>
      <c r="B2620" s="16"/>
      <c r="C2620" s="17"/>
      <c r="D2620" s="17"/>
      <c r="E2620" s="17"/>
      <c r="F2620" s="17"/>
      <c r="G2620" s="17"/>
      <c r="H2620" s="17"/>
    </row>
    <row r="2621" spans="1:8" x14ac:dyDescent="0.2">
      <c r="A2621" s="16"/>
      <c r="B2621" s="16"/>
      <c r="C2621" s="17"/>
      <c r="D2621" s="17"/>
      <c r="E2621" s="17"/>
      <c r="F2621" s="17"/>
      <c r="G2621" s="17"/>
      <c r="H2621" s="17"/>
    </row>
    <row r="2622" spans="1:8" x14ac:dyDescent="0.2">
      <c r="A2622" s="16"/>
      <c r="B2622" s="16"/>
      <c r="C2622" s="17"/>
      <c r="D2622" s="17"/>
      <c r="E2622" s="17"/>
      <c r="F2622" s="17"/>
      <c r="G2622" s="17"/>
      <c r="H2622" s="17"/>
    </row>
    <row r="2623" spans="1:8" x14ac:dyDescent="0.2">
      <c r="A2623" s="16"/>
      <c r="B2623" s="16"/>
      <c r="C2623" s="17"/>
      <c r="D2623" s="17"/>
      <c r="E2623" s="17"/>
      <c r="F2623" s="17"/>
      <c r="G2623" s="17"/>
      <c r="H2623" s="17"/>
    </row>
    <row r="2624" spans="1:8" x14ac:dyDescent="0.2">
      <c r="A2624" s="16"/>
      <c r="B2624" s="16"/>
      <c r="C2624" s="17"/>
      <c r="D2624" s="17"/>
      <c r="E2624" s="17"/>
      <c r="F2624" s="17"/>
      <c r="G2624" s="17"/>
      <c r="H2624" s="17"/>
    </row>
    <row r="2625" spans="1:8" x14ac:dyDescent="0.2">
      <c r="A2625" s="16"/>
      <c r="B2625" s="16"/>
      <c r="C2625" s="17"/>
      <c r="D2625" s="17"/>
      <c r="E2625" s="17"/>
      <c r="F2625" s="17"/>
      <c r="G2625" s="17"/>
      <c r="H2625" s="17"/>
    </row>
    <row r="2626" spans="1:8" x14ac:dyDescent="0.2">
      <c r="A2626" s="16"/>
      <c r="B2626" s="16"/>
      <c r="C2626" s="17"/>
      <c r="D2626" s="17"/>
      <c r="E2626" s="17"/>
      <c r="F2626" s="17"/>
      <c r="G2626" s="17"/>
      <c r="H2626" s="17"/>
    </row>
    <row r="2627" spans="1:8" x14ac:dyDescent="0.2">
      <c r="A2627" s="16"/>
      <c r="B2627" s="16"/>
      <c r="C2627" s="17"/>
      <c r="D2627" s="17"/>
      <c r="E2627" s="17"/>
      <c r="F2627" s="17"/>
      <c r="G2627" s="17"/>
      <c r="H2627" s="17"/>
    </row>
    <row r="2628" spans="1:8" x14ac:dyDescent="0.2">
      <c r="A2628" s="16"/>
      <c r="B2628" s="16"/>
      <c r="C2628" s="17"/>
      <c r="D2628" s="17"/>
      <c r="E2628" s="17"/>
      <c r="F2628" s="17"/>
      <c r="G2628" s="17"/>
      <c r="H2628" s="17"/>
    </row>
    <row r="2629" spans="1:8" x14ac:dyDescent="0.2">
      <c r="A2629" s="16"/>
      <c r="B2629" s="16"/>
      <c r="C2629" s="17"/>
      <c r="D2629" s="17"/>
      <c r="E2629" s="17"/>
      <c r="F2629" s="17"/>
      <c r="G2629" s="17"/>
      <c r="H2629" s="17"/>
    </row>
    <row r="2630" spans="1:8" x14ac:dyDescent="0.2">
      <c r="A2630" s="16"/>
      <c r="B2630" s="16"/>
      <c r="C2630" s="17"/>
      <c r="D2630" s="17"/>
      <c r="E2630" s="17"/>
      <c r="F2630" s="17"/>
      <c r="G2630" s="17"/>
      <c r="H2630" s="17"/>
    </row>
    <row r="2631" spans="1:8" x14ac:dyDescent="0.2">
      <c r="A2631" s="16"/>
      <c r="B2631" s="16"/>
      <c r="C2631" s="17"/>
      <c r="D2631" s="17"/>
      <c r="E2631" s="17"/>
      <c r="F2631" s="17"/>
      <c r="G2631" s="17"/>
      <c r="H2631" s="17"/>
    </row>
    <row r="2632" spans="1:8" x14ac:dyDescent="0.2">
      <c r="A2632" s="16"/>
      <c r="B2632" s="16"/>
      <c r="C2632" s="17"/>
      <c r="D2632" s="17"/>
      <c r="E2632" s="17"/>
      <c r="F2632" s="17"/>
      <c r="G2632" s="17"/>
      <c r="H2632" s="17"/>
    </row>
    <row r="2633" spans="1:8" x14ac:dyDescent="0.2">
      <c r="A2633" s="16"/>
      <c r="B2633" s="16"/>
      <c r="C2633" s="17"/>
      <c r="D2633" s="17"/>
      <c r="E2633" s="17"/>
      <c r="F2633" s="17"/>
      <c r="G2633" s="17"/>
      <c r="H2633" s="17"/>
    </row>
    <row r="2634" spans="1:8" x14ac:dyDescent="0.2">
      <c r="A2634" s="16"/>
      <c r="B2634" s="16"/>
      <c r="C2634" s="17"/>
      <c r="D2634" s="17"/>
      <c r="E2634" s="17"/>
      <c r="F2634" s="17"/>
      <c r="G2634" s="17"/>
      <c r="H2634" s="17"/>
    </row>
    <row r="2635" spans="1:8" x14ac:dyDescent="0.2">
      <c r="A2635" s="16"/>
      <c r="B2635" s="16"/>
      <c r="C2635" s="17"/>
      <c r="D2635" s="17"/>
      <c r="E2635" s="17"/>
      <c r="F2635" s="17"/>
      <c r="G2635" s="17"/>
      <c r="H2635" s="17"/>
    </row>
    <row r="2636" spans="1:8" x14ac:dyDescent="0.2">
      <c r="A2636" s="16"/>
      <c r="B2636" s="16"/>
      <c r="C2636" s="17"/>
      <c r="D2636" s="17"/>
      <c r="E2636" s="17"/>
      <c r="F2636" s="17"/>
      <c r="G2636" s="17"/>
      <c r="H2636" s="17"/>
    </row>
    <row r="2637" spans="1:8" x14ac:dyDescent="0.2">
      <c r="A2637" s="16"/>
      <c r="B2637" s="16"/>
      <c r="C2637" s="17"/>
      <c r="D2637" s="17"/>
      <c r="E2637" s="17"/>
      <c r="F2637" s="17"/>
      <c r="G2637" s="17"/>
      <c r="H2637" s="17"/>
    </row>
    <row r="2638" spans="1:8" x14ac:dyDescent="0.2">
      <c r="A2638" s="16"/>
      <c r="B2638" s="16"/>
      <c r="C2638" s="17"/>
      <c r="D2638" s="17"/>
      <c r="E2638" s="17"/>
      <c r="F2638" s="17"/>
      <c r="G2638" s="17"/>
      <c r="H2638" s="17"/>
    </row>
    <row r="2639" spans="1:8" x14ac:dyDescent="0.2">
      <c r="A2639" s="16"/>
      <c r="B2639" s="16"/>
      <c r="C2639" s="17"/>
      <c r="D2639" s="17"/>
      <c r="E2639" s="17"/>
      <c r="F2639" s="17"/>
      <c r="G2639" s="17"/>
      <c r="H2639" s="17"/>
    </row>
    <row r="2640" spans="1:8" x14ac:dyDescent="0.2">
      <c r="A2640" s="16"/>
      <c r="B2640" s="16"/>
      <c r="C2640" s="17"/>
      <c r="D2640" s="17"/>
      <c r="E2640" s="17"/>
      <c r="F2640" s="17"/>
      <c r="G2640" s="17"/>
      <c r="H2640" s="17"/>
    </row>
    <row r="2641" spans="1:8" x14ac:dyDescent="0.2">
      <c r="A2641" s="16"/>
      <c r="B2641" s="16"/>
      <c r="C2641" s="17"/>
      <c r="D2641" s="17"/>
      <c r="E2641" s="17"/>
      <c r="F2641" s="17"/>
      <c r="G2641" s="17"/>
      <c r="H2641" s="17"/>
    </row>
    <row r="2642" spans="1:8" x14ac:dyDescent="0.2">
      <c r="A2642" s="16"/>
      <c r="B2642" s="16"/>
      <c r="C2642" s="17"/>
      <c r="D2642" s="17"/>
      <c r="E2642" s="17"/>
      <c r="F2642" s="17"/>
      <c r="G2642" s="17"/>
      <c r="H2642" s="17"/>
    </row>
    <row r="2643" spans="1:8" x14ac:dyDescent="0.2">
      <c r="A2643" s="16"/>
      <c r="B2643" s="16"/>
      <c r="C2643" s="17"/>
      <c r="D2643" s="17"/>
      <c r="E2643" s="17"/>
      <c r="F2643" s="17"/>
      <c r="G2643" s="17"/>
      <c r="H2643" s="17"/>
    </row>
    <row r="2644" spans="1:8" x14ac:dyDescent="0.2">
      <c r="A2644" s="16"/>
      <c r="B2644" s="16"/>
      <c r="C2644" s="17"/>
      <c r="D2644" s="17"/>
      <c r="E2644" s="17"/>
      <c r="F2644" s="17"/>
      <c r="G2644" s="17"/>
      <c r="H2644" s="17"/>
    </row>
    <row r="2645" spans="1:8" x14ac:dyDescent="0.2">
      <c r="A2645" s="16"/>
      <c r="B2645" s="16"/>
      <c r="C2645" s="17"/>
      <c r="D2645" s="17"/>
      <c r="E2645" s="17"/>
      <c r="F2645" s="17"/>
      <c r="G2645" s="17"/>
      <c r="H2645" s="17"/>
    </row>
    <row r="2646" spans="1:8" x14ac:dyDescent="0.2">
      <c r="A2646" s="16"/>
      <c r="B2646" s="16"/>
      <c r="C2646" s="17"/>
      <c r="D2646" s="17"/>
      <c r="E2646" s="17"/>
      <c r="F2646" s="17"/>
      <c r="G2646" s="17"/>
      <c r="H2646" s="17"/>
    </row>
    <row r="2647" spans="1:8" x14ac:dyDescent="0.2">
      <c r="A2647" s="16"/>
      <c r="B2647" s="16"/>
      <c r="C2647" s="17"/>
      <c r="D2647" s="17"/>
      <c r="E2647" s="17"/>
      <c r="F2647" s="17"/>
      <c r="G2647" s="17"/>
      <c r="H2647" s="17"/>
    </row>
    <row r="2648" spans="1:8" x14ac:dyDescent="0.2">
      <c r="A2648" s="16"/>
      <c r="B2648" s="16"/>
      <c r="C2648" s="17"/>
      <c r="D2648" s="17"/>
      <c r="E2648" s="17"/>
      <c r="F2648" s="17"/>
      <c r="G2648" s="17"/>
      <c r="H2648" s="17"/>
    </row>
    <row r="2649" spans="1:8" x14ac:dyDescent="0.2">
      <c r="A2649" s="16"/>
      <c r="B2649" s="16"/>
      <c r="C2649" s="17"/>
      <c r="D2649" s="17"/>
      <c r="E2649" s="17"/>
      <c r="F2649" s="17"/>
      <c r="G2649" s="17"/>
      <c r="H2649" s="17"/>
    </row>
    <row r="2650" spans="1:8" x14ac:dyDescent="0.2">
      <c r="A2650" s="16"/>
      <c r="B2650" s="16"/>
      <c r="C2650" s="17"/>
      <c r="D2650" s="17"/>
      <c r="E2650" s="17"/>
      <c r="F2650" s="17"/>
      <c r="G2650" s="17"/>
      <c r="H2650" s="17"/>
    </row>
    <row r="2651" spans="1:8" x14ac:dyDescent="0.2">
      <c r="A2651" s="16"/>
      <c r="B2651" s="16"/>
      <c r="C2651" s="17"/>
      <c r="D2651" s="17"/>
      <c r="E2651" s="17"/>
      <c r="F2651" s="17"/>
      <c r="G2651" s="17"/>
      <c r="H2651" s="17"/>
    </row>
    <row r="2652" spans="1:8" x14ac:dyDescent="0.2">
      <c r="A2652" s="16"/>
      <c r="B2652" s="16"/>
      <c r="C2652" s="17"/>
      <c r="D2652" s="17"/>
      <c r="E2652" s="17"/>
      <c r="F2652" s="17"/>
      <c r="G2652" s="17"/>
      <c r="H2652" s="17"/>
    </row>
    <row r="2653" spans="1:8" x14ac:dyDescent="0.2">
      <c r="A2653" s="16"/>
      <c r="B2653" s="16"/>
      <c r="C2653" s="17"/>
      <c r="D2653" s="17"/>
      <c r="E2653" s="17"/>
      <c r="F2653" s="17"/>
      <c r="G2653" s="17"/>
      <c r="H2653" s="17"/>
    </row>
    <row r="2654" spans="1:8" x14ac:dyDescent="0.2">
      <c r="A2654" s="16"/>
      <c r="B2654" s="16"/>
      <c r="C2654" s="17"/>
      <c r="D2654" s="17"/>
      <c r="E2654" s="17"/>
      <c r="F2654" s="17"/>
      <c r="G2654" s="17"/>
      <c r="H2654" s="17"/>
    </row>
    <row r="2655" spans="1:8" x14ac:dyDescent="0.2">
      <c r="A2655" s="16"/>
      <c r="B2655" s="16"/>
      <c r="C2655" s="17"/>
      <c r="D2655" s="17"/>
      <c r="E2655" s="17"/>
      <c r="F2655" s="17"/>
      <c r="G2655" s="17"/>
      <c r="H2655" s="17"/>
    </row>
    <row r="2656" spans="1:8" x14ac:dyDescent="0.2">
      <c r="A2656" s="16"/>
      <c r="B2656" s="16"/>
      <c r="C2656" s="17"/>
      <c r="D2656" s="17"/>
      <c r="E2656" s="17"/>
      <c r="F2656" s="17"/>
      <c r="G2656" s="17"/>
      <c r="H2656" s="17"/>
    </row>
    <row r="2657" spans="1:8" x14ac:dyDescent="0.2">
      <c r="A2657" s="16"/>
      <c r="B2657" s="16"/>
      <c r="C2657" s="17"/>
      <c r="D2657" s="17"/>
      <c r="E2657" s="17"/>
      <c r="F2657" s="17"/>
      <c r="G2657" s="17"/>
      <c r="H2657" s="17"/>
    </row>
    <row r="2658" spans="1:8" x14ac:dyDescent="0.2">
      <c r="A2658" s="16"/>
      <c r="B2658" s="16"/>
      <c r="C2658" s="17"/>
      <c r="D2658" s="17"/>
      <c r="E2658" s="17"/>
      <c r="F2658" s="17"/>
      <c r="G2658" s="17"/>
      <c r="H2658" s="17"/>
    </row>
    <row r="2659" spans="1:8" x14ac:dyDescent="0.2">
      <c r="A2659" s="16"/>
      <c r="B2659" s="16"/>
      <c r="C2659" s="17"/>
      <c r="D2659" s="17"/>
      <c r="E2659" s="17"/>
      <c r="F2659" s="17"/>
      <c r="G2659" s="17"/>
      <c r="H2659" s="17"/>
    </row>
    <row r="2660" spans="1:8" x14ac:dyDescent="0.2">
      <c r="A2660" s="16"/>
      <c r="B2660" s="16"/>
      <c r="C2660" s="17"/>
      <c r="D2660" s="17"/>
      <c r="E2660" s="17"/>
      <c r="F2660" s="17"/>
      <c r="G2660" s="17"/>
      <c r="H2660" s="17"/>
    </row>
    <row r="2661" spans="1:8" x14ac:dyDescent="0.2">
      <c r="A2661" s="16"/>
      <c r="B2661" s="16"/>
      <c r="C2661" s="17"/>
      <c r="D2661" s="17"/>
      <c r="E2661" s="17"/>
      <c r="F2661" s="17"/>
      <c r="G2661" s="17"/>
      <c r="H2661" s="17"/>
    </row>
    <row r="2662" spans="1:8" x14ac:dyDescent="0.2">
      <c r="A2662" s="16"/>
      <c r="B2662" s="16"/>
      <c r="C2662" s="17"/>
      <c r="D2662" s="17"/>
      <c r="E2662" s="17"/>
      <c r="F2662" s="17"/>
      <c r="G2662" s="17"/>
      <c r="H2662" s="17"/>
    </row>
    <row r="2663" spans="1:8" x14ac:dyDescent="0.2">
      <c r="A2663" s="16"/>
      <c r="B2663" s="16"/>
      <c r="C2663" s="17"/>
      <c r="D2663" s="17"/>
      <c r="E2663" s="17"/>
      <c r="F2663" s="17"/>
      <c r="G2663" s="17"/>
      <c r="H2663" s="17"/>
    </row>
    <row r="2664" spans="1:8" x14ac:dyDescent="0.2">
      <c r="A2664" s="16"/>
      <c r="B2664" s="16"/>
      <c r="C2664" s="17"/>
      <c r="D2664" s="17"/>
      <c r="E2664" s="17"/>
      <c r="F2664" s="17"/>
      <c r="G2664" s="17"/>
      <c r="H2664" s="17"/>
    </row>
    <row r="2665" spans="1:8" x14ac:dyDescent="0.2">
      <c r="A2665" s="16"/>
      <c r="B2665" s="16"/>
      <c r="C2665" s="17"/>
      <c r="D2665" s="17"/>
      <c r="E2665" s="17"/>
      <c r="F2665" s="17"/>
      <c r="G2665" s="17"/>
      <c r="H2665" s="17"/>
    </row>
    <row r="2666" spans="1:8" x14ac:dyDescent="0.2">
      <c r="A2666" s="16"/>
      <c r="B2666" s="16"/>
      <c r="C2666" s="17"/>
      <c r="D2666" s="17"/>
      <c r="E2666" s="17"/>
      <c r="F2666" s="17"/>
      <c r="G2666" s="17"/>
      <c r="H2666" s="17"/>
    </row>
    <row r="2667" spans="1:8" x14ac:dyDescent="0.2">
      <c r="A2667" s="16"/>
      <c r="B2667" s="16"/>
      <c r="C2667" s="17"/>
      <c r="D2667" s="17"/>
      <c r="E2667" s="17"/>
      <c r="F2667" s="17"/>
      <c r="G2667" s="17"/>
      <c r="H2667" s="17"/>
    </row>
    <row r="2668" spans="1:8" x14ac:dyDescent="0.2">
      <c r="A2668" s="16"/>
      <c r="B2668" s="16"/>
      <c r="C2668" s="17"/>
      <c r="D2668" s="17"/>
      <c r="E2668" s="17"/>
      <c r="F2668" s="17"/>
      <c r="G2668" s="17"/>
      <c r="H2668" s="17"/>
    </row>
    <row r="2669" spans="1:8" x14ac:dyDescent="0.2">
      <c r="A2669" s="16"/>
      <c r="B2669" s="16"/>
      <c r="C2669" s="17"/>
      <c r="D2669" s="17"/>
      <c r="E2669" s="17"/>
      <c r="F2669" s="17"/>
      <c r="G2669" s="17"/>
      <c r="H2669" s="17"/>
    </row>
    <row r="2670" spans="1:8" x14ac:dyDescent="0.2">
      <c r="A2670" s="16"/>
      <c r="B2670" s="16"/>
      <c r="C2670" s="17"/>
      <c r="D2670" s="17"/>
      <c r="E2670" s="17"/>
      <c r="F2670" s="17"/>
      <c r="G2670" s="17"/>
      <c r="H2670" s="17"/>
    </row>
    <row r="2671" spans="1:8" x14ac:dyDescent="0.2">
      <c r="A2671" s="16"/>
      <c r="B2671" s="16"/>
      <c r="C2671" s="17"/>
      <c r="D2671" s="17"/>
      <c r="E2671" s="17"/>
      <c r="F2671" s="17"/>
      <c r="G2671" s="17"/>
      <c r="H2671" s="17"/>
    </row>
    <row r="2672" spans="1:8" x14ac:dyDescent="0.2">
      <c r="A2672" s="16"/>
      <c r="B2672" s="16"/>
      <c r="C2672" s="17"/>
      <c r="D2672" s="17"/>
      <c r="E2672" s="17"/>
      <c r="F2672" s="17"/>
      <c r="G2672" s="17"/>
      <c r="H2672" s="17"/>
    </row>
    <row r="2673" spans="1:8" x14ac:dyDescent="0.2">
      <c r="A2673" s="16"/>
      <c r="B2673" s="16"/>
      <c r="C2673" s="17"/>
      <c r="D2673" s="17"/>
      <c r="E2673" s="17"/>
      <c r="F2673" s="17"/>
      <c r="G2673" s="17"/>
      <c r="H2673" s="17"/>
    </row>
    <row r="2674" spans="1:8" x14ac:dyDescent="0.2">
      <c r="A2674" s="16"/>
      <c r="B2674" s="16"/>
      <c r="C2674" s="17"/>
      <c r="D2674" s="17"/>
      <c r="E2674" s="17"/>
      <c r="F2674" s="17"/>
      <c r="G2674" s="17"/>
      <c r="H2674" s="17"/>
    </row>
    <row r="2675" spans="1:8" x14ac:dyDescent="0.2">
      <c r="A2675" s="16"/>
      <c r="B2675" s="16"/>
      <c r="C2675" s="17"/>
      <c r="D2675" s="17"/>
      <c r="E2675" s="17"/>
      <c r="F2675" s="17"/>
      <c r="G2675" s="17"/>
      <c r="H2675" s="17"/>
    </row>
    <row r="2676" spans="1:8" x14ac:dyDescent="0.2">
      <c r="A2676" s="16"/>
      <c r="B2676" s="16"/>
      <c r="C2676" s="17"/>
      <c r="D2676" s="17"/>
      <c r="E2676" s="17"/>
      <c r="F2676" s="17"/>
      <c r="G2676" s="17"/>
      <c r="H2676" s="17"/>
    </row>
    <row r="2677" spans="1:8" x14ac:dyDescent="0.2">
      <c r="A2677" s="16"/>
      <c r="B2677" s="16"/>
      <c r="C2677" s="17"/>
      <c r="D2677" s="17"/>
      <c r="E2677" s="17"/>
      <c r="F2677" s="17"/>
      <c r="G2677" s="17"/>
      <c r="H2677" s="17"/>
    </row>
    <row r="2678" spans="1:8" x14ac:dyDescent="0.2">
      <c r="A2678" s="16"/>
      <c r="B2678" s="16"/>
      <c r="C2678" s="17"/>
      <c r="D2678" s="17"/>
      <c r="E2678" s="17"/>
      <c r="F2678" s="17"/>
      <c r="G2678" s="17"/>
      <c r="H2678" s="17"/>
    </row>
    <row r="2679" spans="1:8" x14ac:dyDescent="0.2">
      <c r="A2679" s="16"/>
      <c r="B2679" s="16"/>
      <c r="C2679" s="17"/>
      <c r="D2679" s="17"/>
      <c r="E2679" s="17"/>
      <c r="F2679" s="17"/>
      <c r="G2679" s="17"/>
      <c r="H2679" s="17"/>
    </row>
    <row r="2680" spans="1:8" x14ac:dyDescent="0.2">
      <c r="A2680" s="16"/>
      <c r="B2680" s="16"/>
      <c r="C2680" s="17"/>
      <c r="D2680" s="17"/>
      <c r="E2680" s="17"/>
      <c r="F2680" s="17"/>
      <c r="G2680" s="17"/>
      <c r="H2680" s="17"/>
    </row>
    <row r="2681" spans="1:8" x14ac:dyDescent="0.2">
      <c r="A2681" s="16"/>
      <c r="B2681" s="16"/>
      <c r="C2681" s="17"/>
      <c r="D2681" s="17"/>
      <c r="E2681" s="17"/>
      <c r="F2681" s="17"/>
      <c r="G2681" s="17"/>
      <c r="H2681" s="17"/>
    </row>
    <row r="2682" spans="1:8" x14ac:dyDescent="0.2">
      <c r="A2682" s="16"/>
      <c r="B2682" s="16"/>
      <c r="C2682" s="17"/>
      <c r="D2682" s="17"/>
      <c r="E2682" s="17"/>
      <c r="F2682" s="17"/>
      <c r="G2682" s="17"/>
      <c r="H2682" s="17"/>
    </row>
    <row r="2683" spans="1:8" x14ac:dyDescent="0.2">
      <c r="A2683" s="16"/>
      <c r="B2683" s="16"/>
      <c r="C2683" s="17"/>
      <c r="D2683" s="17"/>
      <c r="E2683" s="17"/>
      <c r="F2683" s="17"/>
      <c r="G2683" s="17"/>
      <c r="H2683" s="17"/>
    </row>
    <row r="2684" spans="1:8" x14ac:dyDescent="0.2">
      <c r="A2684" s="16"/>
      <c r="B2684" s="16"/>
      <c r="C2684" s="17"/>
      <c r="D2684" s="17"/>
      <c r="E2684" s="17"/>
      <c r="F2684" s="17"/>
      <c r="G2684" s="17"/>
      <c r="H2684" s="17"/>
    </row>
    <row r="2685" spans="1:8" x14ac:dyDescent="0.2">
      <c r="A2685" s="16"/>
      <c r="B2685" s="16"/>
      <c r="C2685" s="17"/>
      <c r="D2685" s="17"/>
      <c r="E2685" s="17"/>
      <c r="F2685" s="17"/>
      <c r="G2685" s="17"/>
      <c r="H2685" s="17"/>
    </row>
    <row r="2686" spans="1:8" x14ac:dyDescent="0.2">
      <c r="A2686" s="16"/>
      <c r="B2686" s="16"/>
      <c r="C2686" s="17"/>
      <c r="D2686" s="17"/>
      <c r="E2686" s="17"/>
      <c r="F2686" s="17"/>
      <c r="G2686" s="17"/>
      <c r="H2686" s="17"/>
    </row>
    <row r="2687" spans="1:8" x14ac:dyDescent="0.2">
      <c r="A2687" s="16"/>
      <c r="B2687" s="16"/>
      <c r="C2687" s="17"/>
      <c r="D2687" s="17"/>
      <c r="E2687" s="17"/>
      <c r="F2687" s="17"/>
      <c r="G2687" s="17"/>
      <c r="H2687" s="17"/>
    </row>
    <row r="2688" spans="1:8" x14ac:dyDescent="0.2">
      <c r="A2688" s="16"/>
      <c r="B2688" s="16"/>
      <c r="C2688" s="17"/>
      <c r="D2688" s="17"/>
      <c r="E2688" s="17"/>
      <c r="F2688" s="17"/>
      <c r="G2688" s="17"/>
      <c r="H2688" s="17"/>
    </row>
    <row r="2689" spans="1:8" x14ac:dyDescent="0.2">
      <c r="A2689" s="16"/>
      <c r="B2689" s="16"/>
      <c r="C2689" s="17"/>
      <c r="D2689" s="17"/>
      <c r="E2689" s="17"/>
      <c r="F2689" s="17"/>
      <c r="G2689" s="17"/>
      <c r="H2689" s="17"/>
    </row>
    <row r="2690" spans="1:8" x14ac:dyDescent="0.2">
      <c r="A2690" s="16"/>
      <c r="B2690" s="16"/>
      <c r="C2690" s="17"/>
      <c r="D2690" s="17"/>
      <c r="E2690" s="17"/>
      <c r="F2690" s="17"/>
      <c r="G2690" s="17"/>
      <c r="H2690" s="17"/>
    </row>
    <row r="2691" spans="1:8" x14ac:dyDescent="0.2">
      <c r="A2691" s="16"/>
      <c r="B2691" s="16"/>
      <c r="C2691" s="17"/>
      <c r="D2691" s="17"/>
      <c r="E2691" s="17"/>
      <c r="F2691" s="17"/>
      <c r="G2691" s="17"/>
      <c r="H2691" s="17"/>
    </row>
    <row r="2692" spans="1:8" x14ac:dyDescent="0.2">
      <c r="A2692" s="16"/>
      <c r="B2692" s="16"/>
      <c r="C2692" s="17"/>
      <c r="D2692" s="17"/>
      <c r="E2692" s="17"/>
      <c r="F2692" s="17"/>
      <c r="G2692" s="17"/>
      <c r="H2692" s="17"/>
    </row>
    <row r="2693" spans="1:8" x14ac:dyDescent="0.2">
      <c r="A2693" s="16"/>
      <c r="B2693" s="16"/>
      <c r="C2693" s="17"/>
      <c r="D2693" s="17"/>
      <c r="E2693" s="17"/>
      <c r="F2693" s="17"/>
      <c r="G2693" s="17"/>
      <c r="H2693" s="17"/>
    </row>
    <row r="2694" spans="1:8" x14ac:dyDescent="0.2">
      <c r="A2694" s="16"/>
      <c r="B2694" s="16"/>
      <c r="C2694" s="17"/>
      <c r="D2694" s="17"/>
      <c r="E2694" s="17"/>
      <c r="F2694" s="17"/>
      <c r="G2694" s="17"/>
      <c r="H2694" s="17"/>
    </row>
    <row r="2695" spans="1:8" x14ac:dyDescent="0.2">
      <c r="A2695" s="16"/>
      <c r="B2695" s="16"/>
      <c r="C2695" s="17"/>
      <c r="D2695" s="17"/>
      <c r="E2695" s="17"/>
      <c r="F2695" s="17"/>
      <c r="G2695" s="17"/>
      <c r="H2695" s="17"/>
    </row>
    <row r="2696" spans="1:8" x14ac:dyDescent="0.2">
      <c r="A2696" s="16"/>
      <c r="B2696" s="16"/>
      <c r="C2696" s="17"/>
      <c r="D2696" s="17"/>
      <c r="E2696" s="17"/>
      <c r="F2696" s="17"/>
      <c r="G2696" s="17"/>
      <c r="H2696" s="17"/>
    </row>
    <row r="2697" spans="1:8" x14ac:dyDescent="0.2">
      <c r="A2697" s="16"/>
      <c r="B2697" s="16"/>
      <c r="C2697" s="17"/>
      <c r="D2697" s="17"/>
      <c r="E2697" s="17"/>
      <c r="F2697" s="17"/>
      <c r="G2697" s="17"/>
      <c r="H2697" s="17"/>
    </row>
    <row r="2698" spans="1:8" x14ac:dyDescent="0.2">
      <c r="A2698" s="16"/>
      <c r="B2698" s="16"/>
      <c r="C2698" s="17"/>
      <c r="D2698" s="17"/>
      <c r="E2698" s="17"/>
      <c r="F2698" s="17"/>
      <c r="G2698" s="17"/>
      <c r="H2698" s="17"/>
    </row>
    <row r="2699" spans="1:8" x14ac:dyDescent="0.2">
      <c r="A2699" s="16"/>
      <c r="B2699" s="16"/>
      <c r="C2699" s="17"/>
      <c r="D2699" s="17"/>
      <c r="E2699" s="17"/>
      <c r="F2699" s="17"/>
      <c r="G2699" s="17"/>
      <c r="H2699" s="17"/>
    </row>
    <row r="2700" spans="1:8" x14ac:dyDescent="0.2">
      <c r="A2700" s="16"/>
      <c r="B2700" s="16"/>
      <c r="C2700" s="17"/>
      <c r="D2700" s="17"/>
      <c r="E2700" s="17"/>
      <c r="F2700" s="17"/>
      <c r="G2700" s="17"/>
      <c r="H2700" s="17"/>
    </row>
    <row r="2701" spans="1:8" x14ac:dyDescent="0.2">
      <c r="A2701" s="16"/>
      <c r="B2701" s="16"/>
      <c r="C2701" s="17"/>
      <c r="D2701" s="17"/>
      <c r="E2701" s="17"/>
      <c r="F2701" s="17"/>
      <c r="G2701" s="17"/>
      <c r="H2701" s="17"/>
    </row>
    <row r="2702" spans="1:8" x14ac:dyDescent="0.2">
      <c r="A2702" s="16"/>
      <c r="B2702" s="16"/>
      <c r="C2702" s="17"/>
      <c r="D2702" s="17"/>
      <c r="E2702" s="17"/>
      <c r="F2702" s="17"/>
      <c r="G2702" s="17"/>
      <c r="H2702" s="17"/>
    </row>
    <row r="2703" spans="1:8" x14ac:dyDescent="0.2">
      <c r="A2703" s="16"/>
      <c r="B2703" s="16"/>
      <c r="C2703" s="17"/>
      <c r="D2703" s="17"/>
      <c r="E2703" s="17"/>
      <c r="F2703" s="17"/>
      <c r="G2703" s="17"/>
      <c r="H2703" s="17"/>
    </row>
    <row r="2704" spans="1:8" x14ac:dyDescent="0.2">
      <c r="A2704" s="16"/>
      <c r="B2704" s="16"/>
      <c r="C2704" s="17"/>
      <c r="D2704" s="17"/>
      <c r="E2704" s="17"/>
      <c r="F2704" s="17"/>
      <c r="G2704" s="17"/>
      <c r="H2704" s="17"/>
    </row>
    <row r="2705" spans="1:8" x14ac:dyDescent="0.2">
      <c r="A2705" s="16"/>
      <c r="B2705" s="16"/>
      <c r="C2705" s="17"/>
      <c r="D2705" s="17"/>
      <c r="E2705" s="17"/>
      <c r="F2705" s="17"/>
      <c r="G2705" s="17"/>
      <c r="H2705" s="17"/>
    </row>
    <row r="2706" spans="1:8" x14ac:dyDescent="0.2">
      <c r="A2706" s="16"/>
      <c r="B2706" s="16"/>
      <c r="C2706" s="17"/>
      <c r="D2706" s="17"/>
      <c r="E2706" s="17"/>
      <c r="F2706" s="17"/>
      <c r="G2706" s="17"/>
      <c r="H2706" s="17"/>
    </row>
    <row r="2707" spans="1:8" x14ac:dyDescent="0.2">
      <c r="A2707" s="16"/>
      <c r="B2707" s="16"/>
      <c r="C2707" s="17"/>
      <c r="D2707" s="17"/>
      <c r="E2707" s="17"/>
      <c r="F2707" s="17"/>
      <c r="G2707" s="17"/>
      <c r="H2707" s="17"/>
    </row>
    <row r="2708" spans="1:8" x14ac:dyDescent="0.2">
      <c r="A2708" s="16"/>
      <c r="B2708" s="16"/>
      <c r="C2708" s="17"/>
      <c r="D2708" s="17"/>
      <c r="E2708" s="17"/>
      <c r="F2708" s="17"/>
      <c r="G2708" s="17"/>
      <c r="H2708" s="17"/>
    </row>
    <row r="2709" spans="1:8" x14ac:dyDescent="0.2">
      <c r="A2709" s="16"/>
      <c r="B2709" s="16"/>
      <c r="C2709" s="17"/>
      <c r="D2709" s="17"/>
      <c r="E2709" s="17"/>
      <c r="F2709" s="17"/>
      <c r="G2709" s="17"/>
      <c r="H2709" s="17"/>
    </row>
    <row r="2710" spans="1:8" x14ac:dyDescent="0.2">
      <c r="A2710" s="16"/>
      <c r="B2710" s="16"/>
      <c r="C2710" s="17"/>
      <c r="D2710" s="17"/>
      <c r="E2710" s="17"/>
      <c r="F2710" s="17"/>
      <c r="G2710" s="17"/>
      <c r="H2710" s="17"/>
    </row>
    <row r="2711" spans="1:8" x14ac:dyDescent="0.2">
      <c r="A2711" s="16"/>
      <c r="B2711" s="16"/>
      <c r="C2711" s="17"/>
      <c r="D2711" s="17"/>
      <c r="E2711" s="17"/>
      <c r="F2711" s="17"/>
      <c r="G2711" s="17"/>
      <c r="H2711" s="17"/>
    </row>
    <row r="2712" spans="1:8" x14ac:dyDescent="0.2">
      <c r="A2712" s="16"/>
      <c r="B2712" s="16"/>
      <c r="C2712" s="17"/>
      <c r="D2712" s="17"/>
      <c r="E2712" s="17"/>
      <c r="F2712" s="17"/>
      <c r="G2712" s="17"/>
      <c r="H2712" s="17"/>
    </row>
    <row r="2713" spans="1:8" x14ac:dyDescent="0.2">
      <c r="A2713" s="16"/>
      <c r="B2713" s="16"/>
      <c r="C2713" s="17"/>
      <c r="D2713" s="17"/>
      <c r="E2713" s="17"/>
      <c r="F2713" s="17"/>
      <c r="G2713" s="17"/>
      <c r="H2713" s="17"/>
    </row>
    <row r="2714" spans="1:8" x14ac:dyDescent="0.2">
      <c r="A2714" s="16"/>
      <c r="B2714" s="16"/>
      <c r="C2714" s="17"/>
      <c r="D2714" s="17"/>
      <c r="E2714" s="17"/>
      <c r="F2714" s="17"/>
      <c r="G2714" s="17"/>
      <c r="H2714" s="17"/>
    </row>
    <row r="2715" spans="1:8" x14ac:dyDescent="0.2">
      <c r="A2715" s="16"/>
      <c r="B2715" s="16"/>
      <c r="C2715" s="17"/>
      <c r="D2715" s="17"/>
      <c r="E2715" s="17"/>
      <c r="F2715" s="17"/>
      <c r="G2715" s="17"/>
      <c r="H2715" s="17"/>
    </row>
    <row r="2716" spans="1:8" x14ac:dyDescent="0.2">
      <c r="A2716" s="16"/>
      <c r="B2716" s="16"/>
      <c r="C2716" s="17"/>
      <c r="D2716" s="17"/>
      <c r="E2716" s="17"/>
      <c r="F2716" s="17"/>
      <c r="G2716" s="17"/>
      <c r="H2716" s="17"/>
    </row>
    <row r="2717" spans="1:8" x14ac:dyDescent="0.2">
      <c r="A2717" s="16"/>
      <c r="B2717" s="16"/>
      <c r="C2717" s="17"/>
      <c r="D2717" s="17"/>
      <c r="E2717" s="17"/>
      <c r="F2717" s="17"/>
      <c r="G2717" s="17"/>
      <c r="H2717" s="17"/>
    </row>
    <row r="2718" spans="1:8" x14ac:dyDescent="0.2">
      <c r="A2718" s="16"/>
      <c r="B2718" s="16"/>
      <c r="C2718" s="17"/>
      <c r="D2718" s="17"/>
      <c r="E2718" s="17"/>
      <c r="F2718" s="17"/>
      <c r="G2718" s="17"/>
      <c r="H2718" s="17"/>
    </row>
    <row r="2719" spans="1:8" x14ac:dyDescent="0.2">
      <c r="A2719" s="16"/>
      <c r="B2719" s="16"/>
      <c r="C2719" s="17"/>
      <c r="D2719" s="17"/>
      <c r="E2719" s="17"/>
      <c r="F2719" s="17"/>
      <c r="G2719" s="17"/>
      <c r="H2719" s="17"/>
    </row>
    <row r="2720" spans="1:8" x14ac:dyDescent="0.2">
      <c r="A2720" s="16"/>
      <c r="B2720" s="16"/>
      <c r="C2720" s="17"/>
      <c r="D2720" s="17"/>
      <c r="E2720" s="17"/>
      <c r="F2720" s="17"/>
      <c r="G2720" s="17"/>
      <c r="H2720" s="17"/>
    </row>
    <row r="2721" spans="1:8" x14ac:dyDescent="0.2">
      <c r="A2721" s="16"/>
      <c r="B2721" s="16"/>
      <c r="C2721" s="17"/>
      <c r="D2721" s="17"/>
      <c r="E2721" s="17"/>
      <c r="F2721" s="17"/>
      <c r="G2721" s="17"/>
      <c r="H2721" s="17"/>
    </row>
    <row r="2722" spans="1:8" x14ac:dyDescent="0.2">
      <c r="A2722" s="16"/>
      <c r="B2722" s="16"/>
      <c r="C2722" s="17"/>
      <c r="D2722" s="17"/>
      <c r="E2722" s="17"/>
      <c r="F2722" s="17"/>
      <c r="G2722" s="17"/>
      <c r="H2722" s="17"/>
    </row>
    <row r="2723" spans="1:8" x14ac:dyDescent="0.2">
      <c r="A2723" s="16"/>
      <c r="B2723" s="16"/>
      <c r="C2723" s="17"/>
      <c r="D2723" s="17"/>
      <c r="E2723" s="17"/>
      <c r="F2723" s="17"/>
      <c r="G2723" s="17"/>
      <c r="H2723" s="17"/>
    </row>
    <row r="2724" spans="1:8" x14ac:dyDescent="0.2">
      <c r="A2724" s="16"/>
      <c r="B2724" s="16"/>
      <c r="C2724" s="17"/>
      <c r="D2724" s="17"/>
      <c r="E2724" s="17"/>
      <c r="F2724" s="17"/>
      <c r="G2724" s="17"/>
      <c r="H2724" s="17"/>
    </row>
    <row r="2725" spans="1:8" x14ac:dyDescent="0.2">
      <c r="A2725" s="16"/>
      <c r="B2725" s="16"/>
      <c r="C2725" s="17"/>
      <c r="D2725" s="17"/>
      <c r="E2725" s="17"/>
      <c r="F2725" s="17"/>
      <c r="G2725" s="17"/>
      <c r="H2725" s="17"/>
    </row>
    <row r="2726" spans="1:8" x14ac:dyDescent="0.2">
      <c r="A2726" s="16"/>
      <c r="B2726" s="16"/>
      <c r="C2726" s="17"/>
      <c r="D2726" s="17"/>
      <c r="E2726" s="17"/>
      <c r="F2726" s="17"/>
      <c r="G2726" s="17"/>
      <c r="H2726" s="17"/>
    </row>
    <row r="2727" spans="1:8" x14ac:dyDescent="0.2">
      <c r="A2727" s="16"/>
      <c r="B2727" s="16"/>
      <c r="C2727" s="17"/>
      <c r="D2727" s="17"/>
      <c r="E2727" s="17"/>
      <c r="F2727" s="17"/>
      <c r="G2727" s="17"/>
      <c r="H2727" s="17"/>
    </row>
    <row r="2728" spans="1:8" x14ac:dyDescent="0.2">
      <c r="A2728" s="16"/>
      <c r="B2728" s="16"/>
      <c r="C2728" s="17"/>
      <c r="D2728" s="17"/>
      <c r="E2728" s="17"/>
      <c r="F2728" s="17"/>
      <c r="G2728" s="17"/>
      <c r="H2728" s="17"/>
    </row>
    <row r="2729" spans="1:8" x14ac:dyDescent="0.2">
      <c r="A2729" s="16"/>
      <c r="B2729" s="16"/>
      <c r="C2729" s="17"/>
      <c r="D2729" s="17"/>
      <c r="E2729" s="17"/>
      <c r="F2729" s="17"/>
      <c r="G2729" s="17"/>
      <c r="H2729" s="17"/>
    </row>
    <row r="2730" spans="1:8" x14ac:dyDescent="0.2">
      <c r="A2730" s="16"/>
      <c r="B2730" s="16"/>
      <c r="C2730" s="17"/>
      <c r="D2730" s="17"/>
      <c r="E2730" s="17"/>
      <c r="F2730" s="17"/>
      <c r="G2730" s="17"/>
      <c r="H2730" s="17"/>
    </row>
    <row r="2731" spans="1:8" x14ac:dyDescent="0.2">
      <c r="A2731" s="16"/>
      <c r="B2731" s="16"/>
      <c r="C2731" s="17"/>
      <c r="D2731" s="17"/>
      <c r="E2731" s="17"/>
      <c r="F2731" s="17"/>
      <c r="G2731" s="17"/>
      <c r="H2731" s="17"/>
    </row>
    <row r="2732" spans="1:8" x14ac:dyDescent="0.2">
      <c r="A2732" s="16"/>
      <c r="B2732" s="16"/>
      <c r="C2732" s="17"/>
      <c r="D2732" s="17"/>
      <c r="E2732" s="17"/>
      <c r="F2732" s="17"/>
      <c r="G2732" s="17"/>
      <c r="H2732" s="17"/>
    </row>
    <row r="2733" spans="1:8" x14ac:dyDescent="0.2">
      <c r="A2733" s="16"/>
      <c r="B2733" s="16"/>
      <c r="C2733" s="17"/>
      <c r="D2733" s="17"/>
      <c r="E2733" s="17"/>
      <c r="F2733" s="17"/>
      <c r="G2733" s="17"/>
      <c r="H2733" s="17"/>
    </row>
    <row r="2734" spans="1:8" x14ac:dyDescent="0.2">
      <c r="A2734" s="16"/>
      <c r="B2734" s="16"/>
      <c r="C2734" s="17"/>
      <c r="D2734" s="17"/>
      <c r="E2734" s="17"/>
      <c r="F2734" s="17"/>
      <c r="G2734" s="17"/>
      <c r="H2734" s="17"/>
    </row>
    <row r="2735" spans="1:8" x14ac:dyDescent="0.2">
      <c r="A2735" s="16"/>
      <c r="B2735" s="16"/>
      <c r="C2735" s="17"/>
      <c r="D2735" s="17"/>
      <c r="E2735" s="17"/>
      <c r="F2735" s="17"/>
      <c r="G2735" s="17"/>
      <c r="H2735" s="17"/>
    </row>
    <row r="2736" spans="1:8" x14ac:dyDescent="0.2">
      <c r="A2736" s="16"/>
      <c r="B2736" s="16"/>
      <c r="C2736" s="17"/>
      <c r="D2736" s="17"/>
      <c r="E2736" s="17"/>
      <c r="F2736" s="17"/>
      <c r="G2736" s="17"/>
      <c r="H2736" s="17"/>
    </row>
    <row r="2737" spans="1:8" x14ac:dyDescent="0.2">
      <c r="A2737" s="16"/>
      <c r="B2737" s="16"/>
      <c r="C2737" s="17"/>
      <c r="D2737" s="17"/>
      <c r="E2737" s="17"/>
      <c r="F2737" s="17"/>
      <c r="G2737" s="17"/>
      <c r="H2737" s="17"/>
    </row>
    <row r="2738" spans="1:8" x14ac:dyDescent="0.2">
      <c r="A2738" s="16"/>
      <c r="B2738" s="16"/>
      <c r="C2738" s="17"/>
      <c r="D2738" s="17"/>
      <c r="E2738" s="17"/>
      <c r="F2738" s="17"/>
      <c r="G2738" s="17"/>
      <c r="H2738" s="17"/>
    </row>
    <row r="2739" spans="1:8" x14ac:dyDescent="0.2">
      <c r="A2739" s="16"/>
      <c r="B2739" s="16"/>
      <c r="C2739" s="17"/>
      <c r="D2739" s="17"/>
      <c r="E2739" s="17"/>
      <c r="F2739" s="17"/>
      <c r="G2739" s="17"/>
      <c r="H2739" s="17"/>
    </row>
    <row r="2740" spans="1:8" x14ac:dyDescent="0.2">
      <c r="A2740" s="16"/>
      <c r="B2740" s="16"/>
      <c r="C2740" s="17"/>
      <c r="D2740" s="17"/>
      <c r="E2740" s="17"/>
      <c r="F2740" s="17"/>
      <c r="G2740" s="17"/>
      <c r="H2740" s="17"/>
    </row>
    <row r="2741" spans="1:8" x14ac:dyDescent="0.2">
      <c r="A2741" s="16"/>
      <c r="B2741" s="16"/>
      <c r="C2741" s="17"/>
      <c r="D2741" s="17"/>
      <c r="E2741" s="17"/>
      <c r="F2741" s="17"/>
      <c r="G2741" s="17"/>
      <c r="H2741" s="17"/>
    </row>
    <row r="2742" spans="1:8" x14ac:dyDescent="0.2">
      <c r="A2742" s="16"/>
      <c r="B2742" s="16"/>
      <c r="C2742" s="17"/>
      <c r="D2742" s="17"/>
      <c r="E2742" s="17"/>
      <c r="F2742" s="17"/>
      <c r="G2742" s="17"/>
      <c r="H2742" s="17"/>
    </row>
    <row r="2743" spans="1:8" x14ac:dyDescent="0.2">
      <c r="A2743" s="16"/>
      <c r="B2743" s="16"/>
      <c r="C2743" s="17"/>
      <c r="D2743" s="17"/>
      <c r="E2743" s="17"/>
      <c r="F2743" s="17"/>
      <c r="G2743" s="17"/>
      <c r="H2743" s="17"/>
    </row>
    <row r="2744" spans="1:8" x14ac:dyDescent="0.2">
      <c r="A2744" s="16"/>
      <c r="B2744" s="16"/>
      <c r="C2744" s="17"/>
      <c r="D2744" s="17"/>
      <c r="E2744" s="17"/>
      <c r="F2744" s="17"/>
      <c r="G2744" s="17"/>
      <c r="H2744" s="17"/>
    </row>
    <row r="2745" spans="1:8" x14ac:dyDescent="0.2">
      <c r="A2745" s="16"/>
      <c r="B2745" s="16"/>
      <c r="C2745" s="17"/>
      <c r="D2745" s="17"/>
      <c r="E2745" s="17"/>
      <c r="F2745" s="17"/>
      <c r="G2745" s="17"/>
      <c r="H2745" s="17"/>
    </row>
    <row r="2746" spans="1:8" x14ac:dyDescent="0.2">
      <c r="A2746" s="16"/>
      <c r="B2746" s="16"/>
      <c r="C2746" s="17"/>
      <c r="D2746" s="17"/>
      <c r="E2746" s="17"/>
      <c r="F2746" s="17"/>
      <c r="G2746" s="17"/>
      <c r="H2746" s="17"/>
    </row>
    <row r="2747" spans="1:8" x14ac:dyDescent="0.2">
      <c r="A2747" s="16"/>
      <c r="B2747" s="16"/>
      <c r="C2747" s="17"/>
      <c r="D2747" s="17"/>
      <c r="E2747" s="17"/>
      <c r="F2747" s="17"/>
      <c r="G2747" s="17"/>
      <c r="H2747" s="17"/>
    </row>
    <row r="2748" spans="1:8" x14ac:dyDescent="0.2">
      <c r="A2748" s="16"/>
      <c r="B2748" s="16"/>
      <c r="C2748" s="17"/>
      <c r="D2748" s="17"/>
      <c r="E2748" s="17"/>
      <c r="F2748" s="17"/>
      <c r="G2748" s="17"/>
      <c r="H2748" s="17"/>
    </row>
    <row r="2749" spans="1:8" x14ac:dyDescent="0.2">
      <c r="A2749" s="16"/>
      <c r="B2749" s="16"/>
      <c r="C2749" s="17"/>
      <c r="D2749" s="17"/>
      <c r="E2749" s="17"/>
      <c r="F2749" s="17"/>
      <c r="G2749" s="17"/>
      <c r="H2749" s="17"/>
    </row>
    <row r="2750" spans="1:8" x14ac:dyDescent="0.2">
      <c r="A2750" s="16"/>
      <c r="B2750" s="16"/>
      <c r="C2750" s="17"/>
      <c r="D2750" s="17"/>
      <c r="E2750" s="17"/>
      <c r="F2750" s="17"/>
      <c r="G2750" s="17"/>
      <c r="H2750" s="17"/>
    </row>
    <row r="2751" spans="1:8" x14ac:dyDescent="0.2">
      <c r="A2751" s="16"/>
      <c r="B2751" s="16"/>
      <c r="C2751" s="17"/>
      <c r="D2751" s="17"/>
      <c r="E2751" s="17"/>
      <c r="F2751" s="17"/>
      <c r="G2751" s="17"/>
      <c r="H2751" s="17"/>
    </row>
    <row r="2752" spans="1:8" x14ac:dyDescent="0.2">
      <c r="A2752" s="16"/>
      <c r="B2752" s="16"/>
      <c r="C2752" s="17"/>
      <c r="D2752" s="17"/>
      <c r="E2752" s="17"/>
      <c r="F2752" s="17"/>
      <c r="G2752" s="17"/>
      <c r="H2752" s="17"/>
    </row>
    <row r="2753" spans="1:8" x14ac:dyDescent="0.2">
      <c r="A2753" s="16"/>
      <c r="B2753" s="16"/>
      <c r="C2753" s="17"/>
      <c r="D2753" s="17"/>
      <c r="E2753" s="17"/>
      <c r="F2753" s="17"/>
      <c r="G2753" s="17"/>
      <c r="H2753" s="17"/>
    </row>
    <row r="2754" spans="1:8" x14ac:dyDescent="0.2">
      <c r="A2754" s="16"/>
      <c r="B2754" s="16"/>
      <c r="C2754" s="17"/>
      <c r="D2754" s="17"/>
      <c r="E2754" s="17"/>
      <c r="F2754" s="17"/>
      <c r="G2754" s="17"/>
      <c r="H2754" s="17"/>
    </row>
    <row r="2755" spans="1:8" x14ac:dyDescent="0.2">
      <c r="A2755" s="16"/>
      <c r="B2755" s="16"/>
      <c r="C2755" s="17"/>
      <c r="D2755" s="17"/>
      <c r="E2755" s="17"/>
      <c r="F2755" s="17"/>
      <c r="G2755" s="17"/>
      <c r="H2755" s="17"/>
    </row>
    <row r="2756" spans="1:8" x14ac:dyDescent="0.2">
      <c r="A2756" s="16"/>
      <c r="B2756" s="16"/>
      <c r="C2756" s="17"/>
      <c r="D2756" s="17"/>
      <c r="E2756" s="17"/>
      <c r="F2756" s="17"/>
      <c r="G2756" s="17"/>
      <c r="H2756" s="17"/>
    </row>
    <row r="2757" spans="1:8" x14ac:dyDescent="0.2">
      <c r="A2757" s="16"/>
      <c r="B2757" s="16"/>
      <c r="C2757" s="17"/>
      <c r="D2757" s="17"/>
      <c r="E2757" s="17"/>
      <c r="F2757" s="17"/>
      <c r="G2757" s="17"/>
      <c r="H2757" s="17"/>
    </row>
    <row r="2758" spans="1:8" x14ac:dyDescent="0.2">
      <c r="A2758" s="16"/>
      <c r="B2758" s="16"/>
      <c r="C2758" s="17"/>
      <c r="D2758" s="17"/>
      <c r="E2758" s="17"/>
      <c r="F2758" s="17"/>
      <c r="G2758" s="17"/>
      <c r="H2758" s="17"/>
    </row>
    <row r="2759" spans="1:8" x14ac:dyDescent="0.2">
      <c r="A2759" s="16"/>
      <c r="B2759" s="16"/>
      <c r="C2759" s="17"/>
      <c r="D2759" s="17"/>
      <c r="E2759" s="17"/>
      <c r="F2759" s="17"/>
      <c r="G2759" s="17"/>
      <c r="H2759" s="17"/>
    </row>
    <row r="2760" spans="1:8" x14ac:dyDescent="0.2">
      <c r="A2760" s="16"/>
      <c r="B2760" s="16"/>
      <c r="C2760" s="17"/>
      <c r="D2760" s="17"/>
      <c r="E2760" s="17"/>
      <c r="F2760" s="17"/>
      <c r="G2760" s="17"/>
      <c r="H2760" s="17"/>
    </row>
    <row r="2761" spans="1:8" x14ac:dyDescent="0.2">
      <c r="A2761" s="16"/>
      <c r="B2761" s="16"/>
      <c r="C2761" s="17"/>
      <c r="D2761" s="17"/>
      <c r="E2761" s="17"/>
      <c r="F2761" s="17"/>
      <c r="G2761" s="17"/>
      <c r="H2761" s="17"/>
    </row>
    <row r="2762" spans="1:8" x14ac:dyDescent="0.2">
      <c r="A2762" s="16"/>
      <c r="B2762" s="16"/>
      <c r="C2762" s="17"/>
      <c r="D2762" s="17"/>
      <c r="E2762" s="17"/>
      <c r="F2762" s="17"/>
      <c r="G2762" s="17"/>
      <c r="H2762" s="17"/>
    </row>
    <row r="2763" spans="1:8" x14ac:dyDescent="0.2">
      <c r="A2763" s="16"/>
      <c r="B2763" s="16"/>
      <c r="C2763" s="17"/>
      <c r="D2763" s="17"/>
      <c r="E2763" s="17"/>
      <c r="F2763" s="17"/>
      <c r="G2763" s="17"/>
      <c r="H2763" s="17"/>
    </row>
    <row r="2764" spans="1:8" x14ac:dyDescent="0.2">
      <c r="A2764" s="16"/>
      <c r="B2764" s="16"/>
      <c r="C2764" s="17"/>
      <c r="D2764" s="17"/>
      <c r="E2764" s="17"/>
      <c r="F2764" s="17"/>
      <c r="G2764" s="17"/>
      <c r="H2764" s="17"/>
    </row>
    <row r="2765" spans="1:8" x14ac:dyDescent="0.2">
      <c r="A2765" s="16"/>
      <c r="B2765" s="16"/>
      <c r="C2765" s="17"/>
      <c r="D2765" s="17"/>
      <c r="E2765" s="17"/>
      <c r="F2765" s="17"/>
      <c r="G2765" s="17"/>
      <c r="H2765" s="17"/>
    </row>
    <row r="2766" spans="1:8" x14ac:dyDescent="0.2">
      <c r="A2766" s="16"/>
      <c r="B2766" s="16"/>
      <c r="C2766" s="17"/>
      <c r="D2766" s="17"/>
      <c r="E2766" s="17"/>
      <c r="F2766" s="17"/>
      <c r="G2766" s="17"/>
      <c r="H2766" s="17"/>
    </row>
    <row r="2767" spans="1:8" x14ac:dyDescent="0.2">
      <c r="A2767" s="16"/>
      <c r="B2767" s="16"/>
      <c r="C2767" s="17"/>
      <c r="D2767" s="17"/>
      <c r="E2767" s="17"/>
      <c r="F2767" s="17"/>
      <c r="G2767" s="17"/>
      <c r="H2767" s="17"/>
    </row>
    <row r="2768" spans="1:8" x14ac:dyDescent="0.2">
      <c r="A2768" s="16"/>
      <c r="B2768" s="16"/>
      <c r="C2768" s="17"/>
      <c r="D2768" s="17"/>
      <c r="E2768" s="17"/>
      <c r="F2768" s="17"/>
      <c r="G2768" s="17"/>
      <c r="H2768" s="17"/>
    </row>
    <row r="2769" spans="1:8" x14ac:dyDescent="0.2">
      <c r="A2769" s="16"/>
      <c r="B2769" s="16"/>
      <c r="C2769" s="17"/>
      <c r="D2769" s="17"/>
      <c r="E2769" s="17"/>
      <c r="F2769" s="17"/>
      <c r="G2769" s="17"/>
      <c r="H2769" s="17"/>
    </row>
    <row r="2770" spans="1:8" x14ac:dyDescent="0.2">
      <c r="A2770" s="16"/>
      <c r="B2770" s="16"/>
      <c r="C2770" s="17"/>
      <c r="D2770" s="17"/>
      <c r="E2770" s="17"/>
      <c r="F2770" s="17"/>
      <c r="G2770" s="17"/>
      <c r="H2770" s="17"/>
    </row>
    <row r="2771" spans="1:8" x14ac:dyDescent="0.2">
      <c r="A2771" s="16"/>
      <c r="B2771" s="16"/>
      <c r="C2771" s="17"/>
      <c r="D2771" s="17"/>
      <c r="E2771" s="17"/>
      <c r="F2771" s="17"/>
      <c r="G2771" s="17"/>
      <c r="H2771" s="17"/>
    </row>
    <row r="2772" spans="1:8" x14ac:dyDescent="0.2">
      <c r="A2772" s="16"/>
      <c r="B2772" s="16"/>
      <c r="C2772" s="17"/>
      <c r="D2772" s="17"/>
      <c r="E2772" s="17"/>
      <c r="F2772" s="17"/>
      <c r="G2772" s="17"/>
      <c r="H2772" s="17"/>
    </row>
    <row r="2773" spans="1:8" x14ac:dyDescent="0.2">
      <c r="A2773" s="16"/>
      <c r="B2773" s="16"/>
      <c r="C2773" s="17"/>
      <c r="D2773" s="17"/>
      <c r="E2773" s="17"/>
      <c r="F2773" s="17"/>
      <c r="G2773" s="17"/>
      <c r="H2773" s="17"/>
    </row>
    <row r="2774" spans="1:8" x14ac:dyDescent="0.2">
      <c r="A2774" s="16"/>
      <c r="B2774" s="16"/>
      <c r="C2774" s="17"/>
      <c r="D2774" s="17"/>
      <c r="E2774" s="17"/>
      <c r="F2774" s="17"/>
      <c r="G2774" s="17"/>
      <c r="H2774" s="17"/>
    </row>
    <row r="2775" spans="1:8" x14ac:dyDescent="0.2">
      <c r="A2775" s="16"/>
      <c r="B2775" s="16"/>
      <c r="C2775" s="17"/>
      <c r="D2775" s="17"/>
      <c r="E2775" s="17"/>
      <c r="F2775" s="17"/>
      <c r="G2775" s="17"/>
      <c r="H2775" s="17"/>
    </row>
    <row r="2776" spans="1:8" x14ac:dyDescent="0.2">
      <c r="A2776" s="16"/>
      <c r="B2776" s="16"/>
      <c r="C2776" s="17"/>
      <c r="D2776" s="17"/>
      <c r="E2776" s="17"/>
      <c r="F2776" s="17"/>
      <c r="G2776" s="17"/>
      <c r="H2776" s="17"/>
    </row>
    <row r="2777" spans="1:8" x14ac:dyDescent="0.2">
      <c r="A2777" s="16"/>
      <c r="B2777" s="16"/>
      <c r="C2777" s="17"/>
      <c r="D2777" s="17"/>
      <c r="E2777" s="17"/>
      <c r="F2777" s="17"/>
      <c r="G2777" s="17"/>
      <c r="H2777" s="17"/>
    </row>
    <row r="2778" spans="1:8" x14ac:dyDescent="0.2">
      <c r="A2778" s="16"/>
      <c r="B2778" s="16"/>
      <c r="C2778" s="17"/>
      <c r="D2778" s="17"/>
      <c r="E2778" s="17"/>
      <c r="F2778" s="17"/>
      <c r="G2778" s="17"/>
      <c r="H2778" s="17"/>
    </row>
    <row r="2779" spans="1:8" x14ac:dyDescent="0.2">
      <c r="A2779" s="16"/>
      <c r="B2779" s="16"/>
      <c r="C2779" s="17"/>
      <c r="D2779" s="17"/>
      <c r="E2779" s="17"/>
      <c r="F2779" s="17"/>
      <c r="G2779" s="17"/>
      <c r="H2779" s="17"/>
    </row>
    <row r="2780" spans="1:8" x14ac:dyDescent="0.2">
      <c r="A2780" s="16"/>
      <c r="B2780" s="16"/>
      <c r="C2780" s="17"/>
      <c r="D2780" s="17"/>
      <c r="E2780" s="17"/>
      <c r="F2780" s="17"/>
      <c r="G2780" s="17"/>
      <c r="H2780" s="17"/>
    </row>
    <row r="2781" spans="1:8" x14ac:dyDescent="0.2">
      <c r="A2781" s="16"/>
      <c r="B2781" s="16"/>
      <c r="C2781" s="17"/>
      <c r="D2781" s="17"/>
      <c r="E2781" s="17"/>
      <c r="F2781" s="17"/>
      <c r="G2781" s="17"/>
      <c r="H2781" s="17"/>
    </row>
    <row r="2782" spans="1:8" x14ac:dyDescent="0.2">
      <c r="A2782" s="16"/>
      <c r="B2782" s="16"/>
      <c r="C2782" s="17"/>
      <c r="D2782" s="17"/>
      <c r="E2782" s="17"/>
      <c r="F2782" s="17"/>
      <c r="G2782" s="17"/>
      <c r="H2782" s="17"/>
    </row>
    <row r="2783" spans="1:8" x14ac:dyDescent="0.2">
      <c r="A2783" s="16"/>
      <c r="B2783" s="16"/>
      <c r="C2783" s="17"/>
      <c r="D2783" s="17"/>
      <c r="E2783" s="17"/>
      <c r="F2783" s="17"/>
      <c r="G2783" s="17"/>
      <c r="H2783" s="17"/>
    </row>
    <row r="2784" spans="1:8" x14ac:dyDescent="0.2">
      <c r="A2784" s="16"/>
      <c r="B2784" s="16"/>
      <c r="C2784" s="17"/>
      <c r="D2784" s="17"/>
      <c r="E2784" s="17"/>
      <c r="F2784" s="17"/>
      <c r="G2784" s="17"/>
      <c r="H2784" s="17"/>
    </row>
    <row r="2785" spans="1:8" x14ac:dyDescent="0.2">
      <c r="A2785" s="16"/>
      <c r="B2785" s="16"/>
      <c r="C2785" s="17"/>
      <c r="D2785" s="17"/>
      <c r="E2785" s="17"/>
      <c r="F2785" s="17"/>
      <c r="G2785" s="17"/>
      <c r="H2785" s="17"/>
    </row>
    <row r="2786" spans="1:8" x14ac:dyDescent="0.2">
      <c r="A2786" s="16"/>
      <c r="B2786" s="16"/>
      <c r="C2786" s="17"/>
      <c r="D2786" s="17"/>
      <c r="E2786" s="17"/>
      <c r="F2786" s="17"/>
      <c r="G2786" s="17"/>
      <c r="H2786" s="17"/>
    </row>
    <row r="2787" spans="1:8" x14ac:dyDescent="0.2">
      <c r="A2787" s="16"/>
      <c r="B2787" s="16"/>
      <c r="C2787" s="17"/>
      <c r="D2787" s="17"/>
      <c r="E2787" s="17"/>
      <c r="F2787" s="17"/>
      <c r="G2787" s="17"/>
      <c r="H2787" s="17"/>
    </row>
    <row r="2788" spans="1:8" x14ac:dyDescent="0.2">
      <c r="A2788" s="16"/>
      <c r="B2788" s="16"/>
      <c r="C2788" s="17"/>
      <c r="D2788" s="17"/>
      <c r="E2788" s="17"/>
      <c r="F2788" s="17"/>
      <c r="G2788" s="17"/>
      <c r="H2788" s="17"/>
    </row>
    <row r="2789" spans="1:8" x14ac:dyDescent="0.2">
      <c r="A2789" s="16"/>
      <c r="B2789" s="16"/>
      <c r="C2789" s="17"/>
      <c r="D2789" s="17"/>
      <c r="E2789" s="17"/>
      <c r="F2789" s="17"/>
      <c r="G2789" s="17"/>
      <c r="H2789" s="17"/>
    </row>
    <row r="2790" spans="1:8" x14ac:dyDescent="0.2">
      <c r="A2790" s="16"/>
      <c r="B2790" s="16"/>
      <c r="C2790" s="17"/>
      <c r="D2790" s="17"/>
      <c r="E2790" s="17"/>
      <c r="F2790" s="17"/>
      <c r="G2790" s="17"/>
      <c r="H2790" s="17"/>
    </row>
    <row r="2791" spans="1:8" x14ac:dyDescent="0.2">
      <c r="A2791" s="16"/>
      <c r="B2791" s="16"/>
      <c r="C2791" s="17"/>
      <c r="D2791" s="17"/>
      <c r="E2791" s="17"/>
      <c r="F2791" s="17"/>
      <c r="G2791" s="17"/>
      <c r="H2791" s="17"/>
    </row>
    <row r="2792" spans="1:8" x14ac:dyDescent="0.2">
      <c r="A2792" s="16"/>
      <c r="B2792" s="16"/>
      <c r="C2792" s="17"/>
      <c r="D2792" s="17"/>
      <c r="E2792" s="17"/>
      <c r="F2792" s="17"/>
      <c r="G2792" s="17"/>
      <c r="H2792" s="17"/>
    </row>
    <row r="2793" spans="1:8" x14ac:dyDescent="0.2">
      <c r="A2793" s="16"/>
      <c r="B2793" s="16"/>
      <c r="C2793" s="17"/>
      <c r="D2793" s="17"/>
      <c r="E2793" s="17"/>
      <c r="F2793" s="17"/>
      <c r="G2793" s="17"/>
      <c r="H2793" s="17"/>
    </row>
    <row r="2794" spans="1:8" x14ac:dyDescent="0.2">
      <c r="A2794" s="16"/>
      <c r="B2794" s="16"/>
      <c r="C2794" s="17"/>
      <c r="D2794" s="17"/>
      <c r="E2794" s="17"/>
      <c r="F2794" s="17"/>
      <c r="G2794" s="17"/>
      <c r="H2794" s="17"/>
    </row>
    <row r="2795" spans="1:8" x14ac:dyDescent="0.2">
      <c r="A2795" s="16"/>
      <c r="B2795" s="16"/>
      <c r="C2795" s="17"/>
      <c r="D2795" s="17"/>
      <c r="E2795" s="17"/>
      <c r="F2795" s="17"/>
      <c r="G2795" s="17"/>
      <c r="H2795" s="17"/>
    </row>
    <row r="2796" spans="1:8" x14ac:dyDescent="0.2">
      <c r="A2796" s="16"/>
      <c r="B2796" s="16"/>
      <c r="C2796" s="17"/>
      <c r="D2796" s="17"/>
      <c r="E2796" s="17"/>
      <c r="F2796" s="17"/>
      <c r="G2796" s="17"/>
      <c r="H2796" s="17"/>
    </row>
    <row r="2797" spans="1:8" x14ac:dyDescent="0.2">
      <c r="A2797" s="16"/>
      <c r="B2797" s="16"/>
      <c r="C2797" s="17"/>
      <c r="D2797" s="17"/>
      <c r="E2797" s="17"/>
      <c r="F2797" s="17"/>
      <c r="G2797" s="17"/>
      <c r="H2797" s="17"/>
    </row>
    <row r="2798" spans="1:8" x14ac:dyDescent="0.2">
      <c r="A2798" s="16"/>
      <c r="B2798" s="16"/>
      <c r="C2798" s="17"/>
      <c r="D2798" s="17"/>
      <c r="E2798" s="17"/>
      <c r="F2798" s="17"/>
      <c r="G2798" s="17"/>
      <c r="H2798" s="17"/>
    </row>
    <row r="2799" spans="1:8" x14ac:dyDescent="0.2">
      <c r="A2799" s="16"/>
      <c r="B2799" s="16"/>
      <c r="C2799" s="17"/>
      <c r="D2799" s="17"/>
      <c r="E2799" s="17"/>
      <c r="F2799" s="17"/>
      <c r="G2799" s="17"/>
      <c r="H2799" s="17"/>
    </row>
    <row r="2800" spans="1:8" x14ac:dyDescent="0.2">
      <c r="A2800" s="16"/>
      <c r="B2800" s="16"/>
      <c r="C2800" s="17"/>
      <c r="D2800" s="17"/>
      <c r="E2800" s="17"/>
      <c r="F2800" s="17"/>
      <c r="G2800" s="17"/>
      <c r="H2800" s="17"/>
    </row>
    <row r="2801" spans="1:8" x14ac:dyDescent="0.2">
      <c r="A2801" s="16"/>
      <c r="B2801" s="16"/>
      <c r="C2801" s="17"/>
      <c r="D2801" s="17"/>
      <c r="E2801" s="17"/>
      <c r="F2801" s="17"/>
      <c r="G2801" s="17"/>
      <c r="H2801" s="17"/>
    </row>
    <row r="2802" spans="1:8" x14ac:dyDescent="0.2">
      <c r="A2802" s="16"/>
      <c r="B2802" s="16"/>
      <c r="C2802" s="17"/>
      <c r="D2802" s="17"/>
      <c r="E2802" s="17"/>
      <c r="F2802" s="17"/>
      <c r="G2802" s="17"/>
      <c r="H2802" s="17"/>
    </row>
    <row r="2803" spans="1:8" x14ac:dyDescent="0.2">
      <c r="A2803" s="16"/>
      <c r="B2803" s="16"/>
      <c r="C2803" s="17"/>
      <c r="D2803" s="17"/>
      <c r="E2803" s="17"/>
      <c r="F2803" s="17"/>
      <c r="G2803" s="17"/>
      <c r="H2803" s="17"/>
    </row>
    <row r="2804" spans="1:8" x14ac:dyDescent="0.2">
      <c r="A2804" s="16"/>
      <c r="B2804" s="16"/>
      <c r="C2804" s="17"/>
      <c r="D2804" s="17"/>
      <c r="E2804" s="17"/>
      <c r="F2804" s="17"/>
      <c r="G2804" s="17"/>
      <c r="H2804" s="17"/>
    </row>
    <row r="2805" spans="1:8" x14ac:dyDescent="0.2">
      <c r="A2805" s="16"/>
      <c r="B2805" s="16"/>
      <c r="C2805" s="17"/>
      <c r="D2805" s="17"/>
      <c r="E2805" s="17"/>
      <c r="F2805" s="17"/>
      <c r="G2805" s="17"/>
      <c r="H2805" s="17"/>
    </row>
    <row r="2806" spans="1:8" x14ac:dyDescent="0.2">
      <c r="A2806" s="16"/>
      <c r="B2806" s="16"/>
      <c r="C2806" s="17"/>
      <c r="D2806" s="17"/>
      <c r="E2806" s="17"/>
      <c r="F2806" s="17"/>
      <c r="G2806" s="17"/>
      <c r="H2806" s="17"/>
    </row>
    <row r="2807" spans="1:8" x14ac:dyDescent="0.2">
      <c r="A2807" s="16"/>
      <c r="B2807" s="16"/>
      <c r="C2807" s="17"/>
      <c r="D2807" s="17"/>
      <c r="E2807" s="17"/>
      <c r="F2807" s="17"/>
      <c r="G2807" s="17"/>
      <c r="H2807" s="17"/>
    </row>
    <row r="2808" spans="1:8" x14ac:dyDescent="0.2">
      <c r="A2808" s="16"/>
      <c r="B2808" s="16"/>
      <c r="C2808" s="17"/>
      <c r="D2808" s="17"/>
      <c r="E2808" s="17"/>
      <c r="F2808" s="17"/>
      <c r="G2808" s="17"/>
      <c r="H2808" s="17"/>
    </row>
    <row r="2809" spans="1:8" x14ac:dyDescent="0.2">
      <c r="A2809" s="16"/>
      <c r="B2809" s="16"/>
      <c r="C2809" s="17"/>
      <c r="D2809" s="17"/>
      <c r="E2809" s="17"/>
      <c r="F2809" s="17"/>
      <c r="G2809" s="17"/>
      <c r="H2809" s="17"/>
    </row>
    <row r="2810" spans="1:8" x14ac:dyDescent="0.2">
      <c r="A2810" s="16"/>
      <c r="B2810" s="16"/>
      <c r="C2810" s="17"/>
      <c r="D2810" s="17"/>
      <c r="E2810" s="17"/>
      <c r="F2810" s="17"/>
      <c r="G2810" s="17"/>
      <c r="H2810" s="17"/>
    </row>
    <row r="2811" spans="1:8" x14ac:dyDescent="0.2">
      <c r="A2811" s="16"/>
      <c r="B2811" s="16"/>
      <c r="C2811" s="17"/>
      <c r="D2811" s="17"/>
      <c r="E2811" s="17"/>
      <c r="F2811" s="17"/>
      <c r="G2811" s="17"/>
      <c r="H2811" s="17"/>
    </row>
    <row r="2812" spans="1:8" x14ac:dyDescent="0.2">
      <c r="A2812" s="16"/>
      <c r="B2812" s="16"/>
      <c r="C2812" s="17"/>
      <c r="D2812" s="17"/>
      <c r="E2812" s="17"/>
      <c r="F2812" s="17"/>
      <c r="G2812" s="17"/>
      <c r="H2812" s="17"/>
    </row>
    <row r="2813" spans="1:8" x14ac:dyDescent="0.2">
      <c r="A2813" s="16"/>
      <c r="B2813" s="16"/>
      <c r="C2813" s="17"/>
      <c r="D2813" s="17"/>
      <c r="E2813" s="17"/>
      <c r="F2813" s="17"/>
      <c r="G2813" s="17"/>
      <c r="H2813" s="17"/>
    </row>
    <row r="2814" spans="1:8" x14ac:dyDescent="0.2">
      <c r="A2814" s="16"/>
      <c r="B2814" s="16"/>
      <c r="C2814" s="17"/>
      <c r="D2814" s="17"/>
      <c r="E2814" s="17"/>
      <c r="F2814" s="17"/>
      <c r="G2814" s="17"/>
      <c r="H2814" s="17"/>
    </row>
    <row r="2815" spans="1:8" x14ac:dyDescent="0.2">
      <c r="A2815" s="16"/>
      <c r="B2815" s="16"/>
      <c r="C2815" s="17"/>
      <c r="D2815" s="17"/>
      <c r="E2815" s="17"/>
      <c r="F2815" s="17"/>
      <c r="G2815" s="17"/>
      <c r="H2815" s="17"/>
    </row>
    <row r="2816" spans="1:8" x14ac:dyDescent="0.2">
      <c r="A2816" s="16"/>
      <c r="B2816" s="16"/>
      <c r="C2816" s="17"/>
      <c r="D2816" s="17"/>
      <c r="E2816" s="17"/>
      <c r="F2816" s="17"/>
      <c r="G2816" s="17"/>
      <c r="H2816" s="17"/>
    </row>
    <row r="2817" spans="1:8" x14ac:dyDescent="0.2">
      <c r="A2817" s="16"/>
      <c r="B2817" s="16"/>
      <c r="C2817" s="17"/>
      <c r="D2817" s="17"/>
      <c r="E2817" s="17"/>
      <c r="F2817" s="17"/>
      <c r="G2817" s="17"/>
      <c r="H2817" s="17"/>
    </row>
    <row r="2818" spans="1:8" x14ac:dyDescent="0.2">
      <c r="A2818" s="16"/>
      <c r="B2818" s="16"/>
      <c r="C2818" s="17"/>
      <c r="D2818" s="17"/>
      <c r="E2818" s="17"/>
      <c r="F2818" s="17"/>
      <c r="G2818" s="17"/>
      <c r="H2818" s="17"/>
    </row>
    <row r="2819" spans="1:8" x14ac:dyDescent="0.2">
      <c r="A2819" s="16"/>
      <c r="B2819" s="16"/>
      <c r="C2819" s="17"/>
      <c r="D2819" s="17"/>
      <c r="E2819" s="17"/>
      <c r="F2819" s="17"/>
      <c r="G2819" s="17"/>
      <c r="H2819" s="17"/>
    </row>
    <row r="2820" spans="1:8" x14ac:dyDescent="0.2">
      <c r="A2820" s="16"/>
      <c r="B2820" s="16"/>
      <c r="C2820" s="17"/>
      <c r="D2820" s="17"/>
      <c r="E2820" s="17"/>
      <c r="F2820" s="17"/>
      <c r="G2820" s="17"/>
      <c r="H2820" s="17"/>
    </row>
    <row r="2821" spans="1:8" x14ac:dyDescent="0.2">
      <c r="A2821" s="16"/>
      <c r="B2821" s="16"/>
      <c r="C2821" s="17"/>
      <c r="D2821" s="17"/>
      <c r="E2821" s="17"/>
      <c r="F2821" s="17"/>
      <c r="G2821" s="17"/>
      <c r="H2821" s="17"/>
    </row>
    <row r="2822" spans="1:8" x14ac:dyDescent="0.2">
      <c r="A2822" s="16"/>
      <c r="B2822" s="16"/>
      <c r="C2822" s="17"/>
      <c r="D2822" s="17"/>
      <c r="E2822" s="17"/>
      <c r="F2822" s="17"/>
      <c r="G2822" s="17"/>
      <c r="H2822" s="17"/>
    </row>
    <row r="2823" spans="1:8" x14ac:dyDescent="0.2">
      <c r="A2823" s="16"/>
      <c r="B2823" s="16"/>
      <c r="C2823" s="17"/>
      <c r="D2823" s="17"/>
      <c r="E2823" s="17"/>
      <c r="F2823" s="17"/>
      <c r="G2823" s="17"/>
      <c r="H2823" s="17"/>
    </row>
    <row r="2824" spans="1:8" x14ac:dyDescent="0.2">
      <c r="A2824" s="16"/>
      <c r="B2824" s="16"/>
      <c r="C2824" s="17"/>
      <c r="D2824" s="17"/>
      <c r="E2824" s="17"/>
      <c r="F2824" s="17"/>
      <c r="G2824" s="17"/>
      <c r="H2824" s="17"/>
    </row>
    <row r="2825" spans="1:8" x14ac:dyDescent="0.2">
      <c r="A2825" s="16"/>
      <c r="B2825" s="16"/>
      <c r="C2825" s="17"/>
      <c r="D2825" s="17"/>
      <c r="E2825" s="17"/>
      <c r="F2825" s="17"/>
      <c r="G2825" s="17"/>
      <c r="H2825" s="17"/>
    </row>
    <row r="2826" spans="1:8" x14ac:dyDescent="0.2">
      <c r="A2826" s="16"/>
      <c r="B2826" s="16"/>
      <c r="C2826" s="17"/>
      <c r="D2826" s="17"/>
      <c r="E2826" s="17"/>
      <c r="F2826" s="17"/>
      <c r="G2826" s="17"/>
      <c r="H2826" s="17"/>
    </row>
    <row r="2827" spans="1:8" x14ac:dyDescent="0.2">
      <c r="A2827" s="16"/>
      <c r="B2827" s="16"/>
      <c r="C2827" s="17"/>
      <c r="D2827" s="17"/>
      <c r="E2827" s="17"/>
      <c r="F2827" s="17"/>
      <c r="G2827" s="17"/>
      <c r="H2827" s="17"/>
    </row>
    <row r="2828" spans="1:8" x14ac:dyDescent="0.2">
      <c r="A2828" s="16"/>
      <c r="B2828" s="16"/>
      <c r="C2828" s="17"/>
      <c r="D2828" s="17"/>
      <c r="E2828" s="17"/>
      <c r="F2828" s="17"/>
      <c r="G2828" s="17"/>
      <c r="H2828" s="17"/>
    </row>
    <row r="2829" spans="1:8" x14ac:dyDescent="0.2">
      <c r="A2829" s="16"/>
      <c r="B2829" s="16"/>
      <c r="C2829" s="17"/>
      <c r="D2829" s="17"/>
      <c r="E2829" s="17"/>
      <c r="F2829" s="17"/>
      <c r="G2829" s="17"/>
      <c r="H2829" s="17"/>
    </row>
    <row r="2830" spans="1:8" x14ac:dyDescent="0.2">
      <c r="A2830" s="16"/>
      <c r="B2830" s="16"/>
      <c r="C2830" s="17"/>
      <c r="D2830" s="17"/>
      <c r="E2830" s="17"/>
      <c r="F2830" s="17"/>
      <c r="G2830" s="17"/>
      <c r="H2830" s="17"/>
    </row>
    <row r="2831" spans="1:8" x14ac:dyDescent="0.2">
      <c r="A2831" s="16"/>
      <c r="B2831" s="16"/>
      <c r="C2831" s="17"/>
      <c r="D2831" s="17"/>
      <c r="E2831" s="17"/>
      <c r="F2831" s="17"/>
      <c r="G2831" s="17"/>
      <c r="H2831" s="17"/>
    </row>
    <row r="2832" spans="1:8" x14ac:dyDescent="0.2">
      <c r="A2832" s="16"/>
      <c r="B2832" s="16"/>
      <c r="C2832" s="17"/>
      <c r="D2832" s="17"/>
      <c r="E2832" s="17"/>
      <c r="F2832" s="17"/>
      <c r="G2832" s="17"/>
      <c r="H2832" s="17"/>
    </row>
    <row r="2833" spans="1:8" x14ac:dyDescent="0.2">
      <c r="A2833" s="16"/>
      <c r="B2833" s="16"/>
      <c r="C2833" s="17"/>
      <c r="D2833" s="17"/>
      <c r="E2833" s="17"/>
      <c r="F2833" s="17"/>
      <c r="G2833" s="17"/>
      <c r="H2833" s="17"/>
    </row>
    <row r="2834" spans="1:8" x14ac:dyDescent="0.2">
      <c r="A2834" s="16"/>
      <c r="B2834" s="16"/>
      <c r="C2834" s="17"/>
      <c r="D2834" s="17"/>
      <c r="E2834" s="17"/>
      <c r="F2834" s="17"/>
      <c r="G2834" s="17"/>
      <c r="H2834" s="17"/>
    </row>
    <row r="2835" spans="1:8" x14ac:dyDescent="0.2">
      <c r="A2835" s="16"/>
      <c r="B2835" s="16"/>
      <c r="C2835" s="17"/>
      <c r="D2835" s="17"/>
      <c r="E2835" s="17"/>
      <c r="F2835" s="17"/>
      <c r="G2835" s="17"/>
      <c r="H2835" s="17"/>
    </row>
    <row r="2836" spans="1:8" x14ac:dyDescent="0.2">
      <c r="A2836" s="16"/>
      <c r="B2836" s="16"/>
      <c r="C2836" s="17"/>
      <c r="D2836" s="17"/>
      <c r="E2836" s="17"/>
      <c r="F2836" s="17"/>
      <c r="G2836" s="17"/>
      <c r="H2836" s="17"/>
    </row>
    <row r="2837" spans="1:8" x14ac:dyDescent="0.2">
      <c r="A2837" s="16"/>
      <c r="B2837" s="16"/>
      <c r="C2837" s="17"/>
      <c r="D2837" s="17"/>
      <c r="E2837" s="17"/>
      <c r="F2837" s="17"/>
      <c r="G2837" s="17"/>
      <c r="H2837" s="17"/>
    </row>
    <row r="2838" spans="1:8" x14ac:dyDescent="0.2">
      <c r="A2838" s="16"/>
      <c r="B2838" s="16"/>
      <c r="C2838" s="17"/>
      <c r="D2838" s="17"/>
      <c r="E2838" s="17"/>
      <c r="F2838" s="17"/>
      <c r="G2838" s="17"/>
      <c r="H2838" s="17"/>
    </row>
    <row r="2839" spans="1:8" x14ac:dyDescent="0.2">
      <c r="A2839" s="16"/>
      <c r="B2839" s="16"/>
      <c r="C2839" s="17"/>
      <c r="D2839" s="17"/>
      <c r="E2839" s="17"/>
      <c r="F2839" s="17"/>
      <c r="G2839" s="17"/>
      <c r="H2839" s="17"/>
    </row>
    <row r="2840" spans="1:8" x14ac:dyDescent="0.2">
      <c r="A2840" s="16"/>
      <c r="B2840" s="16"/>
      <c r="C2840" s="17"/>
      <c r="D2840" s="17"/>
      <c r="E2840" s="17"/>
      <c r="F2840" s="17"/>
      <c r="G2840" s="17"/>
      <c r="H2840" s="17"/>
    </row>
    <row r="2841" spans="1:8" x14ac:dyDescent="0.2">
      <c r="A2841" s="16"/>
      <c r="B2841" s="16"/>
      <c r="C2841" s="17"/>
      <c r="D2841" s="17"/>
      <c r="E2841" s="17"/>
      <c r="F2841" s="17"/>
      <c r="G2841" s="17"/>
      <c r="H2841" s="17"/>
    </row>
    <row r="2842" spans="1:8" x14ac:dyDescent="0.2">
      <c r="A2842" s="16"/>
      <c r="B2842" s="16"/>
      <c r="C2842" s="17"/>
      <c r="D2842" s="17"/>
      <c r="E2842" s="17"/>
      <c r="F2842" s="17"/>
      <c r="G2842" s="17"/>
      <c r="H2842" s="17"/>
    </row>
    <row r="2843" spans="1:8" x14ac:dyDescent="0.2">
      <c r="A2843" s="16"/>
      <c r="B2843" s="16"/>
      <c r="C2843" s="17"/>
      <c r="D2843" s="17"/>
      <c r="E2843" s="17"/>
      <c r="F2843" s="17"/>
      <c r="G2843" s="17"/>
      <c r="H2843" s="17"/>
    </row>
    <row r="2844" spans="1:8" x14ac:dyDescent="0.2">
      <c r="A2844" s="16"/>
      <c r="B2844" s="16"/>
      <c r="C2844" s="17"/>
      <c r="D2844" s="17"/>
      <c r="E2844" s="17"/>
      <c r="F2844" s="17"/>
      <c r="G2844" s="17"/>
      <c r="H2844" s="17"/>
    </row>
    <row r="2845" spans="1:8" x14ac:dyDescent="0.2">
      <c r="A2845" s="16"/>
      <c r="B2845" s="16"/>
      <c r="C2845" s="17"/>
      <c r="D2845" s="17"/>
      <c r="E2845" s="17"/>
      <c r="F2845" s="17"/>
      <c r="G2845" s="17"/>
      <c r="H2845" s="17"/>
    </row>
    <row r="2846" spans="1:8" x14ac:dyDescent="0.2">
      <c r="A2846" s="16"/>
      <c r="B2846" s="16"/>
      <c r="C2846" s="17"/>
      <c r="D2846" s="17"/>
      <c r="E2846" s="17"/>
      <c r="F2846" s="17"/>
      <c r="G2846" s="17"/>
      <c r="H2846" s="17"/>
    </row>
    <row r="2847" spans="1:8" x14ac:dyDescent="0.2">
      <c r="A2847" s="16"/>
      <c r="B2847" s="16"/>
      <c r="C2847" s="17"/>
      <c r="D2847" s="17"/>
      <c r="E2847" s="17"/>
      <c r="F2847" s="17"/>
      <c r="G2847" s="17"/>
      <c r="H2847" s="17"/>
    </row>
    <row r="2848" spans="1:8" x14ac:dyDescent="0.2">
      <c r="A2848" s="16"/>
      <c r="B2848" s="16"/>
      <c r="C2848" s="17"/>
      <c r="D2848" s="17"/>
      <c r="E2848" s="17"/>
      <c r="F2848" s="17"/>
      <c r="G2848" s="17"/>
      <c r="H2848" s="17"/>
    </row>
    <row r="2849" spans="1:8" x14ac:dyDescent="0.2">
      <c r="A2849" s="16"/>
      <c r="B2849" s="16"/>
      <c r="C2849" s="17"/>
      <c r="D2849" s="17"/>
      <c r="E2849" s="17"/>
      <c r="F2849" s="17"/>
      <c r="G2849" s="17"/>
      <c r="H2849" s="17"/>
    </row>
    <row r="2850" spans="1:8" x14ac:dyDescent="0.2">
      <c r="A2850" s="16"/>
      <c r="B2850" s="16"/>
      <c r="C2850" s="17"/>
      <c r="D2850" s="17"/>
      <c r="E2850" s="17"/>
      <c r="F2850" s="17"/>
      <c r="G2850" s="17"/>
      <c r="H2850" s="17"/>
    </row>
    <row r="2851" spans="1:8" x14ac:dyDescent="0.2">
      <c r="A2851" s="16"/>
      <c r="B2851" s="16"/>
      <c r="C2851" s="17"/>
      <c r="D2851" s="17"/>
      <c r="E2851" s="17"/>
      <c r="F2851" s="17"/>
      <c r="G2851" s="17"/>
      <c r="H2851" s="17"/>
    </row>
    <row r="2852" spans="1:8" x14ac:dyDescent="0.2">
      <c r="A2852" s="16"/>
      <c r="B2852" s="16"/>
      <c r="C2852" s="17"/>
      <c r="D2852" s="17"/>
      <c r="E2852" s="17"/>
      <c r="F2852" s="17"/>
      <c r="G2852" s="17"/>
      <c r="H2852" s="17"/>
    </row>
    <row r="2853" spans="1:8" x14ac:dyDescent="0.2">
      <c r="A2853" s="16"/>
      <c r="B2853" s="16"/>
      <c r="C2853" s="17"/>
      <c r="D2853" s="17"/>
      <c r="E2853" s="17"/>
      <c r="F2853" s="17"/>
      <c r="G2853" s="17"/>
      <c r="H2853" s="17"/>
    </row>
    <row r="2854" spans="1:8" x14ac:dyDescent="0.2">
      <c r="A2854" s="16"/>
      <c r="B2854" s="16"/>
      <c r="C2854" s="17"/>
      <c r="D2854" s="17"/>
      <c r="E2854" s="17"/>
      <c r="F2854" s="17"/>
      <c r="G2854" s="17"/>
      <c r="H2854" s="17"/>
    </row>
    <row r="2855" spans="1:8" x14ac:dyDescent="0.2">
      <c r="A2855" s="16"/>
      <c r="B2855" s="16"/>
      <c r="C2855" s="17"/>
      <c r="D2855" s="17"/>
      <c r="E2855" s="17"/>
      <c r="F2855" s="17"/>
      <c r="G2855" s="17"/>
      <c r="H2855" s="17"/>
    </row>
    <row r="2856" spans="1:8" x14ac:dyDescent="0.2">
      <c r="A2856" s="16"/>
      <c r="B2856" s="16"/>
      <c r="C2856" s="17"/>
      <c r="D2856" s="17"/>
      <c r="E2856" s="17"/>
      <c r="F2856" s="17"/>
      <c r="G2856" s="17"/>
      <c r="H2856" s="17"/>
    </row>
    <row r="2857" spans="1:8" x14ac:dyDescent="0.2">
      <c r="A2857" s="16"/>
      <c r="B2857" s="16"/>
      <c r="C2857" s="17"/>
      <c r="D2857" s="17"/>
      <c r="E2857" s="17"/>
      <c r="F2857" s="17"/>
      <c r="G2857" s="17"/>
      <c r="H2857" s="17"/>
    </row>
    <row r="2858" spans="1:8" x14ac:dyDescent="0.2">
      <c r="A2858" s="16"/>
      <c r="B2858" s="16"/>
      <c r="C2858" s="17"/>
      <c r="D2858" s="17"/>
      <c r="E2858" s="17"/>
      <c r="F2858" s="17"/>
      <c r="G2858" s="17"/>
      <c r="H2858" s="17"/>
    </row>
    <row r="2859" spans="1:8" x14ac:dyDescent="0.2">
      <c r="A2859" s="16"/>
      <c r="B2859" s="16"/>
      <c r="C2859" s="17"/>
      <c r="D2859" s="17"/>
      <c r="E2859" s="17"/>
      <c r="F2859" s="17"/>
      <c r="G2859" s="17"/>
      <c r="H2859" s="17"/>
    </row>
    <row r="2860" spans="1:8" x14ac:dyDescent="0.2">
      <c r="A2860" s="16"/>
      <c r="B2860" s="16"/>
      <c r="C2860" s="17"/>
      <c r="D2860" s="17"/>
      <c r="E2860" s="17"/>
      <c r="F2860" s="17"/>
      <c r="G2860" s="17"/>
      <c r="H2860" s="17"/>
    </row>
    <row r="2861" spans="1:8" x14ac:dyDescent="0.2">
      <c r="A2861" s="16"/>
      <c r="B2861" s="16"/>
      <c r="C2861" s="17"/>
      <c r="D2861" s="17"/>
      <c r="E2861" s="17"/>
      <c r="F2861" s="17"/>
      <c r="G2861" s="17"/>
      <c r="H2861" s="17"/>
    </row>
    <row r="2862" spans="1:8" x14ac:dyDescent="0.2">
      <c r="A2862" s="16"/>
      <c r="B2862" s="16"/>
      <c r="C2862" s="17"/>
      <c r="D2862" s="17"/>
      <c r="E2862" s="17"/>
      <c r="F2862" s="17"/>
      <c r="G2862" s="17"/>
      <c r="H2862" s="17"/>
    </row>
    <row r="2863" spans="1:8" x14ac:dyDescent="0.2">
      <c r="A2863" s="16"/>
      <c r="B2863" s="16"/>
      <c r="C2863" s="17"/>
      <c r="D2863" s="17"/>
      <c r="E2863" s="17"/>
      <c r="F2863" s="17"/>
      <c r="G2863" s="17"/>
      <c r="H2863" s="17"/>
    </row>
    <row r="2864" spans="1:8" x14ac:dyDescent="0.2">
      <c r="A2864" s="16"/>
      <c r="B2864" s="16"/>
      <c r="C2864" s="17"/>
      <c r="D2864" s="17"/>
      <c r="E2864" s="17"/>
      <c r="F2864" s="17"/>
      <c r="G2864" s="17"/>
      <c r="H2864" s="17"/>
    </row>
    <row r="2865" spans="1:8" x14ac:dyDescent="0.2">
      <c r="A2865" s="16"/>
      <c r="B2865" s="16"/>
      <c r="C2865" s="17"/>
      <c r="D2865" s="17"/>
      <c r="E2865" s="17"/>
      <c r="F2865" s="17"/>
      <c r="G2865" s="17"/>
      <c r="H2865" s="17"/>
    </row>
    <row r="2866" spans="1:8" x14ac:dyDescent="0.2">
      <c r="A2866" s="16"/>
      <c r="B2866" s="16"/>
      <c r="C2866" s="17"/>
      <c r="D2866" s="17"/>
      <c r="E2866" s="17"/>
      <c r="F2866" s="17"/>
      <c r="G2866" s="17"/>
      <c r="H2866" s="17"/>
    </row>
    <row r="2867" spans="1:8" x14ac:dyDescent="0.2">
      <c r="A2867" s="16"/>
      <c r="B2867" s="16"/>
      <c r="C2867" s="17"/>
      <c r="D2867" s="17"/>
      <c r="E2867" s="17"/>
      <c r="F2867" s="17"/>
      <c r="G2867" s="17"/>
      <c r="H2867" s="17"/>
    </row>
    <row r="2868" spans="1:8" x14ac:dyDescent="0.2">
      <c r="A2868" s="16"/>
      <c r="B2868" s="16"/>
      <c r="C2868" s="17"/>
      <c r="D2868" s="17"/>
      <c r="E2868" s="17"/>
      <c r="F2868" s="17"/>
      <c r="G2868" s="17"/>
      <c r="H2868" s="17"/>
    </row>
    <row r="2869" spans="1:8" x14ac:dyDescent="0.2">
      <c r="A2869" s="16"/>
      <c r="B2869" s="16"/>
      <c r="C2869" s="17"/>
      <c r="D2869" s="17"/>
      <c r="E2869" s="17"/>
      <c r="F2869" s="17"/>
      <c r="G2869" s="17"/>
      <c r="H2869" s="17"/>
    </row>
    <row r="2870" spans="1:8" x14ac:dyDescent="0.2">
      <c r="A2870" s="16"/>
      <c r="B2870" s="16"/>
      <c r="C2870" s="17"/>
      <c r="D2870" s="17"/>
      <c r="E2870" s="17"/>
      <c r="F2870" s="17"/>
      <c r="G2870" s="17"/>
      <c r="H2870" s="17"/>
    </row>
    <row r="2871" spans="1:8" x14ac:dyDescent="0.2">
      <c r="A2871" s="16"/>
      <c r="B2871" s="16"/>
      <c r="C2871" s="17"/>
      <c r="D2871" s="17"/>
      <c r="E2871" s="17"/>
      <c r="F2871" s="17"/>
      <c r="G2871" s="17"/>
      <c r="H2871" s="17"/>
    </row>
    <row r="2872" spans="1:8" x14ac:dyDescent="0.2">
      <c r="A2872" s="16"/>
      <c r="B2872" s="16"/>
      <c r="C2872" s="17"/>
      <c r="D2872" s="17"/>
      <c r="E2872" s="17"/>
      <c r="F2872" s="17"/>
      <c r="G2872" s="17"/>
      <c r="H2872" s="17"/>
    </row>
    <row r="2873" spans="1:8" x14ac:dyDescent="0.2">
      <c r="A2873" s="16"/>
      <c r="B2873" s="16"/>
      <c r="C2873" s="17"/>
      <c r="D2873" s="17"/>
      <c r="E2873" s="17"/>
      <c r="F2873" s="17"/>
      <c r="G2873" s="17"/>
      <c r="H2873" s="17"/>
    </row>
    <row r="2874" spans="1:8" x14ac:dyDescent="0.2">
      <c r="A2874" s="16"/>
      <c r="B2874" s="16"/>
      <c r="C2874" s="17"/>
      <c r="D2874" s="17"/>
      <c r="E2874" s="17"/>
      <c r="F2874" s="17"/>
      <c r="G2874" s="17"/>
      <c r="H2874" s="17"/>
    </row>
    <row r="2875" spans="1:8" x14ac:dyDescent="0.2">
      <c r="A2875" s="16"/>
      <c r="B2875" s="16"/>
      <c r="C2875" s="17"/>
      <c r="D2875" s="17"/>
      <c r="E2875" s="17"/>
      <c r="F2875" s="17"/>
      <c r="G2875" s="17"/>
      <c r="H2875" s="17"/>
    </row>
    <row r="2876" spans="1:8" x14ac:dyDescent="0.2">
      <c r="A2876" s="16"/>
      <c r="B2876" s="16"/>
      <c r="C2876" s="17"/>
      <c r="D2876" s="17"/>
      <c r="E2876" s="17"/>
      <c r="F2876" s="17"/>
      <c r="G2876" s="17"/>
      <c r="H2876" s="17"/>
    </row>
    <row r="2877" spans="1:8" x14ac:dyDescent="0.2">
      <c r="A2877" s="16"/>
      <c r="B2877" s="16"/>
      <c r="C2877" s="17"/>
      <c r="D2877" s="17"/>
      <c r="E2877" s="17"/>
      <c r="F2877" s="17"/>
      <c r="G2877" s="17"/>
      <c r="H2877" s="17"/>
    </row>
    <row r="2878" spans="1:8" x14ac:dyDescent="0.2">
      <c r="A2878" s="16"/>
      <c r="B2878" s="16"/>
      <c r="C2878" s="17"/>
      <c r="D2878" s="17"/>
      <c r="E2878" s="17"/>
      <c r="F2878" s="17"/>
      <c r="G2878" s="17"/>
      <c r="H2878" s="17"/>
    </row>
    <row r="2879" spans="1:8" x14ac:dyDescent="0.2">
      <c r="A2879" s="16"/>
      <c r="B2879" s="16"/>
      <c r="C2879" s="17"/>
      <c r="D2879" s="17"/>
      <c r="E2879" s="17"/>
      <c r="F2879" s="17"/>
      <c r="G2879" s="17"/>
      <c r="H2879" s="17"/>
    </row>
    <row r="2880" spans="1:8" x14ac:dyDescent="0.2">
      <c r="A2880" s="16"/>
      <c r="B2880" s="16"/>
      <c r="C2880" s="17"/>
      <c r="D2880" s="17"/>
      <c r="E2880" s="17"/>
      <c r="F2880" s="17"/>
      <c r="G2880" s="17"/>
      <c r="H2880" s="17"/>
    </row>
    <row r="2881" spans="1:8" x14ac:dyDescent="0.2">
      <c r="A2881" s="16"/>
      <c r="B2881" s="16"/>
      <c r="C2881" s="17"/>
      <c r="D2881" s="17"/>
      <c r="E2881" s="17"/>
      <c r="F2881" s="17"/>
      <c r="G2881" s="17"/>
      <c r="H2881" s="17"/>
    </row>
    <row r="2882" spans="1:8" x14ac:dyDescent="0.2">
      <c r="A2882" s="16"/>
      <c r="B2882" s="16"/>
      <c r="C2882" s="17"/>
      <c r="D2882" s="17"/>
      <c r="E2882" s="17"/>
      <c r="F2882" s="17"/>
      <c r="G2882" s="17"/>
      <c r="H2882" s="17"/>
    </row>
    <row r="2883" spans="1:8" x14ac:dyDescent="0.2">
      <c r="A2883" s="16"/>
      <c r="B2883" s="16"/>
      <c r="C2883" s="17"/>
      <c r="D2883" s="17"/>
      <c r="E2883" s="17"/>
      <c r="F2883" s="17"/>
      <c r="G2883" s="17"/>
      <c r="H2883" s="17"/>
    </row>
    <row r="2884" spans="1:8" x14ac:dyDescent="0.2">
      <c r="A2884" s="16"/>
      <c r="B2884" s="16"/>
      <c r="C2884" s="17"/>
      <c r="D2884" s="17"/>
      <c r="E2884" s="17"/>
      <c r="F2884" s="17"/>
      <c r="G2884" s="17"/>
      <c r="H2884" s="17"/>
    </row>
    <row r="2885" spans="1:8" x14ac:dyDescent="0.2">
      <c r="A2885" s="16"/>
      <c r="B2885" s="16"/>
      <c r="C2885" s="17"/>
      <c r="D2885" s="17"/>
      <c r="E2885" s="17"/>
      <c r="F2885" s="17"/>
      <c r="G2885" s="17"/>
      <c r="H2885" s="17"/>
    </row>
    <row r="2886" spans="1:8" x14ac:dyDescent="0.2">
      <c r="A2886" s="16"/>
      <c r="B2886" s="16"/>
      <c r="C2886" s="17"/>
      <c r="D2886" s="17"/>
      <c r="E2886" s="17"/>
      <c r="F2886" s="17"/>
      <c r="G2886" s="17"/>
      <c r="H2886" s="17"/>
    </row>
    <row r="2887" spans="1:8" x14ac:dyDescent="0.2">
      <c r="A2887" s="16"/>
      <c r="B2887" s="16"/>
      <c r="C2887" s="17"/>
      <c r="D2887" s="17"/>
      <c r="E2887" s="17"/>
      <c r="F2887" s="17"/>
      <c r="G2887" s="17"/>
      <c r="H2887" s="17"/>
    </row>
    <row r="2888" spans="1:8" x14ac:dyDescent="0.2">
      <c r="A2888" s="16"/>
      <c r="B2888" s="16"/>
      <c r="C2888" s="17"/>
      <c r="D2888" s="17"/>
      <c r="E2888" s="17"/>
      <c r="F2888" s="17"/>
      <c r="G2888" s="17"/>
      <c r="H2888" s="17"/>
    </row>
    <row r="2889" spans="1:8" x14ac:dyDescent="0.2">
      <c r="A2889" s="16"/>
      <c r="B2889" s="16"/>
      <c r="C2889" s="17"/>
      <c r="D2889" s="17"/>
      <c r="E2889" s="17"/>
      <c r="F2889" s="17"/>
      <c r="G2889" s="17"/>
      <c r="H2889" s="17"/>
    </row>
    <row r="2890" spans="1:8" x14ac:dyDescent="0.2">
      <c r="A2890" s="16"/>
      <c r="B2890" s="16"/>
      <c r="C2890" s="17"/>
      <c r="D2890" s="17"/>
      <c r="E2890" s="17"/>
      <c r="F2890" s="17"/>
      <c r="G2890" s="17"/>
      <c r="H2890" s="17"/>
    </row>
    <row r="2891" spans="1:8" x14ac:dyDescent="0.2">
      <c r="A2891" s="16"/>
      <c r="B2891" s="16"/>
      <c r="C2891" s="17"/>
      <c r="D2891" s="17"/>
      <c r="E2891" s="17"/>
      <c r="F2891" s="17"/>
      <c r="G2891" s="17"/>
      <c r="H2891" s="17"/>
    </row>
    <row r="2892" spans="1:8" x14ac:dyDescent="0.2">
      <c r="A2892" s="16"/>
      <c r="B2892" s="16"/>
      <c r="C2892" s="17"/>
      <c r="D2892" s="17"/>
      <c r="E2892" s="17"/>
      <c r="F2892" s="17"/>
      <c r="G2892" s="17"/>
      <c r="H2892" s="17"/>
    </row>
    <row r="2893" spans="1:8" x14ac:dyDescent="0.2">
      <c r="A2893" s="16"/>
      <c r="B2893" s="16"/>
      <c r="C2893" s="17"/>
      <c r="D2893" s="17"/>
      <c r="E2893" s="17"/>
      <c r="F2893" s="17"/>
      <c r="G2893" s="17"/>
      <c r="H2893" s="17"/>
    </row>
    <row r="2894" spans="1:8" x14ac:dyDescent="0.2">
      <c r="A2894" s="16"/>
      <c r="B2894" s="16"/>
      <c r="C2894" s="17"/>
      <c r="D2894" s="17"/>
      <c r="E2894" s="17"/>
      <c r="F2894" s="17"/>
      <c r="G2894" s="17"/>
      <c r="H2894" s="17"/>
    </row>
    <row r="2895" spans="1:8" x14ac:dyDescent="0.2">
      <c r="A2895" s="16"/>
      <c r="B2895" s="16"/>
      <c r="C2895" s="17"/>
      <c r="D2895" s="17"/>
      <c r="E2895" s="17"/>
      <c r="F2895" s="17"/>
      <c r="G2895" s="17"/>
      <c r="H2895" s="17"/>
    </row>
    <row r="2896" spans="1:8" x14ac:dyDescent="0.2">
      <c r="A2896" s="16"/>
      <c r="B2896" s="16"/>
      <c r="C2896" s="17"/>
      <c r="D2896" s="17"/>
      <c r="E2896" s="17"/>
      <c r="F2896" s="17"/>
      <c r="G2896" s="17"/>
      <c r="H2896" s="17"/>
    </row>
    <row r="2897" spans="1:8" x14ac:dyDescent="0.2">
      <c r="A2897" s="16"/>
      <c r="B2897" s="16"/>
      <c r="C2897" s="17"/>
      <c r="D2897" s="17"/>
      <c r="E2897" s="17"/>
      <c r="F2897" s="17"/>
      <c r="G2897" s="17"/>
      <c r="H2897" s="17"/>
    </row>
    <row r="2898" spans="1:8" x14ac:dyDescent="0.2">
      <c r="A2898" s="16"/>
      <c r="B2898" s="16"/>
      <c r="C2898" s="17"/>
      <c r="D2898" s="17"/>
      <c r="E2898" s="17"/>
      <c r="F2898" s="17"/>
      <c r="G2898" s="17"/>
      <c r="H2898" s="17"/>
    </row>
    <row r="2899" spans="1:8" x14ac:dyDescent="0.2">
      <c r="A2899" s="16"/>
      <c r="B2899" s="16"/>
      <c r="C2899" s="17"/>
      <c r="D2899" s="17"/>
      <c r="E2899" s="17"/>
      <c r="F2899" s="17"/>
      <c r="G2899" s="17"/>
      <c r="H2899" s="17"/>
    </row>
    <row r="2900" spans="1:8" x14ac:dyDescent="0.2">
      <c r="A2900" s="16"/>
      <c r="B2900" s="16"/>
      <c r="C2900" s="17"/>
      <c r="D2900" s="17"/>
      <c r="E2900" s="17"/>
      <c r="F2900" s="17"/>
      <c r="G2900" s="17"/>
      <c r="H2900" s="17"/>
    </row>
    <row r="2901" spans="1:8" x14ac:dyDescent="0.2">
      <c r="A2901" s="16"/>
      <c r="B2901" s="16"/>
      <c r="C2901" s="17"/>
      <c r="D2901" s="17"/>
      <c r="E2901" s="17"/>
      <c r="F2901" s="17"/>
      <c r="G2901" s="17"/>
      <c r="H2901" s="17"/>
    </row>
    <row r="2902" spans="1:8" x14ac:dyDescent="0.2">
      <c r="A2902" s="16"/>
      <c r="B2902" s="16"/>
      <c r="C2902" s="17"/>
      <c r="D2902" s="17"/>
      <c r="E2902" s="17"/>
      <c r="F2902" s="17"/>
      <c r="G2902" s="17"/>
      <c r="H2902" s="17"/>
    </row>
    <row r="2903" spans="1:8" x14ac:dyDescent="0.2">
      <c r="A2903" s="16"/>
      <c r="B2903" s="16"/>
      <c r="C2903" s="17"/>
      <c r="D2903" s="17"/>
      <c r="E2903" s="17"/>
      <c r="F2903" s="17"/>
      <c r="G2903" s="17"/>
      <c r="H2903" s="17"/>
    </row>
    <row r="2904" spans="1:8" x14ac:dyDescent="0.2">
      <c r="A2904" s="16"/>
      <c r="B2904" s="16"/>
      <c r="C2904" s="17"/>
      <c r="D2904" s="17"/>
      <c r="E2904" s="17"/>
      <c r="F2904" s="17"/>
      <c r="G2904" s="17"/>
      <c r="H2904" s="17"/>
    </row>
    <row r="2905" spans="1:8" x14ac:dyDescent="0.2">
      <c r="A2905" s="16"/>
      <c r="B2905" s="16"/>
      <c r="C2905" s="17"/>
      <c r="D2905" s="17"/>
      <c r="E2905" s="17"/>
      <c r="F2905" s="17"/>
      <c r="G2905" s="17"/>
      <c r="H2905" s="17"/>
    </row>
    <row r="2906" spans="1:8" x14ac:dyDescent="0.2">
      <c r="A2906" s="16"/>
      <c r="B2906" s="16"/>
      <c r="C2906" s="17"/>
      <c r="D2906" s="17"/>
      <c r="E2906" s="17"/>
      <c r="F2906" s="17"/>
      <c r="G2906" s="17"/>
      <c r="H2906" s="17"/>
    </row>
    <row r="2907" spans="1:8" x14ac:dyDescent="0.2">
      <c r="A2907" s="16"/>
      <c r="B2907" s="16"/>
      <c r="C2907" s="17"/>
      <c r="D2907" s="17"/>
      <c r="E2907" s="17"/>
      <c r="F2907" s="17"/>
      <c r="G2907" s="17"/>
      <c r="H2907" s="17"/>
    </row>
    <row r="2908" spans="1:8" x14ac:dyDescent="0.2">
      <c r="A2908" s="16"/>
      <c r="B2908" s="16"/>
      <c r="C2908" s="17"/>
      <c r="D2908" s="17"/>
      <c r="E2908" s="17"/>
      <c r="F2908" s="17"/>
      <c r="G2908" s="17"/>
      <c r="H2908" s="17"/>
    </row>
    <row r="2909" spans="1:8" x14ac:dyDescent="0.2">
      <c r="A2909" s="16"/>
      <c r="B2909" s="16"/>
      <c r="C2909" s="17"/>
      <c r="D2909" s="17"/>
      <c r="E2909" s="17"/>
      <c r="F2909" s="17"/>
      <c r="G2909" s="17"/>
      <c r="H2909" s="17"/>
    </row>
    <row r="2910" spans="1:8" x14ac:dyDescent="0.2">
      <c r="A2910" s="16"/>
      <c r="B2910" s="16"/>
      <c r="C2910" s="17"/>
      <c r="D2910" s="17"/>
      <c r="E2910" s="17"/>
      <c r="F2910" s="17"/>
      <c r="G2910" s="17"/>
      <c r="H2910" s="17"/>
    </row>
    <row r="2911" spans="1:8" x14ac:dyDescent="0.2">
      <c r="A2911" s="16"/>
      <c r="B2911" s="16"/>
      <c r="C2911" s="17"/>
      <c r="D2911" s="17"/>
      <c r="E2911" s="17"/>
      <c r="F2911" s="17"/>
      <c r="G2911" s="17"/>
      <c r="H2911" s="17"/>
    </row>
    <row r="2912" spans="1:8" x14ac:dyDescent="0.2">
      <c r="A2912" s="16"/>
      <c r="B2912" s="16"/>
      <c r="C2912" s="17"/>
      <c r="D2912" s="17"/>
      <c r="E2912" s="17"/>
      <c r="F2912" s="17"/>
      <c r="G2912" s="17"/>
      <c r="H2912" s="17"/>
    </row>
    <row r="2913" spans="1:8" x14ac:dyDescent="0.2">
      <c r="A2913" s="16"/>
      <c r="B2913" s="16"/>
      <c r="C2913" s="17"/>
      <c r="D2913" s="17"/>
      <c r="E2913" s="17"/>
      <c r="F2913" s="17"/>
      <c r="G2913" s="17"/>
      <c r="H2913" s="17"/>
    </row>
    <row r="2914" spans="1:8" x14ac:dyDescent="0.2">
      <c r="A2914" s="16"/>
      <c r="B2914" s="16"/>
      <c r="C2914" s="17"/>
      <c r="D2914" s="17"/>
      <c r="E2914" s="17"/>
      <c r="F2914" s="17"/>
      <c r="G2914" s="17"/>
      <c r="H2914" s="17"/>
    </row>
    <row r="2915" spans="1:8" x14ac:dyDescent="0.2">
      <c r="A2915" s="16"/>
      <c r="B2915" s="16"/>
      <c r="C2915" s="17"/>
      <c r="D2915" s="17"/>
      <c r="E2915" s="17"/>
      <c r="F2915" s="17"/>
      <c r="G2915" s="17"/>
      <c r="H2915" s="17"/>
    </row>
    <row r="2916" spans="1:8" x14ac:dyDescent="0.2">
      <c r="A2916" s="16"/>
      <c r="B2916" s="16"/>
      <c r="C2916" s="17"/>
      <c r="D2916" s="17"/>
      <c r="E2916" s="17"/>
      <c r="F2916" s="17"/>
      <c r="G2916" s="17"/>
      <c r="H2916" s="17"/>
    </row>
    <row r="2917" spans="1:8" x14ac:dyDescent="0.2">
      <c r="A2917" s="16"/>
      <c r="B2917" s="16"/>
      <c r="C2917" s="17"/>
      <c r="D2917" s="17"/>
      <c r="E2917" s="17"/>
      <c r="F2917" s="17"/>
      <c r="G2917" s="17"/>
      <c r="H2917" s="17"/>
    </row>
    <row r="2918" spans="1:8" x14ac:dyDescent="0.2">
      <c r="A2918" s="16"/>
      <c r="B2918" s="16"/>
      <c r="C2918" s="17"/>
      <c r="D2918" s="17"/>
      <c r="E2918" s="17"/>
      <c r="F2918" s="17"/>
      <c r="G2918" s="17"/>
      <c r="H2918" s="17"/>
    </row>
    <row r="2919" spans="1:8" x14ac:dyDescent="0.2">
      <c r="A2919" s="16"/>
      <c r="B2919" s="16"/>
      <c r="C2919" s="17"/>
      <c r="D2919" s="17"/>
      <c r="E2919" s="17"/>
      <c r="F2919" s="17"/>
      <c r="G2919" s="17"/>
      <c r="H2919" s="17"/>
    </row>
    <row r="2920" spans="1:8" x14ac:dyDescent="0.2">
      <c r="A2920" s="16"/>
      <c r="B2920" s="16"/>
      <c r="C2920" s="17"/>
      <c r="D2920" s="17"/>
      <c r="E2920" s="17"/>
      <c r="F2920" s="17"/>
      <c r="G2920" s="17"/>
      <c r="H2920" s="17"/>
    </row>
    <row r="2921" spans="1:8" x14ac:dyDescent="0.2">
      <c r="A2921" s="16"/>
      <c r="B2921" s="16"/>
      <c r="C2921" s="17"/>
      <c r="D2921" s="17"/>
      <c r="E2921" s="17"/>
      <c r="F2921" s="17"/>
      <c r="G2921" s="17"/>
      <c r="H2921" s="17"/>
    </row>
    <row r="2922" spans="1:8" x14ac:dyDescent="0.2">
      <c r="A2922" s="16"/>
      <c r="B2922" s="16"/>
      <c r="C2922" s="17"/>
      <c r="D2922" s="17"/>
      <c r="E2922" s="17"/>
      <c r="F2922" s="17"/>
      <c r="G2922" s="17"/>
      <c r="H2922" s="17"/>
    </row>
    <row r="2923" spans="1:8" x14ac:dyDescent="0.2">
      <c r="A2923" s="16"/>
      <c r="B2923" s="16"/>
      <c r="C2923" s="17"/>
      <c r="D2923" s="17"/>
      <c r="E2923" s="17"/>
      <c r="F2923" s="17"/>
      <c r="G2923" s="17"/>
      <c r="H2923" s="17"/>
    </row>
    <row r="2924" spans="1:8" x14ac:dyDescent="0.2">
      <c r="A2924" s="16"/>
      <c r="B2924" s="16"/>
      <c r="C2924" s="17"/>
      <c r="D2924" s="17"/>
      <c r="E2924" s="17"/>
      <c r="F2924" s="17"/>
      <c r="G2924" s="17"/>
      <c r="H2924" s="17"/>
    </row>
    <row r="2925" spans="1:8" x14ac:dyDescent="0.2">
      <c r="A2925" s="16"/>
      <c r="B2925" s="16"/>
      <c r="C2925" s="17"/>
      <c r="D2925" s="17"/>
      <c r="E2925" s="17"/>
      <c r="F2925" s="17"/>
      <c r="G2925" s="17"/>
      <c r="H2925" s="17"/>
    </row>
    <row r="2926" spans="1:8" x14ac:dyDescent="0.2">
      <c r="A2926" s="16"/>
      <c r="B2926" s="16"/>
      <c r="C2926" s="17"/>
      <c r="D2926" s="17"/>
      <c r="E2926" s="17"/>
      <c r="F2926" s="17"/>
      <c r="G2926" s="17"/>
      <c r="H2926" s="17"/>
    </row>
    <row r="2927" spans="1:8" x14ac:dyDescent="0.2">
      <c r="A2927" s="16"/>
      <c r="B2927" s="16"/>
      <c r="C2927" s="17"/>
      <c r="D2927" s="17"/>
      <c r="E2927" s="17"/>
      <c r="F2927" s="17"/>
      <c r="G2927" s="17"/>
      <c r="H2927" s="17"/>
    </row>
    <row r="2928" spans="1:8" x14ac:dyDescent="0.2">
      <c r="A2928" s="16"/>
      <c r="B2928" s="16"/>
      <c r="C2928" s="17"/>
      <c r="D2928" s="17"/>
      <c r="E2928" s="17"/>
      <c r="F2928" s="17"/>
      <c r="G2928" s="17"/>
      <c r="H2928" s="17"/>
    </row>
    <row r="2929" spans="1:8" x14ac:dyDescent="0.2">
      <c r="A2929" s="16"/>
      <c r="B2929" s="16"/>
      <c r="C2929" s="17"/>
      <c r="D2929" s="17"/>
      <c r="E2929" s="17"/>
      <c r="F2929" s="17"/>
      <c r="G2929" s="17"/>
      <c r="H2929" s="17"/>
    </row>
    <row r="2930" spans="1:8" x14ac:dyDescent="0.2">
      <c r="A2930" s="16"/>
      <c r="B2930" s="16"/>
      <c r="C2930" s="17"/>
      <c r="D2930" s="17"/>
      <c r="E2930" s="17"/>
      <c r="F2930" s="17"/>
      <c r="G2930" s="17"/>
      <c r="H2930" s="17"/>
    </row>
    <row r="2931" spans="1:8" x14ac:dyDescent="0.2">
      <c r="A2931" s="16"/>
      <c r="B2931" s="16"/>
      <c r="C2931" s="17"/>
      <c r="D2931" s="17"/>
      <c r="E2931" s="17"/>
      <c r="F2931" s="17"/>
      <c r="G2931" s="17"/>
      <c r="H2931" s="17"/>
    </row>
    <row r="2932" spans="1:8" x14ac:dyDescent="0.2">
      <c r="A2932" s="16"/>
      <c r="B2932" s="16"/>
      <c r="C2932" s="17"/>
      <c r="D2932" s="17"/>
      <c r="E2932" s="17"/>
      <c r="F2932" s="17"/>
      <c r="G2932" s="17"/>
      <c r="H2932" s="17"/>
    </row>
    <row r="2933" spans="1:8" x14ac:dyDescent="0.2">
      <c r="A2933" s="16"/>
      <c r="B2933" s="16"/>
      <c r="C2933" s="17"/>
      <c r="D2933" s="17"/>
      <c r="E2933" s="17"/>
      <c r="F2933" s="17"/>
      <c r="G2933" s="17"/>
      <c r="H2933" s="17"/>
    </row>
    <row r="2934" spans="1:8" x14ac:dyDescent="0.2">
      <c r="A2934" s="16"/>
      <c r="B2934" s="16"/>
      <c r="C2934" s="17"/>
      <c r="D2934" s="17"/>
      <c r="E2934" s="17"/>
      <c r="F2934" s="17"/>
      <c r="G2934" s="17"/>
      <c r="H2934" s="17"/>
    </row>
    <row r="2935" spans="1:8" x14ac:dyDescent="0.2">
      <c r="A2935" s="16"/>
      <c r="B2935" s="16"/>
      <c r="C2935" s="17"/>
      <c r="D2935" s="17"/>
      <c r="E2935" s="17"/>
      <c r="F2935" s="17"/>
      <c r="G2935" s="17"/>
      <c r="H2935" s="17"/>
    </row>
    <row r="2936" spans="1:8" x14ac:dyDescent="0.2">
      <c r="A2936" s="16"/>
      <c r="B2936" s="16"/>
      <c r="C2936" s="17"/>
      <c r="D2936" s="17"/>
      <c r="E2936" s="17"/>
      <c r="F2936" s="17"/>
      <c r="G2936" s="17"/>
      <c r="H2936" s="17"/>
    </row>
    <row r="2937" spans="1:8" x14ac:dyDescent="0.2">
      <c r="A2937" s="16"/>
      <c r="B2937" s="16"/>
      <c r="C2937" s="17"/>
      <c r="D2937" s="17"/>
      <c r="E2937" s="17"/>
      <c r="F2937" s="17"/>
      <c r="G2937" s="17"/>
      <c r="H2937" s="17"/>
    </row>
    <row r="2938" spans="1:8" x14ac:dyDescent="0.2">
      <c r="A2938" s="16"/>
      <c r="B2938" s="16"/>
      <c r="C2938" s="17"/>
      <c r="D2938" s="17"/>
      <c r="E2938" s="17"/>
      <c r="F2938" s="17"/>
      <c r="G2938" s="17"/>
      <c r="H2938" s="17"/>
    </row>
    <row r="2939" spans="1:8" x14ac:dyDescent="0.2">
      <c r="A2939" s="16"/>
      <c r="B2939" s="16"/>
      <c r="C2939" s="17"/>
      <c r="D2939" s="17"/>
      <c r="E2939" s="17"/>
      <c r="F2939" s="17"/>
      <c r="G2939" s="17"/>
      <c r="H2939" s="17"/>
    </row>
    <row r="2940" spans="1:8" x14ac:dyDescent="0.2">
      <c r="A2940" s="16"/>
      <c r="B2940" s="16"/>
      <c r="C2940" s="17"/>
      <c r="D2940" s="17"/>
      <c r="E2940" s="17"/>
      <c r="F2940" s="17"/>
      <c r="G2940" s="17"/>
      <c r="H2940" s="17"/>
    </row>
    <row r="2941" spans="1:8" x14ac:dyDescent="0.2">
      <c r="A2941" s="16"/>
      <c r="B2941" s="16"/>
      <c r="C2941" s="17"/>
      <c r="D2941" s="17"/>
      <c r="E2941" s="17"/>
      <c r="F2941" s="17"/>
      <c r="G2941" s="17"/>
      <c r="H2941" s="17"/>
    </row>
    <row r="2942" spans="1:8" x14ac:dyDescent="0.2">
      <c r="A2942" s="16"/>
      <c r="B2942" s="16"/>
      <c r="C2942" s="17"/>
      <c r="D2942" s="17"/>
      <c r="E2942" s="17"/>
      <c r="F2942" s="17"/>
      <c r="G2942" s="17"/>
      <c r="H2942" s="17"/>
    </row>
    <row r="2943" spans="1:8" x14ac:dyDescent="0.2">
      <c r="A2943" s="16"/>
      <c r="B2943" s="16"/>
      <c r="C2943" s="17"/>
      <c r="D2943" s="17"/>
      <c r="E2943" s="17"/>
      <c r="F2943" s="17"/>
      <c r="G2943" s="17"/>
      <c r="H2943" s="17"/>
    </row>
    <row r="2944" spans="1:8" x14ac:dyDescent="0.2">
      <c r="A2944" s="16"/>
      <c r="B2944" s="16"/>
      <c r="C2944" s="17"/>
      <c r="D2944" s="17"/>
      <c r="E2944" s="17"/>
      <c r="F2944" s="17"/>
      <c r="G2944" s="17"/>
      <c r="H2944" s="17"/>
    </row>
    <row r="2945" spans="1:8" x14ac:dyDescent="0.2">
      <c r="A2945" s="16"/>
      <c r="B2945" s="16"/>
      <c r="C2945" s="17"/>
      <c r="D2945" s="17"/>
      <c r="E2945" s="17"/>
      <c r="F2945" s="17"/>
      <c r="G2945" s="17"/>
      <c r="H2945" s="17"/>
    </row>
    <row r="2946" spans="1:8" x14ac:dyDescent="0.2">
      <c r="A2946" s="16"/>
      <c r="B2946" s="16"/>
      <c r="C2946" s="17"/>
      <c r="D2946" s="17"/>
      <c r="E2946" s="17"/>
      <c r="F2946" s="17"/>
      <c r="G2946" s="17"/>
      <c r="H2946" s="17"/>
    </row>
    <row r="2947" spans="1:8" x14ac:dyDescent="0.2">
      <c r="A2947" s="16"/>
      <c r="B2947" s="16"/>
      <c r="C2947" s="17"/>
      <c r="D2947" s="17"/>
      <c r="E2947" s="17"/>
      <c r="F2947" s="17"/>
      <c r="G2947" s="17"/>
      <c r="H2947" s="17"/>
    </row>
    <row r="2948" spans="1:8" x14ac:dyDescent="0.2">
      <c r="A2948" s="16"/>
      <c r="B2948" s="16"/>
      <c r="C2948" s="17"/>
      <c r="D2948" s="17"/>
      <c r="E2948" s="17"/>
      <c r="F2948" s="17"/>
      <c r="G2948" s="17"/>
      <c r="H2948" s="17"/>
    </row>
    <row r="2949" spans="1:8" x14ac:dyDescent="0.2">
      <c r="A2949" s="16"/>
      <c r="B2949" s="16"/>
      <c r="C2949" s="17"/>
      <c r="D2949" s="17"/>
      <c r="E2949" s="17"/>
      <c r="F2949" s="17"/>
      <c r="G2949" s="17"/>
      <c r="H2949" s="17"/>
    </row>
    <row r="2950" spans="1:8" x14ac:dyDescent="0.2">
      <c r="A2950" s="16"/>
      <c r="B2950" s="16"/>
      <c r="C2950" s="17"/>
      <c r="D2950" s="17"/>
      <c r="E2950" s="17"/>
      <c r="F2950" s="17"/>
      <c r="G2950" s="17"/>
      <c r="H2950" s="17"/>
    </row>
    <row r="2951" spans="1:8" x14ac:dyDescent="0.2">
      <c r="A2951" s="16"/>
      <c r="B2951" s="16"/>
      <c r="C2951" s="17"/>
      <c r="D2951" s="17"/>
      <c r="E2951" s="17"/>
      <c r="F2951" s="17"/>
      <c r="G2951" s="17"/>
      <c r="H2951" s="17"/>
    </row>
    <row r="2952" spans="1:8" x14ac:dyDescent="0.2">
      <c r="A2952" s="16"/>
      <c r="B2952" s="16"/>
      <c r="C2952" s="17"/>
      <c r="D2952" s="17"/>
      <c r="E2952" s="17"/>
      <c r="F2952" s="17"/>
      <c r="G2952" s="17"/>
      <c r="H2952" s="17"/>
    </row>
    <row r="2953" spans="1:8" x14ac:dyDescent="0.2">
      <c r="A2953" s="16"/>
      <c r="B2953" s="16"/>
      <c r="C2953" s="17"/>
      <c r="D2953" s="17"/>
      <c r="E2953" s="17"/>
      <c r="F2953" s="17"/>
      <c r="G2953" s="17"/>
      <c r="H2953" s="17"/>
    </row>
    <row r="2954" spans="1:8" x14ac:dyDescent="0.2">
      <c r="A2954" s="16"/>
      <c r="B2954" s="16"/>
      <c r="C2954" s="17"/>
      <c r="D2954" s="17"/>
      <c r="E2954" s="17"/>
      <c r="F2954" s="17"/>
      <c r="G2954" s="17"/>
      <c r="H2954" s="17"/>
    </row>
    <row r="2955" spans="1:8" x14ac:dyDescent="0.2">
      <c r="A2955" s="16"/>
      <c r="B2955" s="16"/>
      <c r="C2955" s="17"/>
      <c r="D2955" s="17"/>
      <c r="E2955" s="17"/>
      <c r="F2955" s="17"/>
      <c r="G2955" s="17"/>
      <c r="H2955" s="17"/>
    </row>
    <row r="2956" spans="1:8" x14ac:dyDescent="0.2">
      <c r="A2956" s="16"/>
      <c r="B2956" s="16"/>
      <c r="C2956" s="17"/>
      <c r="D2956" s="17"/>
      <c r="E2956" s="17"/>
      <c r="F2956" s="17"/>
      <c r="G2956" s="17"/>
      <c r="H2956" s="17"/>
    </row>
    <row r="2957" spans="1:8" x14ac:dyDescent="0.2">
      <c r="A2957" s="16"/>
      <c r="B2957" s="16"/>
      <c r="C2957" s="17"/>
      <c r="D2957" s="17"/>
      <c r="E2957" s="17"/>
      <c r="F2957" s="17"/>
      <c r="G2957" s="17"/>
      <c r="H2957" s="17"/>
    </row>
    <row r="2958" spans="1:8" x14ac:dyDescent="0.2">
      <c r="A2958" s="16"/>
      <c r="B2958" s="16"/>
      <c r="C2958" s="17"/>
      <c r="D2958" s="17"/>
      <c r="E2958" s="17"/>
      <c r="F2958" s="17"/>
      <c r="G2958" s="17"/>
      <c r="H2958" s="17"/>
    </row>
    <row r="2959" spans="1:8" x14ac:dyDescent="0.2">
      <c r="A2959" s="16"/>
      <c r="B2959" s="16"/>
      <c r="C2959" s="17"/>
      <c r="D2959" s="17"/>
      <c r="E2959" s="17"/>
      <c r="F2959" s="17"/>
      <c r="G2959" s="17"/>
      <c r="H2959" s="17"/>
    </row>
    <row r="2960" spans="1:8" x14ac:dyDescent="0.2">
      <c r="A2960" s="16"/>
      <c r="B2960" s="16"/>
      <c r="C2960" s="17"/>
      <c r="D2960" s="17"/>
      <c r="E2960" s="17"/>
      <c r="F2960" s="17"/>
      <c r="G2960" s="17"/>
      <c r="H2960" s="17"/>
    </row>
    <row r="2961" spans="1:8" x14ac:dyDescent="0.2">
      <c r="A2961" s="16"/>
      <c r="B2961" s="16"/>
      <c r="C2961" s="17"/>
      <c r="D2961" s="17"/>
      <c r="E2961" s="17"/>
      <c r="F2961" s="17"/>
      <c r="G2961" s="17"/>
      <c r="H2961" s="17"/>
    </row>
    <row r="2962" spans="1:8" x14ac:dyDescent="0.2">
      <c r="A2962" s="16"/>
      <c r="B2962" s="16"/>
      <c r="C2962" s="17"/>
      <c r="D2962" s="17"/>
      <c r="E2962" s="17"/>
      <c r="F2962" s="17"/>
      <c r="G2962" s="17"/>
      <c r="H2962" s="17"/>
    </row>
    <row r="2963" spans="1:8" x14ac:dyDescent="0.2">
      <c r="A2963" s="16"/>
      <c r="B2963" s="16"/>
      <c r="C2963" s="17"/>
      <c r="D2963" s="17"/>
      <c r="E2963" s="17"/>
      <c r="F2963" s="17"/>
      <c r="G2963" s="17"/>
      <c r="H2963" s="17"/>
    </row>
    <row r="2964" spans="1:8" x14ac:dyDescent="0.2">
      <c r="A2964" s="16"/>
      <c r="B2964" s="16"/>
      <c r="C2964" s="17"/>
      <c r="D2964" s="17"/>
      <c r="E2964" s="17"/>
      <c r="F2964" s="17"/>
      <c r="G2964" s="17"/>
      <c r="H2964" s="17"/>
    </row>
    <row r="2965" spans="1:8" x14ac:dyDescent="0.2">
      <c r="A2965" s="16"/>
      <c r="B2965" s="16"/>
      <c r="C2965" s="17"/>
      <c r="D2965" s="17"/>
      <c r="E2965" s="17"/>
      <c r="F2965" s="17"/>
      <c r="G2965" s="17"/>
      <c r="H2965" s="17"/>
    </row>
    <row r="2966" spans="1:8" x14ac:dyDescent="0.2">
      <c r="A2966" s="16"/>
      <c r="B2966" s="16"/>
      <c r="C2966" s="17"/>
      <c r="D2966" s="17"/>
      <c r="E2966" s="17"/>
      <c r="F2966" s="17"/>
      <c r="G2966" s="17"/>
      <c r="H2966" s="17"/>
    </row>
    <row r="2967" spans="1:8" x14ac:dyDescent="0.2">
      <c r="A2967" s="16"/>
      <c r="B2967" s="16"/>
      <c r="C2967" s="17"/>
      <c r="D2967" s="17"/>
      <c r="E2967" s="17"/>
      <c r="F2967" s="17"/>
      <c r="G2967" s="17"/>
      <c r="H2967" s="17"/>
    </row>
    <row r="2968" spans="1:8" x14ac:dyDescent="0.2">
      <c r="A2968" s="16"/>
      <c r="B2968" s="16"/>
      <c r="C2968" s="17"/>
      <c r="D2968" s="17"/>
      <c r="E2968" s="17"/>
      <c r="F2968" s="17"/>
      <c r="G2968" s="17"/>
      <c r="H2968" s="17"/>
    </row>
    <row r="2969" spans="1:8" x14ac:dyDescent="0.2">
      <c r="A2969" s="16"/>
      <c r="B2969" s="16"/>
      <c r="C2969" s="17"/>
      <c r="D2969" s="17"/>
      <c r="E2969" s="17"/>
      <c r="F2969" s="17"/>
      <c r="G2969" s="17"/>
      <c r="H2969" s="17"/>
    </row>
    <row r="2970" spans="1:8" x14ac:dyDescent="0.2">
      <c r="A2970" s="16"/>
      <c r="B2970" s="16"/>
      <c r="C2970" s="17"/>
      <c r="D2970" s="17"/>
      <c r="E2970" s="17"/>
      <c r="F2970" s="17"/>
      <c r="G2970" s="17"/>
      <c r="H2970" s="17"/>
    </row>
    <row r="2971" spans="1:8" x14ac:dyDescent="0.2">
      <c r="A2971" s="16"/>
      <c r="B2971" s="16"/>
      <c r="C2971" s="17"/>
      <c r="D2971" s="17"/>
      <c r="E2971" s="17"/>
      <c r="F2971" s="17"/>
      <c r="G2971" s="17"/>
      <c r="H2971" s="17"/>
    </row>
    <row r="2972" spans="1:8" x14ac:dyDescent="0.2">
      <c r="A2972" s="16"/>
      <c r="B2972" s="16"/>
      <c r="C2972" s="17"/>
      <c r="D2972" s="17"/>
      <c r="E2972" s="17"/>
      <c r="F2972" s="17"/>
      <c r="G2972" s="17"/>
      <c r="H2972" s="17"/>
    </row>
    <row r="2973" spans="1:8" x14ac:dyDescent="0.2">
      <c r="A2973" s="16"/>
      <c r="B2973" s="16"/>
      <c r="C2973" s="17"/>
      <c r="D2973" s="17"/>
      <c r="E2973" s="17"/>
      <c r="F2973" s="17"/>
      <c r="G2973" s="17"/>
      <c r="H2973" s="17"/>
    </row>
    <row r="2974" spans="1:8" x14ac:dyDescent="0.2">
      <c r="A2974" s="16"/>
      <c r="B2974" s="16"/>
      <c r="C2974" s="17"/>
      <c r="D2974" s="17"/>
      <c r="E2974" s="17"/>
      <c r="F2974" s="17"/>
      <c r="G2974" s="17"/>
      <c r="H2974" s="17"/>
    </row>
    <row r="2975" spans="1:8" x14ac:dyDescent="0.2">
      <c r="A2975" s="16"/>
      <c r="B2975" s="16"/>
      <c r="C2975" s="17"/>
      <c r="D2975" s="17"/>
      <c r="E2975" s="17"/>
      <c r="F2975" s="17"/>
      <c r="G2975" s="17"/>
      <c r="H2975" s="17"/>
    </row>
    <row r="2976" spans="1:8" x14ac:dyDescent="0.2">
      <c r="A2976" s="16"/>
      <c r="B2976" s="16"/>
      <c r="C2976" s="17"/>
      <c r="D2976" s="17"/>
      <c r="E2976" s="17"/>
      <c r="F2976" s="17"/>
      <c r="G2976" s="17"/>
      <c r="H2976" s="17"/>
    </row>
    <row r="2977" spans="1:8" x14ac:dyDescent="0.2">
      <c r="A2977" s="16"/>
      <c r="B2977" s="16"/>
      <c r="C2977" s="17"/>
      <c r="D2977" s="17"/>
      <c r="E2977" s="17"/>
      <c r="F2977" s="17"/>
      <c r="G2977" s="17"/>
      <c r="H2977" s="17"/>
    </row>
    <row r="2978" spans="1:8" x14ac:dyDescent="0.2">
      <c r="A2978" s="16"/>
      <c r="B2978" s="16"/>
      <c r="C2978" s="17"/>
      <c r="D2978" s="17"/>
      <c r="E2978" s="17"/>
      <c r="F2978" s="17"/>
      <c r="G2978" s="17"/>
      <c r="H2978" s="17"/>
    </row>
    <row r="2979" spans="1:8" x14ac:dyDescent="0.2">
      <c r="A2979" s="16"/>
      <c r="B2979" s="16"/>
      <c r="C2979" s="17"/>
      <c r="D2979" s="17"/>
      <c r="E2979" s="17"/>
      <c r="F2979" s="17"/>
      <c r="G2979" s="17"/>
      <c r="H2979" s="17"/>
    </row>
    <row r="2980" spans="1:8" x14ac:dyDescent="0.2">
      <c r="A2980" s="16"/>
      <c r="B2980" s="16"/>
      <c r="C2980" s="17"/>
      <c r="D2980" s="17"/>
      <c r="E2980" s="17"/>
      <c r="F2980" s="17"/>
      <c r="G2980" s="17"/>
      <c r="H2980" s="17"/>
    </row>
    <row r="2981" spans="1:8" x14ac:dyDescent="0.2">
      <c r="A2981" s="16"/>
      <c r="B2981" s="16"/>
      <c r="C2981" s="17"/>
      <c r="D2981" s="17"/>
      <c r="E2981" s="17"/>
      <c r="F2981" s="17"/>
      <c r="G2981" s="17"/>
      <c r="H2981" s="17"/>
    </row>
    <row r="2982" spans="1:8" x14ac:dyDescent="0.2">
      <c r="A2982" s="16"/>
      <c r="B2982" s="16"/>
      <c r="C2982" s="17"/>
      <c r="D2982" s="17"/>
      <c r="E2982" s="17"/>
      <c r="F2982" s="17"/>
      <c r="G2982" s="17"/>
      <c r="H2982" s="17"/>
    </row>
    <row r="2983" spans="1:8" x14ac:dyDescent="0.2">
      <c r="A2983" s="16"/>
      <c r="B2983" s="16"/>
      <c r="C2983" s="17"/>
      <c r="D2983" s="17"/>
      <c r="E2983" s="17"/>
      <c r="F2983" s="17"/>
      <c r="G2983" s="17"/>
      <c r="H2983" s="17"/>
    </row>
    <row r="2984" spans="1:8" x14ac:dyDescent="0.2">
      <c r="A2984" s="16"/>
      <c r="B2984" s="16"/>
      <c r="C2984" s="17"/>
      <c r="D2984" s="17"/>
      <c r="E2984" s="17"/>
      <c r="F2984" s="17"/>
      <c r="G2984" s="17"/>
      <c r="H2984" s="17"/>
    </row>
    <row r="2985" spans="1:8" x14ac:dyDescent="0.2">
      <c r="A2985" s="16"/>
      <c r="B2985" s="16"/>
      <c r="C2985" s="17"/>
      <c r="D2985" s="17"/>
      <c r="E2985" s="17"/>
      <c r="F2985" s="17"/>
      <c r="G2985" s="17"/>
      <c r="H2985" s="17"/>
    </row>
    <row r="2986" spans="1:8" x14ac:dyDescent="0.2">
      <c r="A2986" s="16"/>
      <c r="B2986" s="16"/>
      <c r="C2986" s="17"/>
      <c r="D2986" s="17"/>
      <c r="E2986" s="17"/>
      <c r="F2986" s="17"/>
      <c r="G2986" s="17"/>
      <c r="H2986" s="17"/>
    </row>
    <row r="2987" spans="1:8" x14ac:dyDescent="0.2">
      <c r="A2987" s="16"/>
      <c r="B2987" s="16"/>
      <c r="C2987" s="17"/>
      <c r="D2987" s="17"/>
      <c r="E2987" s="17"/>
      <c r="F2987" s="17"/>
      <c r="G2987" s="17"/>
      <c r="H2987" s="17"/>
    </row>
    <row r="2988" spans="1:8" x14ac:dyDescent="0.2">
      <c r="A2988" s="16"/>
      <c r="B2988" s="16"/>
      <c r="C2988" s="17"/>
      <c r="D2988" s="17"/>
      <c r="E2988" s="17"/>
      <c r="F2988" s="17"/>
      <c r="G2988" s="17"/>
      <c r="H2988" s="17"/>
    </row>
    <row r="2989" spans="1:8" x14ac:dyDescent="0.2">
      <c r="A2989" s="16"/>
      <c r="B2989" s="16"/>
      <c r="C2989" s="17"/>
      <c r="D2989" s="17"/>
      <c r="E2989" s="17"/>
      <c r="F2989" s="17"/>
      <c r="G2989" s="17"/>
      <c r="H2989" s="17"/>
    </row>
    <row r="2990" spans="1:8" x14ac:dyDescent="0.2">
      <c r="A2990" s="16"/>
      <c r="B2990" s="16"/>
      <c r="C2990" s="17"/>
      <c r="D2990" s="17"/>
      <c r="E2990" s="17"/>
      <c r="F2990" s="17"/>
      <c r="G2990" s="17"/>
      <c r="H2990" s="17"/>
    </row>
    <row r="2991" spans="1:8" x14ac:dyDescent="0.2">
      <c r="A2991" s="16"/>
      <c r="B2991" s="16"/>
      <c r="C2991" s="17"/>
      <c r="D2991" s="17"/>
      <c r="E2991" s="17"/>
      <c r="F2991" s="17"/>
      <c r="G2991" s="17"/>
      <c r="H2991" s="17"/>
    </row>
    <row r="2992" spans="1:8" x14ac:dyDescent="0.2">
      <c r="A2992" s="16"/>
      <c r="B2992" s="16"/>
      <c r="C2992" s="17"/>
      <c r="D2992" s="17"/>
      <c r="E2992" s="17"/>
      <c r="F2992" s="17"/>
      <c r="G2992" s="17"/>
      <c r="H2992" s="17"/>
    </row>
    <row r="2993" spans="1:8" x14ac:dyDescent="0.2">
      <c r="A2993" s="16"/>
      <c r="B2993" s="16"/>
      <c r="C2993" s="17"/>
      <c r="D2993" s="17"/>
      <c r="E2993" s="17"/>
      <c r="F2993" s="17"/>
      <c r="G2993" s="17"/>
      <c r="H2993" s="17"/>
    </row>
    <row r="2994" spans="1:8" x14ac:dyDescent="0.2">
      <c r="A2994" s="16"/>
      <c r="B2994" s="16"/>
      <c r="C2994" s="17"/>
      <c r="D2994" s="17"/>
      <c r="E2994" s="17"/>
      <c r="F2994" s="17"/>
      <c r="G2994" s="17"/>
      <c r="H2994" s="17"/>
    </row>
    <row r="2995" spans="1:8" x14ac:dyDescent="0.2">
      <c r="A2995" s="16"/>
      <c r="B2995" s="16"/>
      <c r="C2995" s="17"/>
      <c r="D2995" s="17"/>
      <c r="E2995" s="17"/>
      <c r="F2995" s="17"/>
      <c r="G2995" s="17"/>
      <c r="H2995" s="17"/>
    </row>
    <row r="2996" spans="1:8" x14ac:dyDescent="0.2">
      <c r="A2996" s="16"/>
      <c r="B2996" s="16"/>
      <c r="C2996" s="17"/>
      <c r="D2996" s="17"/>
      <c r="E2996" s="17"/>
      <c r="F2996" s="17"/>
      <c r="G2996" s="17"/>
      <c r="H2996" s="17"/>
    </row>
    <row r="2997" spans="1:8" x14ac:dyDescent="0.2">
      <c r="A2997" s="16"/>
      <c r="B2997" s="16"/>
      <c r="C2997" s="17"/>
      <c r="D2997" s="17"/>
      <c r="E2997" s="17"/>
      <c r="F2997" s="17"/>
      <c r="G2997" s="17"/>
      <c r="H2997" s="17"/>
    </row>
    <row r="2998" spans="1:8" x14ac:dyDescent="0.2">
      <c r="A2998" s="16"/>
      <c r="B2998" s="16"/>
      <c r="C2998" s="17"/>
      <c r="D2998" s="17"/>
      <c r="E2998" s="17"/>
      <c r="F2998" s="17"/>
      <c r="G2998" s="17"/>
      <c r="H2998" s="17"/>
    </row>
    <row r="2999" spans="1:8" x14ac:dyDescent="0.2">
      <c r="A2999" s="16"/>
      <c r="B2999" s="16"/>
      <c r="C2999" s="17"/>
      <c r="D2999" s="17"/>
      <c r="E2999" s="17"/>
      <c r="F2999" s="17"/>
      <c r="G2999" s="17"/>
      <c r="H2999" s="17"/>
    </row>
    <row r="3000" spans="1:8" x14ac:dyDescent="0.2">
      <c r="A3000" s="16"/>
      <c r="B3000" s="16"/>
      <c r="C3000" s="17"/>
      <c r="D3000" s="17"/>
      <c r="E3000" s="17"/>
      <c r="F3000" s="17"/>
      <c r="G3000" s="17"/>
      <c r="H3000" s="17"/>
    </row>
    <row r="3001" spans="1:8" x14ac:dyDescent="0.2">
      <c r="A3001" s="16"/>
      <c r="B3001" s="16"/>
      <c r="C3001" s="17"/>
      <c r="D3001" s="17"/>
      <c r="E3001" s="17"/>
      <c r="F3001" s="17"/>
      <c r="G3001" s="17"/>
      <c r="H3001" s="17"/>
    </row>
    <row r="3002" spans="1:8" x14ac:dyDescent="0.2">
      <c r="A3002" s="16"/>
      <c r="B3002" s="16"/>
      <c r="C3002" s="17"/>
      <c r="D3002" s="17"/>
      <c r="E3002" s="17"/>
      <c r="F3002" s="17"/>
      <c r="G3002" s="17"/>
      <c r="H3002" s="17"/>
    </row>
    <row r="3003" spans="1:8" x14ac:dyDescent="0.2">
      <c r="A3003" s="16"/>
      <c r="B3003" s="16"/>
      <c r="C3003" s="17"/>
      <c r="D3003" s="17"/>
      <c r="E3003" s="17"/>
      <c r="F3003" s="17"/>
      <c r="G3003" s="17"/>
      <c r="H3003" s="17"/>
    </row>
    <row r="3004" spans="1:8" x14ac:dyDescent="0.2">
      <c r="A3004" s="16"/>
      <c r="B3004" s="16"/>
      <c r="C3004" s="17"/>
      <c r="D3004" s="17"/>
      <c r="E3004" s="17"/>
      <c r="F3004" s="17"/>
      <c r="G3004" s="17"/>
      <c r="H3004" s="17"/>
    </row>
    <row r="3005" spans="1:8" x14ac:dyDescent="0.2">
      <c r="A3005" s="16"/>
      <c r="B3005" s="16"/>
      <c r="C3005" s="17"/>
      <c r="D3005" s="17"/>
      <c r="E3005" s="17"/>
      <c r="F3005" s="17"/>
      <c r="G3005" s="17"/>
      <c r="H3005" s="17"/>
    </row>
    <row r="3006" spans="1:8" x14ac:dyDescent="0.2">
      <c r="A3006" s="16"/>
      <c r="B3006" s="16"/>
      <c r="C3006" s="17"/>
      <c r="D3006" s="17"/>
      <c r="E3006" s="17"/>
      <c r="F3006" s="17"/>
      <c r="G3006" s="17"/>
      <c r="H3006" s="17"/>
    </row>
    <row r="3007" spans="1:8" x14ac:dyDescent="0.2">
      <c r="A3007" s="16"/>
      <c r="B3007" s="16"/>
      <c r="C3007" s="17"/>
      <c r="D3007" s="17"/>
      <c r="E3007" s="17"/>
      <c r="F3007" s="17"/>
      <c r="G3007" s="17"/>
      <c r="H3007" s="17"/>
    </row>
    <row r="3008" spans="1:8" x14ac:dyDescent="0.2">
      <c r="A3008" s="16"/>
      <c r="B3008" s="16"/>
      <c r="C3008" s="17"/>
      <c r="D3008" s="17"/>
      <c r="E3008" s="17"/>
      <c r="F3008" s="17"/>
      <c r="G3008" s="17"/>
      <c r="H3008" s="17"/>
    </row>
    <row r="3009" spans="1:8" x14ac:dyDescent="0.2">
      <c r="A3009" s="16"/>
      <c r="B3009" s="16"/>
      <c r="C3009" s="17"/>
      <c r="D3009" s="17"/>
      <c r="E3009" s="17"/>
      <c r="F3009" s="17"/>
      <c r="G3009" s="17"/>
      <c r="H3009" s="17"/>
    </row>
    <row r="3010" spans="1:8" x14ac:dyDescent="0.2">
      <c r="A3010" s="16"/>
      <c r="B3010" s="16"/>
      <c r="C3010" s="17"/>
      <c r="D3010" s="17"/>
      <c r="E3010" s="17"/>
      <c r="F3010" s="17"/>
      <c r="G3010" s="17"/>
      <c r="H3010" s="17"/>
    </row>
    <row r="3011" spans="1:8" x14ac:dyDescent="0.2">
      <c r="A3011" s="16"/>
      <c r="B3011" s="16"/>
      <c r="C3011" s="17"/>
      <c r="D3011" s="17"/>
      <c r="E3011" s="17"/>
      <c r="F3011" s="17"/>
      <c r="G3011" s="17"/>
      <c r="H3011" s="17"/>
    </row>
    <row r="3012" spans="1:8" x14ac:dyDescent="0.2">
      <c r="A3012" s="16"/>
      <c r="B3012" s="16"/>
      <c r="C3012" s="17"/>
      <c r="D3012" s="17"/>
      <c r="E3012" s="17"/>
      <c r="F3012" s="17"/>
      <c r="G3012" s="17"/>
      <c r="H3012" s="17"/>
    </row>
    <row r="3013" spans="1:8" x14ac:dyDescent="0.2">
      <c r="A3013" s="16"/>
      <c r="B3013" s="16"/>
      <c r="C3013" s="17"/>
      <c r="D3013" s="17"/>
      <c r="E3013" s="17"/>
      <c r="F3013" s="17"/>
      <c r="G3013" s="17"/>
      <c r="H3013" s="17"/>
    </row>
    <row r="3014" spans="1:8" x14ac:dyDescent="0.2">
      <c r="A3014" s="16"/>
      <c r="B3014" s="16"/>
      <c r="C3014" s="17"/>
      <c r="D3014" s="17"/>
      <c r="E3014" s="17"/>
      <c r="F3014" s="17"/>
      <c r="G3014" s="17"/>
      <c r="H3014" s="17"/>
    </row>
    <row r="3015" spans="1:8" x14ac:dyDescent="0.2">
      <c r="A3015" s="16"/>
      <c r="B3015" s="16"/>
      <c r="C3015" s="17"/>
      <c r="D3015" s="17"/>
      <c r="E3015" s="17"/>
      <c r="F3015" s="17"/>
      <c r="G3015" s="17"/>
      <c r="H3015" s="17"/>
    </row>
    <row r="3016" spans="1:8" x14ac:dyDescent="0.2">
      <c r="A3016" s="16"/>
      <c r="B3016" s="16"/>
      <c r="C3016" s="17"/>
      <c r="D3016" s="17"/>
      <c r="E3016" s="17"/>
      <c r="F3016" s="17"/>
      <c r="G3016" s="17"/>
      <c r="H3016" s="17"/>
    </row>
    <row r="3017" spans="1:8" x14ac:dyDescent="0.2">
      <c r="A3017" s="16"/>
      <c r="B3017" s="16"/>
      <c r="C3017" s="17"/>
      <c r="D3017" s="17"/>
      <c r="E3017" s="17"/>
      <c r="F3017" s="17"/>
      <c r="G3017" s="17"/>
      <c r="H3017" s="17"/>
    </row>
    <row r="3018" spans="1:8" x14ac:dyDescent="0.2">
      <c r="A3018" s="16"/>
      <c r="B3018" s="16"/>
      <c r="C3018" s="17"/>
      <c r="D3018" s="17"/>
      <c r="E3018" s="17"/>
      <c r="F3018" s="17"/>
      <c r="G3018" s="17"/>
      <c r="H3018" s="17"/>
    </row>
    <row r="3019" spans="1:8" x14ac:dyDescent="0.2">
      <c r="A3019" s="16"/>
      <c r="B3019" s="16"/>
      <c r="C3019" s="17"/>
      <c r="D3019" s="17"/>
      <c r="E3019" s="17"/>
      <c r="F3019" s="17"/>
      <c r="G3019" s="17"/>
      <c r="H3019" s="17"/>
    </row>
    <row r="3020" spans="1:8" x14ac:dyDescent="0.2">
      <c r="A3020" s="16"/>
      <c r="B3020" s="16"/>
      <c r="C3020" s="17"/>
      <c r="D3020" s="17"/>
      <c r="E3020" s="17"/>
      <c r="F3020" s="17"/>
      <c r="G3020" s="17"/>
      <c r="H3020" s="17"/>
    </row>
    <row r="3021" spans="1:8" x14ac:dyDescent="0.2">
      <c r="A3021" s="16"/>
      <c r="B3021" s="16"/>
      <c r="C3021" s="17"/>
      <c r="D3021" s="17"/>
      <c r="E3021" s="17"/>
      <c r="F3021" s="17"/>
      <c r="G3021" s="17"/>
      <c r="H3021" s="17"/>
    </row>
    <row r="3022" spans="1:8" x14ac:dyDescent="0.2">
      <c r="A3022" s="16"/>
      <c r="B3022" s="16"/>
      <c r="C3022" s="17"/>
      <c r="D3022" s="17"/>
      <c r="E3022" s="17"/>
      <c r="F3022" s="17"/>
      <c r="G3022" s="17"/>
      <c r="H3022" s="17"/>
    </row>
    <row r="3023" spans="1:8" x14ac:dyDescent="0.2">
      <c r="A3023" s="16"/>
      <c r="B3023" s="16"/>
      <c r="C3023" s="17"/>
      <c r="D3023" s="17"/>
      <c r="E3023" s="17"/>
      <c r="F3023" s="17"/>
      <c r="G3023" s="17"/>
      <c r="H3023" s="17"/>
    </row>
    <row r="3024" spans="1:8" x14ac:dyDescent="0.2">
      <c r="A3024" s="16"/>
      <c r="B3024" s="16"/>
      <c r="C3024" s="17"/>
      <c r="D3024" s="17"/>
      <c r="E3024" s="17"/>
      <c r="F3024" s="17"/>
      <c r="G3024" s="17"/>
      <c r="H3024" s="17"/>
    </row>
    <row r="3025" spans="1:8" x14ac:dyDescent="0.2">
      <c r="A3025" s="16"/>
      <c r="B3025" s="16"/>
      <c r="C3025" s="17"/>
      <c r="D3025" s="17"/>
      <c r="E3025" s="17"/>
      <c r="F3025" s="17"/>
      <c r="G3025" s="17"/>
      <c r="H3025" s="17"/>
    </row>
    <row r="3026" spans="1:8" x14ac:dyDescent="0.2">
      <c r="A3026" s="16"/>
      <c r="B3026" s="16"/>
      <c r="C3026" s="17"/>
      <c r="D3026" s="17"/>
      <c r="E3026" s="17"/>
      <c r="F3026" s="17"/>
      <c r="G3026" s="17"/>
      <c r="H3026" s="17"/>
    </row>
    <row r="3027" spans="1:8" x14ac:dyDescent="0.2">
      <c r="A3027" s="16"/>
      <c r="B3027" s="16"/>
      <c r="C3027" s="17"/>
      <c r="D3027" s="17"/>
      <c r="E3027" s="17"/>
      <c r="F3027" s="17"/>
      <c r="G3027" s="17"/>
      <c r="H3027" s="17"/>
    </row>
    <row r="3028" spans="1:8" x14ac:dyDescent="0.2">
      <c r="A3028" s="16"/>
      <c r="B3028" s="16"/>
      <c r="C3028" s="17"/>
      <c r="D3028" s="17"/>
      <c r="E3028" s="17"/>
      <c r="F3028" s="17"/>
      <c r="G3028" s="17"/>
      <c r="H3028" s="17"/>
    </row>
    <row r="3029" spans="1:8" x14ac:dyDescent="0.2">
      <c r="A3029" s="16"/>
      <c r="B3029" s="16"/>
      <c r="C3029" s="17"/>
      <c r="D3029" s="17"/>
      <c r="E3029" s="17"/>
      <c r="F3029" s="17"/>
      <c r="G3029" s="17"/>
      <c r="H3029" s="17"/>
    </row>
    <row r="3030" spans="1:8" x14ac:dyDescent="0.2">
      <c r="A3030" s="16"/>
      <c r="B3030" s="16"/>
      <c r="C3030" s="17"/>
      <c r="D3030" s="17"/>
      <c r="E3030" s="17"/>
      <c r="F3030" s="17"/>
      <c r="G3030" s="17"/>
      <c r="H3030" s="17"/>
    </row>
    <row r="3031" spans="1:8" x14ac:dyDescent="0.2">
      <c r="A3031" s="16"/>
      <c r="B3031" s="16"/>
      <c r="C3031" s="17"/>
      <c r="D3031" s="17"/>
      <c r="E3031" s="17"/>
      <c r="F3031" s="17"/>
      <c r="G3031" s="17"/>
      <c r="H3031" s="17"/>
    </row>
    <row r="3032" spans="1:8" x14ac:dyDescent="0.2">
      <c r="A3032" s="16"/>
      <c r="B3032" s="16"/>
      <c r="C3032" s="17"/>
      <c r="D3032" s="17"/>
      <c r="E3032" s="17"/>
      <c r="F3032" s="17"/>
      <c r="G3032" s="17"/>
      <c r="H3032" s="17"/>
    </row>
    <row r="3033" spans="1:8" x14ac:dyDescent="0.2">
      <c r="A3033" s="16"/>
      <c r="B3033" s="16"/>
      <c r="C3033" s="17"/>
      <c r="D3033" s="17"/>
      <c r="E3033" s="17"/>
      <c r="F3033" s="17"/>
      <c r="G3033" s="17"/>
      <c r="H3033" s="17"/>
    </row>
    <row r="3034" spans="1:8" x14ac:dyDescent="0.2">
      <c r="A3034" s="16"/>
      <c r="B3034" s="16"/>
      <c r="C3034" s="17"/>
      <c r="D3034" s="17"/>
      <c r="E3034" s="17"/>
      <c r="F3034" s="17"/>
      <c r="G3034" s="17"/>
      <c r="H3034" s="17"/>
    </row>
    <row r="3035" spans="1:8" x14ac:dyDescent="0.2">
      <c r="A3035" s="16"/>
      <c r="B3035" s="16"/>
      <c r="C3035" s="17"/>
      <c r="D3035" s="17"/>
      <c r="E3035" s="17"/>
      <c r="F3035" s="17"/>
      <c r="G3035" s="17"/>
      <c r="H3035" s="17"/>
    </row>
    <row r="3036" spans="1:8" x14ac:dyDescent="0.2">
      <c r="A3036" s="16"/>
      <c r="B3036" s="16"/>
      <c r="C3036" s="17"/>
      <c r="D3036" s="17"/>
      <c r="E3036" s="17"/>
      <c r="F3036" s="17"/>
      <c r="G3036" s="17"/>
      <c r="H3036" s="17"/>
    </row>
    <row r="3037" spans="1:8" x14ac:dyDescent="0.2">
      <c r="A3037" s="16"/>
      <c r="B3037" s="16"/>
      <c r="C3037" s="17"/>
      <c r="D3037" s="17"/>
      <c r="E3037" s="17"/>
      <c r="F3037" s="17"/>
      <c r="G3037" s="17"/>
      <c r="H3037" s="17"/>
    </row>
    <row r="3038" spans="1:8" x14ac:dyDescent="0.2">
      <c r="A3038" s="16"/>
      <c r="B3038" s="16"/>
      <c r="C3038" s="17"/>
      <c r="D3038" s="17"/>
      <c r="E3038" s="17"/>
      <c r="F3038" s="17"/>
      <c r="G3038" s="17"/>
      <c r="H3038" s="17"/>
    </row>
    <row r="3039" spans="1:8" x14ac:dyDescent="0.2">
      <c r="A3039" s="16"/>
      <c r="B3039" s="16"/>
      <c r="C3039" s="17"/>
      <c r="D3039" s="17"/>
      <c r="E3039" s="17"/>
      <c r="F3039" s="17"/>
      <c r="G3039" s="17"/>
      <c r="H3039" s="17"/>
    </row>
    <row r="3040" spans="1:8" x14ac:dyDescent="0.2">
      <c r="A3040" s="16"/>
      <c r="B3040" s="16"/>
      <c r="C3040" s="17"/>
      <c r="D3040" s="17"/>
      <c r="E3040" s="17"/>
      <c r="F3040" s="17"/>
      <c r="G3040" s="17"/>
      <c r="H3040" s="17"/>
    </row>
    <row r="3041" spans="1:8" x14ac:dyDescent="0.2">
      <c r="A3041" s="16"/>
      <c r="B3041" s="16"/>
      <c r="C3041" s="17"/>
      <c r="D3041" s="17"/>
      <c r="E3041" s="17"/>
      <c r="F3041" s="17"/>
      <c r="G3041" s="17"/>
      <c r="H3041" s="17"/>
    </row>
    <row r="3042" spans="1:8" x14ac:dyDescent="0.2">
      <c r="A3042" s="16"/>
      <c r="B3042" s="16"/>
      <c r="C3042" s="17"/>
      <c r="D3042" s="17"/>
      <c r="E3042" s="17"/>
      <c r="F3042" s="17"/>
      <c r="G3042" s="17"/>
      <c r="H3042" s="17"/>
    </row>
    <row r="3043" spans="1:8" x14ac:dyDescent="0.2">
      <c r="A3043" s="16"/>
      <c r="B3043" s="16"/>
      <c r="C3043" s="17"/>
      <c r="D3043" s="17"/>
      <c r="E3043" s="17"/>
      <c r="F3043" s="17"/>
      <c r="G3043" s="17"/>
      <c r="H3043" s="17"/>
    </row>
    <row r="3044" spans="1:8" x14ac:dyDescent="0.2">
      <c r="A3044" s="16"/>
      <c r="B3044" s="16"/>
      <c r="C3044" s="17"/>
      <c r="D3044" s="17"/>
      <c r="E3044" s="17"/>
      <c r="F3044" s="17"/>
      <c r="G3044" s="17"/>
      <c r="H3044" s="17"/>
    </row>
    <row r="3045" spans="1:8" x14ac:dyDescent="0.2">
      <c r="A3045" s="16"/>
      <c r="B3045" s="16"/>
      <c r="C3045" s="17"/>
      <c r="D3045" s="17"/>
      <c r="E3045" s="17"/>
      <c r="F3045" s="17"/>
      <c r="G3045" s="17"/>
      <c r="H3045" s="17"/>
    </row>
    <row r="3046" spans="1:8" x14ac:dyDescent="0.2">
      <c r="A3046" s="16"/>
      <c r="B3046" s="16"/>
      <c r="C3046" s="17"/>
      <c r="D3046" s="17"/>
      <c r="E3046" s="17"/>
      <c r="F3046" s="17"/>
      <c r="G3046" s="17"/>
      <c r="H3046" s="17"/>
    </row>
    <row r="3047" spans="1:8" x14ac:dyDescent="0.2">
      <c r="A3047" s="16"/>
      <c r="B3047" s="16"/>
      <c r="C3047" s="17"/>
      <c r="D3047" s="17"/>
      <c r="E3047" s="17"/>
      <c r="F3047" s="17"/>
      <c r="G3047" s="17"/>
      <c r="H3047" s="17"/>
    </row>
    <row r="3048" spans="1:8" x14ac:dyDescent="0.2">
      <c r="A3048" s="16"/>
      <c r="B3048" s="16"/>
      <c r="C3048" s="17"/>
      <c r="D3048" s="17"/>
      <c r="E3048" s="17"/>
      <c r="F3048" s="17"/>
      <c r="G3048" s="17"/>
      <c r="H3048" s="17"/>
    </row>
    <row r="3049" spans="1:8" x14ac:dyDescent="0.2">
      <c r="A3049" s="16"/>
      <c r="B3049" s="16"/>
      <c r="C3049" s="17"/>
      <c r="D3049" s="17"/>
      <c r="E3049" s="17"/>
      <c r="F3049" s="17"/>
      <c r="G3049" s="17"/>
      <c r="H3049" s="17"/>
    </row>
    <row r="3050" spans="1:8" x14ac:dyDescent="0.2">
      <c r="A3050" s="16"/>
      <c r="B3050" s="16"/>
      <c r="C3050" s="17"/>
      <c r="D3050" s="17"/>
      <c r="E3050" s="17"/>
      <c r="F3050" s="17"/>
      <c r="G3050" s="17"/>
      <c r="H3050" s="17"/>
    </row>
    <row r="3051" spans="1:8" x14ac:dyDescent="0.2">
      <c r="A3051" s="16"/>
      <c r="B3051" s="16"/>
      <c r="C3051" s="17"/>
      <c r="D3051" s="17"/>
      <c r="E3051" s="17"/>
      <c r="F3051" s="17"/>
      <c r="G3051" s="17"/>
      <c r="H3051" s="17"/>
    </row>
    <row r="3052" spans="1:8" x14ac:dyDescent="0.2">
      <c r="A3052" s="16"/>
      <c r="B3052" s="16"/>
      <c r="C3052" s="17"/>
      <c r="D3052" s="17"/>
      <c r="E3052" s="17"/>
      <c r="F3052" s="17"/>
      <c r="G3052" s="17"/>
      <c r="H3052" s="17"/>
    </row>
    <row r="3053" spans="1:8" x14ac:dyDescent="0.2">
      <c r="A3053" s="16"/>
      <c r="B3053" s="16"/>
      <c r="C3053" s="17"/>
      <c r="D3053" s="17"/>
      <c r="E3053" s="17"/>
      <c r="F3053" s="17"/>
      <c r="G3053" s="17"/>
      <c r="H3053" s="17"/>
    </row>
    <row r="3054" spans="1:8" x14ac:dyDescent="0.2">
      <c r="A3054" s="16"/>
      <c r="B3054" s="16"/>
      <c r="C3054" s="17"/>
      <c r="D3054" s="17"/>
      <c r="E3054" s="17"/>
      <c r="F3054" s="17"/>
      <c r="G3054" s="17"/>
      <c r="H3054" s="17"/>
    </row>
    <row r="3055" spans="1:8" x14ac:dyDescent="0.2">
      <c r="A3055" s="16"/>
      <c r="B3055" s="16"/>
      <c r="C3055" s="17"/>
      <c r="D3055" s="17"/>
      <c r="E3055" s="17"/>
      <c r="F3055" s="17"/>
      <c r="G3055" s="17"/>
      <c r="H3055" s="17"/>
    </row>
    <row r="3056" spans="1:8" x14ac:dyDescent="0.2">
      <c r="A3056" s="16"/>
      <c r="B3056" s="16"/>
      <c r="C3056" s="17"/>
      <c r="D3056" s="17"/>
      <c r="E3056" s="17"/>
      <c r="F3056" s="17"/>
      <c r="G3056" s="17"/>
      <c r="H3056" s="17"/>
    </row>
    <row r="3057" spans="1:8" x14ac:dyDescent="0.2">
      <c r="A3057" s="16"/>
      <c r="B3057" s="16"/>
      <c r="C3057" s="17"/>
      <c r="D3057" s="17"/>
      <c r="E3057" s="17"/>
      <c r="F3057" s="17"/>
      <c r="G3057" s="17"/>
      <c r="H3057" s="17"/>
    </row>
    <row r="3058" spans="1:8" x14ac:dyDescent="0.2">
      <c r="A3058" s="16"/>
      <c r="B3058" s="16"/>
      <c r="C3058" s="17"/>
      <c r="D3058" s="17"/>
      <c r="E3058" s="17"/>
      <c r="F3058" s="17"/>
      <c r="G3058" s="17"/>
      <c r="H3058" s="17"/>
    </row>
    <row r="3059" spans="1:8" x14ac:dyDescent="0.2">
      <c r="A3059" s="16"/>
      <c r="B3059" s="16"/>
      <c r="C3059" s="17"/>
      <c r="D3059" s="17"/>
      <c r="E3059" s="17"/>
      <c r="F3059" s="17"/>
      <c r="G3059" s="17"/>
      <c r="H3059" s="17"/>
    </row>
    <row r="3060" spans="1:8" x14ac:dyDescent="0.2">
      <c r="A3060" s="16"/>
      <c r="B3060" s="16"/>
      <c r="C3060" s="17"/>
      <c r="D3060" s="17"/>
      <c r="E3060" s="17"/>
      <c r="F3060" s="17"/>
      <c r="G3060" s="17"/>
      <c r="H3060" s="17"/>
    </row>
    <row r="3061" spans="1:8" x14ac:dyDescent="0.2">
      <c r="A3061" s="16"/>
      <c r="B3061" s="16"/>
      <c r="C3061" s="17"/>
      <c r="D3061" s="17"/>
      <c r="E3061" s="17"/>
      <c r="F3061" s="17"/>
      <c r="G3061" s="17"/>
      <c r="H3061" s="17"/>
    </row>
    <row r="3062" spans="1:8" x14ac:dyDescent="0.2">
      <c r="A3062" s="16"/>
      <c r="B3062" s="16"/>
      <c r="C3062" s="17"/>
      <c r="D3062" s="17"/>
      <c r="E3062" s="17"/>
      <c r="F3062" s="17"/>
      <c r="G3062" s="17"/>
      <c r="H3062" s="17"/>
    </row>
    <row r="3063" spans="1:8" x14ac:dyDescent="0.2">
      <c r="A3063" s="16"/>
      <c r="B3063" s="16"/>
      <c r="C3063" s="17"/>
      <c r="D3063" s="17"/>
      <c r="E3063" s="17"/>
      <c r="F3063" s="17"/>
      <c r="G3063" s="17"/>
      <c r="H3063" s="17"/>
    </row>
    <row r="3064" spans="1:8" x14ac:dyDescent="0.2">
      <c r="A3064" s="16"/>
      <c r="B3064" s="16"/>
      <c r="C3064" s="17"/>
      <c r="D3064" s="17"/>
      <c r="E3064" s="17"/>
      <c r="F3064" s="17"/>
      <c r="G3064" s="17"/>
      <c r="H3064" s="17"/>
    </row>
    <row r="3065" spans="1:8" x14ac:dyDescent="0.2">
      <c r="A3065" s="16"/>
      <c r="B3065" s="16"/>
      <c r="C3065" s="17"/>
      <c r="D3065" s="17"/>
      <c r="E3065" s="17"/>
      <c r="F3065" s="17"/>
      <c r="G3065" s="17"/>
      <c r="H3065" s="17"/>
    </row>
    <row r="3066" spans="1:8" x14ac:dyDescent="0.2">
      <c r="A3066" s="16"/>
      <c r="B3066" s="16"/>
      <c r="C3066" s="17"/>
      <c r="D3066" s="17"/>
      <c r="E3066" s="17"/>
      <c r="F3066" s="17"/>
      <c r="G3066" s="17"/>
      <c r="H3066" s="17"/>
    </row>
    <row r="3067" spans="1:8" x14ac:dyDescent="0.2">
      <c r="A3067" s="16"/>
      <c r="B3067" s="16"/>
      <c r="C3067" s="17"/>
      <c r="D3067" s="17"/>
      <c r="E3067" s="17"/>
      <c r="F3067" s="17"/>
      <c r="G3067" s="17"/>
      <c r="H3067" s="17"/>
    </row>
    <row r="3068" spans="1:8" x14ac:dyDescent="0.2">
      <c r="A3068" s="16"/>
      <c r="B3068" s="16"/>
      <c r="C3068" s="17"/>
      <c r="D3068" s="17"/>
      <c r="E3068" s="17"/>
      <c r="F3068" s="17"/>
      <c r="G3068" s="17"/>
      <c r="H3068" s="17"/>
    </row>
    <row r="3069" spans="1:8" x14ac:dyDescent="0.2">
      <c r="A3069" s="16"/>
      <c r="B3069" s="16"/>
      <c r="C3069" s="17"/>
      <c r="D3069" s="17"/>
      <c r="E3069" s="17"/>
      <c r="F3069" s="17"/>
      <c r="G3069" s="17"/>
      <c r="H3069" s="17"/>
    </row>
    <row r="3070" spans="1:8" x14ac:dyDescent="0.2">
      <c r="A3070" s="16"/>
      <c r="B3070" s="16"/>
      <c r="C3070" s="17"/>
      <c r="D3070" s="17"/>
      <c r="E3070" s="17"/>
      <c r="F3070" s="17"/>
      <c r="G3070" s="17"/>
      <c r="H3070" s="17"/>
    </row>
    <row r="3071" spans="1:8" x14ac:dyDescent="0.2">
      <c r="A3071" s="16"/>
      <c r="B3071" s="16"/>
      <c r="C3071" s="17"/>
      <c r="D3071" s="17"/>
      <c r="E3071" s="17"/>
      <c r="F3071" s="17"/>
      <c r="G3071" s="17"/>
      <c r="H3071" s="17"/>
    </row>
    <row r="3072" spans="1:8" x14ac:dyDescent="0.2">
      <c r="A3072" s="16"/>
      <c r="B3072" s="16"/>
      <c r="C3072" s="17"/>
      <c r="D3072" s="17"/>
      <c r="E3072" s="17"/>
      <c r="F3072" s="17"/>
      <c r="G3072" s="17"/>
      <c r="H3072" s="17"/>
    </row>
    <row r="3073" spans="1:8" x14ac:dyDescent="0.2">
      <c r="A3073" s="16"/>
      <c r="B3073" s="16"/>
      <c r="C3073" s="17"/>
      <c r="D3073" s="17"/>
      <c r="E3073" s="17"/>
      <c r="F3073" s="17"/>
      <c r="G3073" s="17"/>
      <c r="H3073" s="17"/>
    </row>
    <row r="3074" spans="1:8" x14ac:dyDescent="0.2">
      <c r="A3074" s="16"/>
      <c r="B3074" s="16"/>
      <c r="C3074" s="17"/>
      <c r="D3074" s="17"/>
      <c r="E3074" s="17"/>
      <c r="F3074" s="17"/>
      <c r="G3074" s="17"/>
      <c r="H3074" s="17"/>
    </row>
    <row r="3075" spans="1:8" x14ac:dyDescent="0.2">
      <c r="A3075" s="16"/>
      <c r="B3075" s="16"/>
      <c r="C3075" s="17"/>
      <c r="D3075" s="17"/>
      <c r="E3075" s="17"/>
      <c r="F3075" s="17"/>
      <c r="G3075" s="17"/>
      <c r="H3075" s="17"/>
    </row>
    <row r="3076" spans="1:8" x14ac:dyDescent="0.2">
      <c r="A3076" s="16"/>
      <c r="B3076" s="16"/>
      <c r="C3076" s="17"/>
      <c r="D3076" s="17"/>
      <c r="E3076" s="17"/>
      <c r="F3076" s="17"/>
      <c r="G3076" s="17"/>
      <c r="H3076" s="17"/>
    </row>
    <row r="3077" spans="1:8" x14ac:dyDescent="0.2">
      <c r="A3077" s="16"/>
      <c r="B3077" s="16"/>
      <c r="C3077" s="17"/>
      <c r="D3077" s="17"/>
      <c r="E3077" s="17"/>
      <c r="F3077" s="17"/>
      <c r="G3077" s="17"/>
      <c r="H3077" s="17"/>
    </row>
    <row r="3078" spans="1:8" x14ac:dyDescent="0.2">
      <c r="A3078" s="16"/>
      <c r="B3078" s="16"/>
      <c r="C3078" s="17"/>
      <c r="D3078" s="17"/>
      <c r="E3078" s="17"/>
      <c r="F3078" s="17"/>
      <c r="G3078" s="17"/>
      <c r="H3078" s="17"/>
    </row>
    <row r="3079" spans="1:8" x14ac:dyDescent="0.2">
      <c r="A3079" s="16"/>
      <c r="B3079" s="16"/>
      <c r="C3079" s="17"/>
      <c r="D3079" s="17"/>
      <c r="E3079" s="17"/>
      <c r="F3079" s="17"/>
      <c r="G3079" s="17"/>
      <c r="H3079" s="17"/>
    </row>
    <row r="3080" spans="1:8" x14ac:dyDescent="0.2">
      <c r="A3080" s="16"/>
      <c r="B3080" s="16"/>
      <c r="C3080" s="17"/>
      <c r="D3080" s="17"/>
      <c r="E3080" s="17"/>
      <c r="F3080" s="17"/>
      <c r="G3080" s="17"/>
      <c r="H3080" s="17"/>
    </row>
    <row r="3081" spans="1:8" x14ac:dyDescent="0.2">
      <c r="A3081" s="16"/>
      <c r="B3081" s="16"/>
      <c r="C3081" s="17"/>
      <c r="D3081" s="17"/>
      <c r="E3081" s="17"/>
      <c r="F3081" s="17"/>
      <c r="G3081" s="17"/>
      <c r="H3081" s="17"/>
    </row>
    <row r="3082" spans="1:8" x14ac:dyDescent="0.2">
      <c r="A3082" s="16"/>
      <c r="B3082" s="16"/>
      <c r="C3082" s="17"/>
      <c r="D3082" s="17"/>
      <c r="E3082" s="17"/>
      <c r="F3082" s="17"/>
      <c r="G3082" s="17"/>
      <c r="H3082" s="17"/>
    </row>
    <row r="3083" spans="1:8" x14ac:dyDescent="0.2">
      <c r="A3083" s="16"/>
      <c r="B3083" s="16"/>
      <c r="C3083" s="17"/>
      <c r="D3083" s="17"/>
      <c r="E3083" s="17"/>
      <c r="F3083" s="17"/>
      <c r="G3083" s="17"/>
      <c r="H3083" s="17"/>
    </row>
    <row r="3084" spans="1:8" x14ac:dyDescent="0.2">
      <c r="A3084" s="16"/>
      <c r="B3084" s="16"/>
      <c r="C3084" s="17"/>
      <c r="D3084" s="17"/>
      <c r="E3084" s="17"/>
      <c r="F3084" s="17"/>
      <c r="G3084" s="17"/>
      <c r="H3084" s="17"/>
    </row>
    <row r="3085" spans="1:8" x14ac:dyDescent="0.2">
      <c r="A3085" s="16"/>
      <c r="B3085" s="16"/>
      <c r="C3085" s="17"/>
      <c r="D3085" s="17"/>
      <c r="E3085" s="17"/>
      <c r="F3085" s="17"/>
      <c r="G3085" s="17"/>
      <c r="H3085" s="17"/>
    </row>
    <row r="3086" spans="1:8" x14ac:dyDescent="0.2">
      <c r="A3086" s="16"/>
      <c r="B3086" s="16"/>
      <c r="C3086" s="17"/>
      <c r="D3086" s="17"/>
      <c r="E3086" s="17"/>
      <c r="F3086" s="17"/>
      <c r="G3086" s="17"/>
      <c r="H3086" s="17"/>
    </row>
    <row r="3087" spans="1:8" x14ac:dyDescent="0.2">
      <c r="A3087" s="16"/>
      <c r="B3087" s="16"/>
      <c r="C3087" s="17"/>
      <c r="D3087" s="17"/>
      <c r="E3087" s="17"/>
      <c r="F3087" s="17"/>
      <c r="G3087" s="17"/>
      <c r="H3087" s="17"/>
    </row>
    <row r="3088" spans="1:8" x14ac:dyDescent="0.2">
      <c r="A3088" s="16"/>
      <c r="B3088" s="16"/>
      <c r="C3088" s="17"/>
      <c r="D3088" s="17"/>
      <c r="E3088" s="17"/>
      <c r="F3088" s="17"/>
      <c r="G3088" s="17"/>
      <c r="H3088" s="17"/>
    </row>
    <row r="3089" spans="1:8" x14ac:dyDescent="0.2">
      <c r="A3089" s="16"/>
      <c r="B3089" s="16"/>
      <c r="C3089" s="17"/>
      <c r="D3089" s="17"/>
      <c r="E3089" s="17"/>
      <c r="F3089" s="17"/>
      <c r="G3089" s="17"/>
      <c r="H3089" s="17"/>
    </row>
    <row r="3090" spans="1:8" x14ac:dyDescent="0.2">
      <c r="A3090" s="16"/>
      <c r="B3090" s="16"/>
      <c r="C3090" s="17"/>
      <c r="D3090" s="17"/>
      <c r="E3090" s="17"/>
      <c r="F3090" s="17"/>
      <c r="G3090" s="17"/>
      <c r="H3090" s="17"/>
    </row>
    <row r="3091" spans="1:8" x14ac:dyDescent="0.2">
      <c r="A3091" s="16"/>
      <c r="B3091" s="16"/>
      <c r="C3091" s="17"/>
      <c r="D3091" s="17"/>
      <c r="E3091" s="17"/>
      <c r="F3091" s="17"/>
      <c r="G3091" s="17"/>
      <c r="H3091" s="17"/>
    </row>
    <row r="3092" spans="1:8" x14ac:dyDescent="0.2">
      <c r="A3092" s="16"/>
      <c r="B3092" s="16"/>
      <c r="C3092" s="17"/>
      <c r="D3092" s="17"/>
      <c r="E3092" s="17"/>
      <c r="F3092" s="17"/>
      <c r="G3092" s="17"/>
      <c r="H3092" s="17"/>
    </row>
    <row r="3093" spans="1:8" x14ac:dyDescent="0.2">
      <c r="A3093" s="16"/>
      <c r="B3093" s="16"/>
      <c r="C3093" s="17"/>
      <c r="D3093" s="17"/>
      <c r="E3093" s="17"/>
      <c r="F3093" s="17"/>
      <c r="G3093" s="17"/>
      <c r="H3093" s="17"/>
    </row>
    <row r="3094" spans="1:8" x14ac:dyDescent="0.2">
      <c r="A3094" s="16"/>
      <c r="B3094" s="16"/>
      <c r="C3094" s="17"/>
      <c r="D3094" s="17"/>
      <c r="E3094" s="17"/>
      <c r="F3094" s="17"/>
      <c r="G3094" s="17"/>
      <c r="H3094" s="17"/>
    </row>
    <row r="3095" spans="1:8" x14ac:dyDescent="0.2">
      <c r="A3095" s="16"/>
      <c r="B3095" s="16"/>
      <c r="C3095" s="17"/>
      <c r="D3095" s="17"/>
      <c r="E3095" s="17"/>
      <c r="F3095" s="17"/>
      <c r="G3095" s="17"/>
      <c r="H3095" s="17"/>
    </row>
    <row r="3096" spans="1:8" x14ac:dyDescent="0.2">
      <c r="A3096" s="16"/>
      <c r="B3096" s="16"/>
      <c r="C3096" s="17"/>
      <c r="D3096" s="17"/>
      <c r="E3096" s="17"/>
      <c r="F3096" s="17"/>
      <c r="G3096" s="17"/>
      <c r="H3096" s="17"/>
    </row>
    <row r="3097" spans="1:8" x14ac:dyDescent="0.2">
      <c r="A3097" s="16"/>
      <c r="B3097" s="16"/>
      <c r="C3097" s="17"/>
      <c r="D3097" s="17"/>
      <c r="E3097" s="17"/>
      <c r="F3097" s="17"/>
      <c r="G3097" s="17"/>
      <c r="H3097" s="17"/>
    </row>
    <row r="3098" spans="1:8" x14ac:dyDescent="0.2">
      <c r="A3098" s="16"/>
      <c r="B3098" s="16"/>
      <c r="C3098" s="17"/>
      <c r="D3098" s="17"/>
      <c r="E3098" s="17"/>
      <c r="F3098" s="17"/>
      <c r="G3098" s="17"/>
      <c r="H3098" s="17"/>
    </row>
    <row r="3099" spans="1:8" x14ac:dyDescent="0.2">
      <c r="A3099" s="16"/>
      <c r="B3099" s="16"/>
      <c r="C3099" s="17"/>
      <c r="D3099" s="17"/>
      <c r="E3099" s="17"/>
      <c r="F3099" s="17"/>
      <c r="G3099" s="17"/>
      <c r="H3099" s="17"/>
    </row>
    <row r="3100" spans="1:8" x14ac:dyDescent="0.2">
      <c r="A3100" s="16"/>
      <c r="B3100" s="16"/>
      <c r="C3100" s="17"/>
      <c r="D3100" s="17"/>
      <c r="E3100" s="17"/>
      <c r="F3100" s="17"/>
      <c r="G3100" s="17"/>
      <c r="H3100" s="17"/>
    </row>
    <row r="3101" spans="1:8" x14ac:dyDescent="0.2">
      <c r="A3101" s="16"/>
      <c r="B3101" s="16"/>
      <c r="C3101" s="17"/>
      <c r="D3101" s="17"/>
      <c r="E3101" s="17"/>
      <c r="F3101" s="17"/>
      <c r="G3101" s="17"/>
      <c r="H3101" s="17"/>
    </row>
    <row r="3102" spans="1:8" x14ac:dyDescent="0.2">
      <c r="A3102" s="16"/>
      <c r="B3102" s="16"/>
      <c r="C3102" s="17"/>
      <c r="D3102" s="17"/>
      <c r="E3102" s="17"/>
      <c r="F3102" s="17"/>
      <c r="G3102" s="17"/>
      <c r="H3102" s="17"/>
    </row>
    <row r="3103" spans="1:8" x14ac:dyDescent="0.2">
      <c r="A3103" s="16"/>
      <c r="B3103" s="16"/>
      <c r="C3103" s="17"/>
      <c r="D3103" s="17"/>
      <c r="E3103" s="17"/>
      <c r="F3103" s="17"/>
      <c r="G3103" s="17"/>
      <c r="H3103" s="17"/>
    </row>
    <row r="3104" spans="1:8" x14ac:dyDescent="0.2">
      <c r="A3104" s="16"/>
      <c r="B3104" s="16"/>
      <c r="C3104" s="17"/>
      <c r="D3104" s="17"/>
      <c r="E3104" s="17"/>
      <c r="F3104" s="17"/>
      <c r="G3104" s="17"/>
      <c r="H3104" s="17"/>
    </row>
    <row r="3105" spans="1:8" x14ac:dyDescent="0.2">
      <c r="A3105" s="16"/>
      <c r="B3105" s="16"/>
      <c r="C3105" s="17"/>
      <c r="D3105" s="17"/>
      <c r="E3105" s="17"/>
      <c r="F3105" s="17"/>
      <c r="G3105" s="17"/>
      <c r="H3105" s="17"/>
    </row>
    <row r="3106" spans="1:8" x14ac:dyDescent="0.2">
      <c r="A3106" s="16"/>
      <c r="B3106" s="16"/>
      <c r="C3106" s="17"/>
      <c r="D3106" s="17"/>
      <c r="E3106" s="17"/>
      <c r="F3106" s="17"/>
      <c r="G3106" s="17"/>
      <c r="H3106" s="17"/>
    </row>
    <row r="3107" spans="1:8" x14ac:dyDescent="0.2">
      <c r="A3107" s="16"/>
      <c r="B3107" s="16"/>
      <c r="C3107" s="17"/>
      <c r="D3107" s="17"/>
      <c r="E3107" s="17"/>
      <c r="F3107" s="17"/>
      <c r="G3107" s="17"/>
      <c r="H3107" s="17"/>
    </row>
    <row r="3108" spans="1:8" x14ac:dyDescent="0.2">
      <c r="A3108" s="16"/>
      <c r="B3108" s="16"/>
      <c r="C3108" s="17"/>
      <c r="D3108" s="17"/>
      <c r="E3108" s="17"/>
      <c r="F3108" s="17"/>
      <c r="G3108" s="17"/>
      <c r="H3108" s="17"/>
    </row>
    <row r="3109" spans="1:8" x14ac:dyDescent="0.2">
      <c r="A3109" s="16"/>
      <c r="B3109" s="16"/>
      <c r="C3109" s="17"/>
      <c r="D3109" s="17"/>
      <c r="E3109" s="17"/>
      <c r="F3109" s="17"/>
      <c r="G3109" s="17"/>
      <c r="H3109" s="17"/>
    </row>
    <row r="3110" spans="1:8" x14ac:dyDescent="0.2">
      <c r="A3110" s="16"/>
      <c r="B3110" s="16"/>
      <c r="C3110" s="17"/>
      <c r="D3110" s="17"/>
      <c r="E3110" s="17"/>
      <c r="F3110" s="17"/>
      <c r="G3110" s="17"/>
      <c r="H3110" s="17"/>
    </row>
    <row r="3111" spans="1:8" x14ac:dyDescent="0.2">
      <c r="A3111" s="16"/>
      <c r="B3111" s="16"/>
      <c r="C3111" s="17"/>
      <c r="D3111" s="17"/>
      <c r="E3111" s="17"/>
      <c r="F3111" s="17"/>
      <c r="G3111" s="17"/>
      <c r="H3111" s="17"/>
    </row>
    <row r="3112" spans="1:8" x14ac:dyDescent="0.2">
      <c r="A3112" s="16"/>
      <c r="B3112" s="16"/>
      <c r="C3112" s="17"/>
      <c r="D3112" s="17"/>
      <c r="E3112" s="17"/>
      <c r="F3112" s="17"/>
      <c r="G3112" s="17"/>
      <c r="H3112" s="17"/>
    </row>
    <row r="3113" spans="1:8" x14ac:dyDescent="0.2">
      <c r="A3113" s="16"/>
      <c r="B3113" s="16"/>
      <c r="C3113" s="17"/>
      <c r="D3113" s="17"/>
      <c r="E3113" s="17"/>
      <c r="F3113" s="17"/>
      <c r="G3113" s="17"/>
      <c r="H3113" s="17"/>
    </row>
    <row r="3114" spans="1:8" x14ac:dyDescent="0.2">
      <c r="A3114" s="16"/>
      <c r="B3114" s="16"/>
      <c r="C3114" s="17"/>
      <c r="D3114" s="17"/>
      <c r="E3114" s="17"/>
      <c r="F3114" s="17"/>
      <c r="G3114" s="17"/>
      <c r="H3114" s="17"/>
    </row>
    <row r="3115" spans="1:8" x14ac:dyDescent="0.2">
      <c r="A3115" s="16"/>
      <c r="B3115" s="16"/>
      <c r="C3115" s="17"/>
      <c r="D3115" s="17"/>
      <c r="E3115" s="17"/>
      <c r="F3115" s="17"/>
      <c r="G3115" s="17"/>
      <c r="H3115" s="17"/>
    </row>
    <row r="3116" spans="1:8" x14ac:dyDescent="0.2">
      <c r="A3116" s="16"/>
      <c r="B3116" s="16"/>
      <c r="C3116" s="17"/>
      <c r="D3116" s="17"/>
      <c r="E3116" s="17"/>
      <c r="F3116" s="17"/>
      <c r="G3116" s="17"/>
      <c r="H3116" s="17"/>
    </row>
    <row r="3117" spans="1:8" x14ac:dyDescent="0.2">
      <c r="A3117" s="16"/>
      <c r="B3117" s="16"/>
      <c r="C3117" s="17"/>
      <c r="D3117" s="17"/>
      <c r="E3117" s="17"/>
      <c r="F3117" s="17"/>
      <c r="G3117" s="17"/>
      <c r="H3117" s="17"/>
    </row>
    <row r="3118" spans="1:8" x14ac:dyDescent="0.2">
      <c r="A3118" s="16"/>
      <c r="B3118" s="16"/>
      <c r="C3118" s="17"/>
      <c r="D3118" s="17"/>
      <c r="E3118" s="17"/>
      <c r="F3118" s="17"/>
      <c r="G3118" s="17"/>
      <c r="H3118" s="17"/>
    </row>
    <row r="3119" spans="1:8" x14ac:dyDescent="0.2">
      <c r="A3119" s="16"/>
      <c r="B3119" s="16"/>
      <c r="C3119" s="17"/>
      <c r="D3119" s="17"/>
      <c r="E3119" s="17"/>
      <c r="F3119" s="17"/>
      <c r="G3119" s="17"/>
      <c r="H3119" s="17"/>
    </row>
    <row r="3120" spans="1:8" x14ac:dyDescent="0.2">
      <c r="A3120" s="16"/>
      <c r="B3120" s="16"/>
      <c r="C3120" s="17"/>
      <c r="D3120" s="17"/>
      <c r="E3120" s="17"/>
      <c r="F3120" s="17"/>
      <c r="G3120" s="17"/>
      <c r="H3120" s="17"/>
    </row>
    <row r="3121" spans="1:8" x14ac:dyDescent="0.2">
      <c r="A3121" s="16"/>
      <c r="B3121" s="16"/>
      <c r="C3121" s="17"/>
      <c r="D3121" s="17"/>
      <c r="E3121" s="17"/>
      <c r="F3121" s="17"/>
      <c r="G3121" s="17"/>
      <c r="H3121" s="17"/>
    </row>
    <row r="3122" spans="1:8" x14ac:dyDescent="0.2">
      <c r="A3122" s="16"/>
      <c r="B3122" s="16"/>
      <c r="C3122" s="17"/>
      <c r="D3122" s="17"/>
      <c r="E3122" s="17"/>
      <c r="F3122" s="17"/>
      <c r="G3122" s="17"/>
      <c r="H3122" s="17"/>
    </row>
    <row r="3123" spans="1:8" x14ac:dyDescent="0.2">
      <c r="A3123" s="16"/>
      <c r="B3123" s="16"/>
      <c r="C3123" s="17"/>
      <c r="D3123" s="17"/>
      <c r="E3123" s="17"/>
      <c r="F3123" s="17"/>
      <c r="G3123" s="17"/>
      <c r="H3123" s="17"/>
    </row>
    <row r="3124" spans="1:8" x14ac:dyDescent="0.2">
      <c r="A3124" s="16"/>
      <c r="B3124" s="16"/>
      <c r="C3124" s="17"/>
      <c r="D3124" s="17"/>
      <c r="E3124" s="17"/>
      <c r="F3124" s="17"/>
      <c r="G3124" s="17"/>
      <c r="H3124" s="17"/>
    </row>
    <row r="3125" spans="1:8" x14ac:dyDescent="0.2">
      <c r="A3125" s="16"/>
      <c r="B3125" s="16"/>
      <c r="C3125" s="17"/>
      <c r="D3125" s="17"/>
      <c r="E3125" s="17"/>
      <c r="F3125" s="17"/>
      <c r="G3125" s="17"/>
      <c r="H3125" s="17"/>
    </row>
    <row r="3126" spans="1:8" x14ac:dyDescent="0.2">
      <c r="A3126" s="16"/>
      <c r="B3126" s="16"/>
      <c r="C3126" s="17"/>
      <c r="D3126" s="17"/>
      <c r="E3126" s="17"/>
      <c r="F3126" s="17"/>
      <c r="G3126" s="17"/>
      <c r="H3126" s="17"/>
    </row>
    <row r="3127" spans="1:8" x14ac:dyDescent="0.2">
      <c r="A3127" s="16"/>
      <c r="B3127" s="16"/>
      <c r="C3127" s="17"/>
      <c r="D3127" s="17"/>
      <c r="E3127" s="17"/>
      <c r="F3127" s="17"/>
      <c r="G3127" s="17"/>
      <c r="H3127" s="17"/>
    </row>
    <row r="3128" spans="1:8" x14ac:dyDescent="0.2">
      <c r="A3128" s="16"/>
      <c r="B3128" s="16"/>
      <c r="C3128" s="17"/>
      <c r="D3128" s="17"/>
      <c r="E3128" s="17"/>
      <c r="F3128" s="17"/>
      <c r="G3128" s="17"/>
      <c r="H3128" s="17"/>
    </row>
    <row r="3129" spans="1:8" x14ac:dyDescent="0.2">
      <c r="A3129" s="16"/>
      <c r="B3129" s="16"/>
      <c r="C3129" s="17"/>
      <c r="D3129" s="17"/>
      <c r="E3129" s="17"/>
      <c r="F3129" s="17"/>
      <c r="G3129" s="17"/>
      <c r="H3129" s="17"/>
    </row>
    <row r="3130" spans="1:8" x14ac:dyDescent="0.2">
      <c r="A3130" s="16"/>
      <c r="B3130" s="16"/>
      <c r="C3130" s="17"/>
      <c r="D3130" s="17"/>
      <c r="E3130" s="17"/>
      <c r="F3130" s="17"/>
      <c r="G3130" s="17"/>
      <c r="H3130" s="17"/>
    </row>
    <row r="3131" spans="1:8" x14ac:dyDescent="0.2">
      <c r="A3131" s="16"/>
      <c r="B3131" s="16"/>
      <c r="C3131" s="17"/>
      <c r="D3131" s="17"/>
      <c r="E3131" s="17"/>
      <c r="F3131" s="17"/>
      <c r="G3131" s="17"/>
      <c r="H3131" s="17"/>
    </row>
    <row r="3132" spans="1:8" x14ac:dyDescent="0.2">
      <c r="A3132" s="16"/>
      <c r="B3132" s="16"/>
      <c r="C3132" s="17"/>
      <c r="D3132" s="17"/>
      <c r="E3132" s="17"/>
      <c r="F3132" s="17"/>
      <c r="G3132" s="17"/>
      <c r="H3132" s="17"/>
    </row>
    <row r="3133" spans="1:8" x14ac:dyDescent="0.2">
      <c r="A3133" s="16"/>
      <c r="B3133" s="16"/>
      <c r="C3133" s="17"/>
      <c r="D3133" s="17"/>
      <c r="E3133" s="17"/>
      <c r="F3133" s="17"/>
      <c r="G3133" s="17"/>
      <c r="H3133" s="17"/>
    </row>
    <row r="3134" spans="1:8" x14ac:dyDescent="0.2">
      <c r="A3134" s="16"/>
      <c r="B3134" s="16"/>
      <c r="C3134" s="17"/>
      <c r="D3134" s="17"/>
      <c r="E3134" s="17"/>
      <c r="F3134" s="17"/>
      <c r="G3134" s="17"/>
      <c r="H3134" s="17"/>
    </row>
    <row r="3135" spans="1:8" x14ac:dyDescent="0.2">
      <c r="A3135" s="16"/>
      <c r="B3135" s="16"/>
      <c r="C3135" s="17"/>
      <c r="D3135" s="17"/>
      <c r="E3135" s="17"/>
      <c r="F3135" s="17"/>
      <c r="G3135" s="17"/>
      <c r="H3135" s="17"/>
    </row>
    <row r="3136" spans="1:8" x14ac:dyDescent="0.2">
      <c r="A3136" s="16"/>
      <c r="B3136" s="16"/>
      <c r="C3136" s="17"/>
      <c r="D3136" s="17"/>
      <c r="E3136" s="17"/>
      <c r="F3136" s="17"/>
      <c r="G3136" s="17"/>
      <c r="H3136" s="17"/>
    </row>
    <row r="3137" spans="1:8" x14ac:dyDescent="0.2">
      <c r="A3137" s="16"/>
      <c r="B3137" s="16"/>
      <c r="C3137" s="17"/>
      <c r="D3137" s="17"/>
      <c r="E3137" s="17"/>
      <c r="F3137" s="17"/>
      <c r="G3137" s="17"/>
      <c r="H3137" s="17"/>
    </row>
    <row r="3138" spans="1:8" x14ac:dyDescent="0.2">
      <c r="A3138" s="16"/>
      <c r="B3138" s="16"/>
      <c r="C3138" s="17"/>
      <c r="D3138" s="17"/>
      <c r="E3138" s="17"/>
      <c r="F3138" s="17"/>
      <c r="G3138" s="17"/>
      <c r="H3138" s="17"/>
    </row>
    <row r="3139" spans="1:8" x14ac:dyDescent="0.2">
      <c r="A3139" s="16"/>
      <c r="B3139" s="16"/>
      <c r="C3139" s="17"/>
      <c r="D3139" s="17"/>
      <c r="E3139" s="17"/>
      <c r="F3139" s="17"/>
      <c r="G3139" s="17"/>
      <c r="H3139" s="17"/>
    </row>
    <row r="3140" spans="1:8" x14ac:dyDescent="0.2">
      <c r="A3140" s="16"/>
      <c r="B3140" s="16"/>
      <c r="C3140" s="17"/>
      <c r="D3140" s="17"/>
      <c r="E3140" s="17"/>
      <c r="F3140" s="17"/>
      <c r="G3140" s="17"/>
      <c r="H3140" s="17"/>
    </row>
    <row r="3141" spans="1:8" x14ac:dyDescent="0.2">
      <c r="A3141" s="16"/>
      <c r="B3141" s="16"/>
      <c r="C3141" s="17"/>
      <c r="D3141" s="17"/>
      <c r="E3141" s="17"/>
      <c r="F3141" s="17"/>
      <c r="G3141" s="17"/>
      <c r="H3141" s="17"/>
    </row>
    <row r="3142" spans="1:8" x14ac:dyDescent="0.2">
      <c r="A3142" s="16"/>
      <c r="B3142" s="16"/>
      <c r="C3142" s="17"/>
      <c r="D3142" s="17"/>
      <c r="E3142" s="17"/>
      <c r="F3142" s="17"/>
      <c r="G3142" s="17"/>
      <c r="H3142" s="17"/>
    </row>
    <row r="3143" spans="1:8" x14ac:dyDescent="0.2">
      <c r="A3143" s="16"/>
      <c r="B3143" s="16"/>
      <c r="C3143" s="17"/>
      <c r="D3143" s="17"/>
      <c r="E3143" s="17"/>
      <c r="F3143" s="17"/>
      <c r="G3143" s="17"/>
      <c r="H3143" s="17"/>
    </row>
    <row r="3144" spans="1:8" x14ac:dyDescent="0.2">
      <c r="A3144" s="16"/>
      <c r="B3144" s="16"/>
      <c r="C3144" s="17"/>
      <c r="D3144" s="17"/>
      <c r="E3144" s="17"/>
      <c r="F3144" s="17"/>
      <c r="G3144" s="17"/>
      <c r="H3144" s="17"/>
    </row>
    <row r="3145" spans="1:8" x14ac:dyDescent="0.2">
      <c r="A3145" s="16"/>
      <c r="B3145" s="16"/>
      <c r="C3145" s="17"/>
      <c r="D3145" s="17"/>
      <c r="E3145" s="17"/>
      <c r="F3145" s="17"/>
      <c r="G3145" s="17"/>
      <c r="H3145" s="17"/>
    </row>
    <row r="3146" spans="1:8" x14ac:dyDescent="0.2">
      <c r="A3146" s="16"/>
      <c r="B3146" s="16"/>
      <c r="C3146" s="17"/>
      <c r="D3146" s="17"/>
      <c r="E3146" s="17"/>
      <c r="F3146" s="17"/>
      <c r="G3146" s="17"/>
      <c r="H3146" s="17"/>
    </row>
    <row r="3147" spans="1:8" x14ac:dyDescent="0.2">
      <c r="A3147" s="16"/>
      <c r="B3147" s="16"/>
      <c r="C3147" s="17"/>
      <c r="D3147" s="17"/>
      <c r="E3147" s="17"/>
      <c r="F3147" s="17"/>
      <c r="G3147" s="17"/>
      <c r="H3147" s="17"/>
    </row>
    <row r="3148" spans="1:8" x14ac:dyDescent="0.2">
      <c r="A3148" s="16"/>
      <c r="B3148" s="16"/>
      <c r="C3148" s="17"/>
      <c r="D3148" s="17"/>
      <c r="E3148" s="17"/>
      <c r="F3148" s="17"/>
      <c r="G3148" s="17"/>
      <c r="H3148" s="17"/>
    </row>
    <row r="3149" spans="1:8" x14ac:dyDescent="0.2">
      <c r="A3149" s="16"/>
      <c r="B3149" s="16"/>
      <c r="C3149" s="17"/>
      <c r="D3149" s="17"/>
      <c r="E3149" s="17"/>
      <c r="F3149" s="17"/>
      <c r="G3149" s="17"/>
      <c r="H3149" s="17"/>
    </row>
    <row r="3150" spans="1:8" x14ac:dyDescent="0.2">
      <c r="A3150" s="16"/>
      <c r="B3150" s="16"/>
      <c r="C3150" s="17"/>
      <c r="D3150" s="17"/>
      <c r="E3150" s="17"/>
      <c r="F3150" s="17"/>
      <c r="G3150" s="17"/>
      <c r="H3150" s="17"/>
    </row>
    <row r="3151" spans="1:8" x14ac:dyDescent="0.2">
      <c r="A3151" s="16"/>
      <c r="B3151" s="16"/>
      <c r="C3151" s="17"/>
      <c r="D3151" s="17"/>
      <c r="E3151" s="17"/>
      <c r="F3151" s="17"/>
      <c r="G3151" s="17"/>
      <c r="H3151" s="17"/>
    </row>
    <row r="3152" spans="1:8" x14ac:dyDescent="0.2">
      <c r="A3152" s="16"/>
      <c r="B3152" s="16"/>
      <c r="C3152" s="17"/>
      <c r="D3152" s="17"/>
      <c r="E3152" s="17"/>
      <c r="F3152" s="17"/>
      <c r="G3152" s="17"/>
      <c r="H3152" s="17"/>
    </row>
    <row r="3153" spans="1:8" x14ac:dyDescent="0.2">
      <c r="A3153" s="16"/>
      <c r="B3153" s="16"/>
      <c r="C3153" s="17"/>
      <c r="D3153" s="17"/>
      <c r="E3153" s="17"/>
      <c r="F3153" s="17"/>
      <c r="G3153" s="17"/>
      <c r="H3153" s="17"/>
    </row>
    <row r="3154" spans="1:8" x14ac:dyDescent="0.2">
      <c r="A3154" s="16"/>
      <c r="B3154" s="16"/>
      <c r="C3154" s="17"/>
      <c r="D3154" s="17"/>
      <c r="E3154" s="17"/>
      <c r="F3154" s="17"/>
      <c r="G3154" s="17"/>
      <c r="H3154" s="17"/>
    </row>
    <row r="3155" spans="1:8" x14ac:dyDescent="0.2">
      <c r="A3155" s="16"/>
      <c r="B3155" s="16"/>
      <c r="C3155" s="17"/>
      <c r="D3155" s="17"/>
      <c r="E3155" s="17"/>
      <c r="F3155" s="17"/>
      <c r="G3155" s="17"/>
      <c r="H3155" s="17"/>
    </row>
    <row r="3156" spans="1:8" x14ac:dyDescent="0.2">
      <c r="A3156" s="16"/>
      <c r="B3156" s="16"/>
      <c r="C3156" s="17"/>
      <c r="D3156" s="17"/>
      <c r="E3156" s="17"/>
      <c r="F3156" s="17"/>
      <c r="G3156" s="17"/>
      <c r="H3156" s="17"/>
    </row>
    <row r="3157" spans="1:8" x14ac:dyDescent="0.2">
      <c r="A3157" s="16"/>
      <c r="B3157" s="16"/>
      <c r="C3157" s="17"/>
      <c r="D3157" s="17"/>
      <c r="E3157" s="17"/>
      <c r="F3157" s="17"/>
      <c r="G3157" s="17"/>
      <c r="H3157" s="17"/>
    </row>
    <row r="3158" spans="1:8" x14ac:dyDescent="0.2">
      <c r="A3158" s="16"/>
      <c r="B3158" s="16"/>
      <c r="C3158" s="17"/>
      <c r="D3158" s="17"/>
      <c r="E3158" s="17"/>
      <c r="F3158" s="17"/>
      <c r="G3158" s="17"/>
      <c r="H3158" s="17"/>
    </row>
    <row r="3159" spans="1:8" x14ac:dyDescent="0.2">
      <c r="A3159" s="16"/>
      <c r="B3159" s="16"/>
      <c r="C3159" s="17"/>
      <c r="D3159" s="17"/>
      <c r="E3159" s="17"/>
      <c r="F3159" s="17"/>
      <c r="G3159" s="17"/>
      <c r="H3159" s="17"/>
    </row>
    <row r="3160" spans="1:8" x14ac:dyDescent="0.2">
      <c r="A3160" s="16"/>
      <c r="B3160" s="16"/>
      <c r="C3160" s="17"/>
      <c r="D3160" s="17"/>
      <c r="E3160" s="17"/>
      <c r="F3160" s="17"/>
      <c r="G3160" s="17"/>
      <c r="H3160" s="17"/>
    </row>
    <row r="3161" spans="1:8" x14ac:dyDescent="0.2">
      <c r="A3161" s="16"/>
      <c r="B3161" s="16"/>
      <c r="C3161" s="17"/>
      <c r="D3161" s="17"/>
      <c r="E3161" s="17"/>
      <c r="F3161" s="17"/>
      <c r="G3161" s="17"/>
      <c r="H3161" s="17"/>
    </row>
    <row r="3162" spans="1:8" x14ac:dyDescent="0.2">
      <c r="A3162" s="16"/>
      <c r="B3162" s="16"/>
      <c r="C3162" s="17"/>
      <c r="D3162" s="17"/>
      <c r="E3162" s="17"/>
      <c r="F3162" s="17"/>
      <c r="G3162" s="17"/>
      <c r="H3162" s="17"/>
    </row>
    <row r="3163" spans="1:8" x14ac:dyDescent="0.2">
      <c r="A3163" s="16"/>
      <c r="B3163" s="16"/>
      <c r="C3163" s="17"/>
      <c r="D3163" s="17"/>
      <c r="E3163" s="17"/>
      <c r="F3163" s="17"/>
      <c r="G3163" s="17"/>
      <c r="H3163" s="17"/>
    </row>
    <row r="3164" spans="1:8" x14ac:dyDescent="0.2">
      <c r="A3164" s="16"/>
      <c r="B3164" s="16"/>
      <c r="C3164" s="17"/>
      <c r="D3164" s="17"/>
      <c r="E3164" s="17"/>
      <c r="F3164" s="17"/>
      <c r="G3164" s="17"/>
      <c r="H3164" s="17"/>
    </row>
    <row r="3165" spans="1:8" x14ac:dyDescent="0.2">
      <c r="A3165" s="16"/>
      <c r="B3165" s="16"/>
      <c r="C3165" s="17"/>
      <c r="D3165" s="17"/>
      <c r="E3165" s="17"/>
      <c r="F3165" s="17"/>
      <c r="G3165" s="17"/>
      <c r="H3165" s="17"/>
    </row>
    <row r="3166" spans="1:8" x14ac:dyDescent="0.2">
      <c r="A3166" s="16"/>
      <c r="B3166" s="16"/>
      <c r="C3166" s="17"/>
      <c r="D3166" s="17"/>
      <c r="E3166" s="17"/>
      <c r="F3166" s="17"/>
      <c r="G3166" s="17"/>
      <c r="H3166" s="17"/>
    </row>
    <row r="3167" spans="1:8" x14ac:dyDescent="0.2">
      <c r="A3167" s="16"/>
      <c r="B3167" s="16"/>
      <c r="C3167" s="17"/>
      <c r="D3167" s="17"/>
      <c r="E3167" s="17"/>
      <c r="F3167" s="17"/>
      <c r="G3167" s="17"/>
      <c r="H3167" s="17"/>
    </row>
    <row r="3168" spans="1:8" x14ac:dyDescent="0.2">
      <c r="A3168" s="16"/>
      <c r="B3168" s="16"/>
      <c r="C3168" s="17"/>
      <c r="D3168" s="17"/>
      <c r="E3168" s="17"/>
      <c r="F3168" s="17"/>
      <c r="G3168" s="17"/>
      <c r="H3168" s="17"/>
    </row>
    <row r="3169" spans="1:8" x14ac:dyDescent="0.2">
      <c r="A3169" s="16"/>
      <c r="B3169" s="16"/>
      <c r="C3169" s="17"/>
      <c r="D3169" s="17"/>
      <c r="E3169" s="17"/>
      <c r="F3169" s="17"/>
      <c r="G3169" s="17"/>
      <c r="H3169" s="17"/>
    </row>
    <row r="3170" spans="1:8" x14ac:dyDescent="0.2">
      <c r="A3170" s="16"/>
      <c r="B3170" s="16"/>
      <c r="C3170" s="17"/>
      <c r="D3170" s="17"/>
      <c r="E3170" s="17"/>
      <c r="F3170" s="17"/>
      <c r="G3170" s="17"/>
      <c r="H3170" s="17"/>
    </row>
    <row r="3171" spans="1:8" x14ac:dyDescent="0.2">
      <c r="A3171" s="16"/>
      <c r="B3171" s="16"/>
      <c r="C3171" s="17"/>
      <c r="D3171" s="17"/>
      <c r="E3171" s="17"/>
      <c r="F3171" s="17"/>
      <c r="G3171" s="17"/>
      <c r="H3171" s="17"/>
    </row>
    <row r="3172" spans="1:8" x14ac:dyDescent="0.2">
      <c r="A3172" s="16"/>
      <c r="B3172" s="16"/>
      <c r="C3172" s="17"/>
      <c r="D3172" s="17"/>
      <c r="E3172" s="17"/>
      <c r="F3172" s="17"/>
      <c r="G3172" s="17"/>
      <c r="H3172" s="17"/>
    </row>
    <row r="3173" spans="1:8" x14ac:dyDescent="0.2">
      <c r="A3173" s="16"/>
      <c r="B3173" s="16"/>
      <c r="C3173" s="17"/>
      <c r="D3173" s="17"/>
      <c r="E3173" s="17"/>
      <c r="F3173" s="17"/>
      <c r="G3173" s="17"/>
      <c r="H3173" s="17"/>
    </row>
    <row r="3174" spans="1:8" x14ac:dyDescent="0.2">
      <c r="A3174" s="16"/>
      <c r="B3174" s="16"/>
      <c r="C3174" s="17"/>
      <c r="D3174" s="17"/>
      <c r="E3174" s="17"/>
      <c r="F3174" s="17"/>
      <c r="G3174" s="17"/>
      <c r="H3174" s="17"/>
    </row>
    <row r="3175" spans="1:8" x14ac:dyDescent="0.2">
      <c r="A3175" s="16"/>
      <c r="B3175" s="16"/>
      <c r="C3175" s="17"/>
      <c r="D3175" s="17"/>
      <c r="E3175" s="17"/>
      <c r="F3175" s="17"/>
      <c r="G3175" s="17"/>
      <c r="H3175" s="17"/>
    </row>
    <row r="3176" spans="1:8" x14ac:dyDescent="0.2">
      <c r="A3176" s="16"/>
      <c r="B3176" s="16"/>
      <c r="C3176" s="17"/>
      <c r="D3176" s="17"/>
      <c r="E3176" s="17"/>
      <c r="F3176" s="17"/>
      <c r="G3176" s="17"/>
      <c r="H3176" s="17"/>
    </row>
    <row r="3177" spans="1:8" x14ac:dyDescent="0.2">
      <c r="A3177" s="16"/>
      <c r="B3177" s="16"/>
      <c r="C3177" s="17"/>
      <c r="D3177" s="17"/>
      <c r="E3177" s="17"/>
      <c r="F3177" s="17"/>
      <c r="G3177" s="17"/>
      <c r="H3177" s="17"/>
    </row>
    <row r="3178" spans="1:8" x14ac:dyDescent="0.2">
      <c r="A3178" s="16"/>
      <c r="B3178" s="16"/>
      <c r="C3178" s="17"/>
      <c r="D3178" s="17"/>
      <c r="E3178" s="17"/>
      <c r="F3178" s="17"/>
      <c r="G3178" s="17"/>
      <c r="H3178" s="17"/>
    </row>
    <row r="3179" spans="1:8" x14ac:dyDescent="0.2">
      <c r="A3179" s="16"/>
      <c r="B3179" s="16"/>
      <c r="C3179" s="17"/>
      <c r="D3179" s="17"/>
      <c r="E3179" s="17"/>
      <c r="F3179" s="17"/>
      <c r="G3179" s="17"/>
      <c r="H3179" s="17"/>
    </row>
    <row r="3180" spans="1:8" x14ac:dyDescent="0.2">
      <c r="A3180" s="16"/>
      <c r="B3180" s="16"/>
      <c r="C3180" s="17"/>
      <c r="D3180" s="17"/>
      <c r="E3180" s="17"/>
      <c r="F3180" s="17"/>
      <c r="G3180" s="17"/>
      <c r="H3180" s="17"/>
    </row>
    <row r="3181" spans="1:8" x14ac:dyDescent="0.2">
      <c r="A3181" s="16"/>
      <c r="B3181" s="16"/>
      <c r="C3181" s="17"/>
      <c r="D3181" s="17"/>
      <c r="E3181" s="17"/>
      <c r="F3181" s="17"/>
      <c r="G3181" s="17"/>
      <c r="H3181" s="17"/>
    </row>
    <row r="3182" spans="1:8" x14ac:dyDescent="0.2">
      <c r="A3182" s="16"/>
      <c r="B3182" s="16"/>
      <c r="C3182" s="17"/>
      <c r="D3182" s="17"/>
      <c r="E3182" s="17"/>
      <c r="F3182" s="17"/>
      <c r="G3182" s="17"/>
      <c r="H3182" s="17"/>
    </row>
    <row r="3183" spans="1:8" x14ac:dyDescent="0.2">
      <c r="A3183" s="16"/>
      <c r="B3183" s="16"/>
      <c r="C3183" s="17"/>
      <c r="D3183" s="17"/>
      <c r="E3183" s="17"/>
      <c r="F3183" s="17"/>
      <c r="G3183" s="17"/>
      <c r="H3183" s="17"/>
    </row>
    <row r="3184" spans="1:8" x14ac:dyDescent="0.2">
      <c r="A3184" s="16"/>
      <c r="B3184" s="16"/>
      <c r="C3184" s="17"/>
      <c r="D3184" s="17"/>
      <c r="E3184" s="17"/>
      <c r="F3184" s="17"/>
      <c r="G3184" s="17"/>
      <c r="H3184" s="17"/>
    </row>
    <row r="3185" spans="1:8" x14ac:dyDescent="0.2">
      <c r="A3185" s="16"/>
      <c r="B3185" s="16"/>
      <c r="C3185" s="17"/>
      <c r="D3185" s="17"/>
      <c r="E3185" s="17"/>
      <c r="F3185" s="17"/>
      <c r="G3185" s="17"/>
      <c r="H3185" s="17"/>
    </row>
    <row r="3186" spans="1:8" x14ac:dyDescent="0.2">
      <c r="A3186" s="16"/>
      <c r="B3186" s="16"/>
      <c r="C3186" s="17"/>
      <c r="D3186" s="17"/>
      <c r="E3186" s="17"/>
      <c r="F3186" s="17"/>
      <c r="G3186" s="17"/>
      <c r="H3186" s="17"/>
    </row>
    <row r="3187" spans="1:8" x14ac:dyDescent="0.2">
      <c r="A3187" s="16"/>
      <c r="B3187" s="16"/>
      <c r="C3187" s="17"/>
      <c r="D3187" s="17"/>
      <c r="E3187" s="17"/>
      <c r="F3187" s="17"/>
      <c r="G3187" s="17"/>
      <c r="H3187" s="17"/>
    </row>
    <row r="3188" spans="1:8" x14ac:dyDescent="0.2">
      <c r="A3188" s="16"/>
      <c r="B3188" s="16"/>
      <c r="C3188" s="17"/>
      <c r="D3188" s="17"/>
      <c r="E3188" s="17"/>
      <c r="F3188" s="17"/>
      <c r="G3188" s="17"/>
      <c r="H3188" s="17"/>
    </row>
    <row r="3189" spans="1:8" x14ac:dyDescent="0.2">
      <c r="A3189" s="16"/>
      <c r="B3189" s="16"/>
      <c r="C3189" s="17"/>
      <c r="D3189" s="17"/>
      <c r="E3189" s="17"/>
      <c r="F3189" s="17"/>
      <c r="G3189" s="17"/>
      <c r="H3189" s="17"/>
    </row>
    <row r="3190" spans="1:8" x14ac:dyDescent="0.2">
      <c r="A3190" s="16"/>
      <c r="B3190" s="16"/>
      <c r="C3190" s="17"/>
      <c r="D3190" s="17"/>
      <c r="E3190" s="17"/>
      <c r="F3190" s="17"/>
      <c r="G3190" s="17"/>
      <c r="H3190" s="17"/>
    </row>
    <row r="3191" spans="1:8" x14ac:dyDescent="0.2">
      <c r="A3191" s="16"/>
      <c r="B3191" s="16"/>
      <c r="C3191" s="17"/>
      <c r="D3191" s="17"/>
      <c r="E3191" s="17"/>
      <c r="F3191" s="17"/>
      <c r="G3191" s="17"/>
      <c r="H3191" s="17"/>
    </row>
    <row r="3192" spans="1:8" x14ac:dyDescent="0.2">
      <c r="A3192" s="16"/>
      <c r="B3192" s="16"/>
      <c r="C3192" s="17"/>
      <c r="D3192" s="17"/>
      <c r="E3192" s="17"/>
      <c r="F3192" s="17"/>
      <c r="G3192" s="17"/>
      <c r="H3192" s="17"/>
    </row>
    <row r="3193" spans="1:8" x14ac:dyDescent="0.2">
      <c r="A3193" s="16"/>
      <c r="B3193" s="16"/>
      <c r="C3193" s="17"/>
      <c r="D3193" s="17"/>
      <c r="E3193" s="17"/>
      <c r="F3193" s="17"/>
      <c r="G3193" s="17"/>
      <c r="H3193" s="17"/>
    </row>
    <row r="3194" spans="1:8" x14ac:dyDescent="0.2">
      <c r="A3194" s="16"/>
      <c r="B3194" s="16"/>
      <c r="C3194" s="17"/>
      <c r="D3194" s="17"/>
      <c r="E3194" s="17"/>
      <c r="F3194" s="17"/>
      <c r="G3194" s="17"/>
      <c r="H3194" s="17"/>
    </row>
    <row r="3195" spans="1:8" x14ac:dyDescent="0.2">
      <c r="A3195" s="16"/>
      <c r="B3195" s="16"/>
      <c r="C3195" s="17"/>
      <c r="D3195" s="17"/>
      <c r="E3195" s="17"/>
      <c r="F3195" s="17"/>
      <c r="G3195" s="17"/>
      <c r="H3195" s="17"/>
    </row>
    <row r="3196" spans="1:8" x14ac:dyDescent="0.2">
      <c r="A3196" s="16"/>
      <c r="B3196" s="16"/>
      <c r="C3196" s="17"/>
      <c r="D3196" s="17"/>
      <c r="E3196" s="17"/>
      <c r="F3196" s="17"/>
      <c r="G3196" s="17"/>
      <c r="H3196" s="17"/>
    </row>
    <row r="3197" spans="1:8" x14ac:dyDescent="0.2">
      <c r="A3197" s="16"/>
      <c r="B3197" s="16"/>
      <c r="C3197" s="17"/>
      <c r="D3197" s="17"/>
      <c r="E3197" s="17"/>
      <c r="F3197" s="17"/>
      <c r="G3197" s="17"/>
      <c r="H3197" s="17"/>
    </row>
    <row r="3198" spans="1:8" x14ac:dyDescent="0.2">
      <c r="A3198" s="16"/>
      <c r="B3198" s="16"/>
      <c r="C3198" s="17"/>
      <c r="D3198" s="17"/>
      <c r="E3198" s="17"/>
      <c r="F3198" s="17"/>
      <c r="G3198" s="17"/>
      <c r="H3198" s="17"/>
    </row>
    <row r="3199" spans="1:8" x14ac:dyDescent="0.2">
      <c r="A3199" s="16"/>
      <c r="B3199" s="16"/>
      <c r="C3199" s="17"/>
      <c r="D3199" s="17"/>
      <c r="E3199" s="17"/>
      <c r="F3199" s="17"/>
      <c r="G3199" s="17"/>
      <c r="H3199" s="17"/>
    </row>
    <row r="3200" spans="1:8" x14ac:dyDescent="0.2">
      <c r="A3200" s="16"/>
      <c r="B3200" s="16"/>
      <c r="C3200" s="17"/>
      <c r="D3200" s="17"/>
      <c r="E3200" s="17"/>
      <c r="F3200" s="17"/>
      <c r="G3200" s="17"/>
      <c r="H3200" s="17"/>
    </row>
    <row r="3201" spans="1:8" x14ac:dyDescent="0.2">
      <c r="A3201" s="16"/>
      <c r="B3201" s="16"/>
      <c r="C3201" s="17"/>
      <c r="D3201" s="17"/>
      <c r="E3201" s="17"/>
      <c r="F3201" s="17"/>
      <c r="G3201" s="17"/>
      <c r="H3201" s="17"/>
    </row>
    <row r="3202" spans="1:8" x14ac:dyDescent="0.2">
      <c r="A3202" s="16"/>
      <c r="B3202" s="16"/>
      <c r="C3202" s="17"/>
      <c r="D3202" s="17"/>
      <c r="E3202" s="17"/>
      <c r="F3202" s="17"/>
      <c r="G3202" s="17"/>
      <c r="H3202" s="17"/>
    </row>
    <row r="3203" spans="1:8" x14ac:dyDescent="0.2">
      <c r="A3203" s="16"/>
      <c r="B3203" s="16"/>
      <c r="C3203" s="17"/>
      <c r="D3203" s="17"/>
      <c r="E3203" s="17"/>
      <c r="F3203" s="17"/>
      <c r="G3203" s="17"/>
      <c r="H3203" s="17"/>
    </row>
    <row r="3204" spans="1:8" x14ac:dyDescent="0.2">
      <c r="A3204" s="16"/>
      <c r="B3204" s="16"/>
      <c r="C3204" s="17"/>
      <c r="D3204" s="17"/>
      <c r="E3204" s="17"/>
      <c r="F3204" s="17"/>
      <c r="G3204" s="17"/>
      <c r="H3204" s="17"/>
    </row>
    <row r="3205" spans="1:8" x14ac:dyDescent="0.2">
      <c r="A3205" s="16"/>
      <c r="B3205" s="16"/>
      <c r="C3205" s="17"/>
      <c r="D3205" s="17"/>
      <c r="E3205" s="17"/>
      <c r="F3205" s="17"/>
      <c r="G3205" s="17"/>
      <c r="H3205" s="17"/>
    </row>
    <row r="3206" spans="1:8" x14ac:dyDescent="0.2">
      <c r="A3206" s="16"/>
      <c r="B3206" s="16"/>
      <c r="C3206" s="17"/>
      <c r="D3206" s="17"/>
      <c r="E3206" s="17"/>
      <c r="F3206" s="17"/>
      <c r="G3206" s="17"/>
      <c r="H3206" s="17"/>
    </row>
    <row r="3207" spans="1:8" x14ac:dyDescent="0.2">
      <c r="A3207" s="16"/>
      <c r="B3207" s="16"/>
      <c r="C3207" s="17"/>
      <c r="D3207" s="17"/>
      <c r="E3207" s="17"/>
      <c r="F3207" s="17"/>
      <c r="G3207" s="17"/>
      <c r="H3207" s="17"/>
    </row>
    <row r="3208" spans="1:8" x14ac:dyDescent="0.2">
      <c r="A3208" s="16"/>
      <c r="B3208" s="16"/>
      <c r="C3208" s="17"/>
      <c r="D3208" s="17"/>
      <c r="E3208" s="17"/>
      <c r="F3208" s="17"/>
      <c r="G3208" s="17"/>
      <c r="H3208" s="17"/>
    </row>
    <row r="3209" spans="1:8" x14ac:dyDescent="0.2">
      <c r="A3209" s="16"/>
      <c r="B3209" s="16"/>
      <c r="C3209" s="17"/>
      <c r="D3209" s="17"/>
      <c r="E3209" s="17"/>
      <c r="F3209" s="17"/>
      <c r="G3209" s="17"/>
      <c r="H3209" s="17"/>
    </row>
    <row r="3210" spans="1:8" x14ac:dyDescent="0.2">
      <c r="A3210" s="16"/>
      <c r="B3210" s="16"/>
      <c r="C3210" s="17"/>
      <c r="D3210" s="17"/>
      <c r="E3210" s="17"/>
      <c r="F3210" s="17"/>
      <c r="G3210" s="17"/>
      <c r="H3210" s="17"/>
    </row>
    <row r="3211" spans="1:8" x14ac:dyDescent="0.2">
      <c r="A3211" s="16"/>
      <c r="B3211" s="16"/>
      <c r="C3211" s="17"/>
      <c r="D3211" s="17"/>
      <c r="E3211" s="17"/>
      <c r="F3211" s="17"/>
      <c r="G3211" s="17"/>
      <c r="H3211" s="17"/>
    </row>
    <row r="3212" spans="1:8" x14ac:dyDescent="0.2">
      <c r="A3212" s="16"/>
      <c r="B3212" s="16"/>
      <c r="C3212" s="17"/>
      <c r="D3212" s="17"/>
      <c r="E3212" s="17"/>
      <c r="F3212" s="17"/>
      <c r="G3212" s="17"/>
      <c r="H3212" s="17"/>
    </row>
    <row r="3213" spans="1:8" x14ac:dyDescent="0.2">
      <c r="A3213" s="16"/>
      <c r="B3213" s="16"/>
      <c r="C3213" s="17"/>
      <c r="D3213" s="17"/>
      <c r="E3213" s="17"/>
      <c r="F3213" s="17"/>
      <c r="G3213" s="17"/>
      <c r="H3213" s="17"/>
    </row>
    <row r="3214" spans="1:8" x14ac:dyDescent="0.2">
      <c r="A3214" s="16"/>
      <c r="B3214" s="16"/>
      <c r="C3214" s="17"/>
      <c r="D3214" s="17"/>
      <c r="E3214" s="17"/>
      <c r="F3214" s="17"/>
      <c r="G3214" s="17"/>
      <c r="H3214" s="17"/>
    </row>
    <row r="3215" spans="1:8" x14ac:dyDescent="0.2">
      <c r="A3215" s="16"/>
      <c r="B3215" s="16"/>
      <c r="C3215" s="17"/>
      <c r="D3215" s="17"/>
      <c r="E3215" s="17"/>
      <c r="F3215" s="17"/>
      <c r="G3215" s="17"/>
      <c r="H3215" s="17"/>
    </row>
    <row r="3216" spans="1:8" x14ac:dyDescent="0.2">
      <c r="A3216" s="16"/>
      <c r="B3216" s="16"/>
      <c r="C3216" s="17"/>
      <c r="D3216" s="17"/>
      <c r="E3216" s="17"/>
      <c r="F3216" s="17"/>
      <c r="G3216" s="17"/>
      <c r="H3216" s="17"/>
    </row>
    <row r="3217" spans="1:8" x14ac:dyDescent="0.2">
      <c r="A3217" s="16"/>
      <c r="B3217" s="16"/>
      <c r="C3217" s="17"/>
      <c r="D3217" s="17"/>
      <c r="E3217" s="17"/>
      <c r="F3217" s="17"/>
      <c r="G3217" s="17"/>
      <c r="H3217" s="17"/>
    </row>
    <row r="3218" spans="1:8" x14ac:dyDescent="0.2">
      <c r="A3218" s="16"/>
      <c r="B3218" s="16"/>
      <c r="C3218" s="17"/>
      <c r="D3218" s="17"/>
      <c r="E3218" s="17"/>
      <c r="F3218" s="17"/>
      <c r="G3218" s="17"/>
      <c r="H3218" s="17"/>
    </row>
    <row r="3219" spans="1:8" x14ac:dyDescent="0.2">
      <c r="A3219" s="16"/>
      <c r="B3219" s="16"/>
      <c r="C3219" s="17"/>
      <c r="D3219" s="17"/>
      <c r="E3219" s="17"/>
      <c r="F3219" s="17"/>
      <c r="G3219" s="17"/>
      <c r="H3219" s="17"/>
    </row>
    <row r="3220" spans="1:8" x14ac:dyDescent="0.2">
      <c r="A3220" s="16"/>
      <c r="B3220" s="16"/>
      <c r="C3220" s="17"/>
      <c r="D3220" s="17"/>
      <c r="E3220" s="17"/>
      <c r="F3220" s="17"/>
      <c r="G3220" s="17"/>
      <c r="H3220" s="17"/>
    </row>
    <row r="3221" spans="1:8" x14ac:dyDescent="0.2">
      <c r="A3221" s="16"/>
      <c r="B3221" s="16"/>
      <c r="C3221" s="17"/>
      <c r="D3221" s="17"/>
      <c r="E3221" s="17"/>
      <c r="F3221" s="17"/>
      <c r="G3221" s="17"/>
      <c r="H3221" s="17"/>
    </row>
    <row r="3222" spans="1:8" x14ac:dyDescent="0.2">
      <c r="A3222" s="16"/>
      <c r="B3222" s="16"/>
      <c r="C3222" s="17"/>
      <c r="D3222" s="17"/>
      <c r="E3222" s="17"/>
      <c r="F3222" s="17"/>
      <c r="G3222" s="17"/>
      <c r="H3222" s="17"/>
    </row>
    <row r="3223" spans="1:8" x14ac:dyDescent="0.2">
      <c r="A3223" s="16"/>
      <c r="B3223" s="16"/>
      <c r="C3223" s="17"/>
      <c r="D3223" s="17"/>
      <c r="E3223" s="17"/>
      <c r="F3223" s="17"/>
      <c r="G3223" s="17"/>
      <c r="H3223" s="17"/>
    </row>
    <row r="3224" spans="1:8" x14ac:dyDescent="0.2">
      <c r="A3224" s="16"/>
      <c r="B3224" s="16"/>
      <c r="C3224" s="17"/>
      <c r="D3224" s="17"/>
      <c r="E3224" s="17"/>
      <c r="F3224" s="17"/>
      <c r="G3224" s="17"/>
      <c r="H3224" s="17"/>
    </row>
    <row r="3225" spans="1:8" x14ac:dyDescent="0.2">
      <c r="A3225" s="16"/>
      <c r="B3225" s="16"/>
      <c r="C3225" s="17"/>
      <c r="D3225" s="17"/>
      <c r="E3225" s="17"/>
      <c r="F3225" s="17"/>
      <c r="G3225" s="17"/>
      <c r="H3225" s="17"/>
    </row>
    <row r="3226" spans="1:8" x14ac:dyDescent="0.2">
      <c r="A3226" s="16"/>
      <c r="B3226" s="16"/>
      <c r="C3226" s="17"/>
      <c r="D3226" s="17"/>
      <c r="E3226" s="17"/>
      <c r="F3226" s="17"/>
      <c r="G3226" s="17"/>
      <c r="H3226" s="17"/>
    </row>
    <row r="3227" spans="1:8" x14ac:dyDescent="0.2">
      <c r="A3227" s="16"/>
      <c r="B3227" s="16"/>
      <c r="C3227" s="17"/>
      <c r="D3227" s="17"/>
      <c r="E3227" s="17"/>
      <c r="F3227" s="17"/>
      <c r="G3227" s="17"/>
      <c r="H3227" s="17"/>
    </row>
    <row r="3228" spans="1:8" x14ac:dyDescent="0.2">
      <c r="A3228" s="16"/>
      <c r="B3228" s="16"/>
      <c r="C3228" s="17"/>
      <c r="D3228" s="17"/>
      <c r="E3228" s="17"/>
      <c r="F3228" s="17"/>
      <c r="G3228" s="17"/>
      <c r="H3228" s="17"/>
    </row>
    <row r="3229" spans="1:8" x14ac:dyDescent="0.2">
      <c r="A3229" s="16"/>
      <c r="B3229" s="16"/>
      <c r="C3229" s="17"/>
      <c r="D3229" s="17"/>
      <c r="E3229" s="17"/>
      <c r="F3229" s="17"/>
      <c r="G3229" s="17"/>
      <c r="H3229" s="17"/>
    </row>
    <row r="3230" spans="1:8" x14ac:dyDescent="0.2">
      <c r="A3230" s="16"/>
      <c r="B3230" s="16"/>
      <c r="C3230" s="17"/>
      <c r="D3230" s="17"/>
      <c r="E3230" s="17"/>
      <c r="F3230" s="17"/>
      <c r="G3230" s="17"/>
      <c r="H3230" s="17"/>
    </row>
    <row r="3231" spans="1:8" x14ac:dyDescent="0.2">
      <c r="A3231" s="16"/>
      <c r="B3231" s="16"/>
      <c r="C3231" s="17"/>
      <c r="D3231" s="17"/>
      <c r="E3231" s="17"/>
      <c r="F3231" s="17"/>
      <c r="G3231" s="17"/>
      <c r="H3231" s="17"/>
    </row>
    <row r="3232" spans="1:8" x14ac:dyDescent="0.2">
      <c r="A3232" s="16"/>
      <c r="B3232" s="16"/>
      <c r="C3232" s="17"/>
      <c r="D3232" s="17"/>
      <c r="E3232" s="17"/>
      <c r="F3232" s="17"/>
      <c r="G3232" s="17"/>
      <c r="H3232" s="17"/>
    </row>
    <row r="3233" spans="1:8" x14ac:dyDescent="0.2">
      <c r="A3233" s="16"/>
      <c r="B3233" s="16"/>
      <c r="C3233" s="17"/>
      <c r="D3233" s="17"/>
      <c r="E3233" s="17"/>
      <c r="F3233" s="17"/>
      <c r="G3233" s="17"/>
      <c r="H3233" s="17"/>
    </row>
    <row r="3234" spans="1:8" x14ac:dyDescent="0.2">
      <c r="A3234" s="16"/>
      <c r="B3234" s="16"/>
      <c r="C3234" s="17"/>
      <c r="D3234" s="17"/>
      <c r="E3234" s="17"/>
      <c r="F3234" s="17"/>
      <c r="G3234" s="17"/>
      <c r="H3234" s="17"/>
    </row>
    <row r="3235" spans="1:8" x14ac:dyDescent="0.2">
      <c r="A3235" s="16"/>
      <c r="B3235" s="16"/>
      <c r="C3235" s="17"/>
      <c r="D3235" s="17"/>
      <c r="E3235" s="17"/>
      <c r="F3235" s="17"/>
      <c r="G3235" s="17"/>
      <c r="H3235" s="17"/>
    </row>
    <row r="3236" spans="1:8" x14ac:dyDescent="0.2">
      <c r="A3236" s="16"/>
      <c r="B3236" s="16"/>
      <c r="C3236" s="17"/>
      <c r="D3236" s="17"/>
      <c r="E3236" s="17"/>
      <c r="F3236" s="17"/>
      <c r="G3236" s="17"/>
      <c r="H3236" s="17"/>
    </row>
    <row r="3237" spans="1:8" x14ac:dyDescent="0.2">
      <c r="A3237" s="16"/>
      <c r="B3237" s="16"/>
      <c r="C3237" s="17"/>
      <c r="D3237" s="17"/>
      <c r="E3237" s="17"/>
      <c r="F3237" s="17"/>
      <c r="G3237" s="17"/>
      <c r="H3237" s="17"/>
    </row>
    <row r="3238" spans="1:8" x14ac:dyDescent="0.2">
      <c r="A3238" s="16"/>
      <c r="B3238" s="16"/>
      <c r="C3238" s="17"/>
      <c r="D3238" s="17"/>
      <c r="E3238" s="17"/>
      <c r="F3238" s="17"/>
      <c r="G3238" s="17"/>
      <c r="H3238" s="17"/>
    </row>
    <row r="3239" spans="1:8" x14ac:dyDescent="0.2">
      <c r="A3239" s="16"/>
      <c r="B3239" s="16"/>
      <c r="C3239" s="17"/>
      <c r="D3239" s="17"/>
      <c r="E3239" s="17"/>
      <c r="F3239" s="17"/>
      <c r="G3239" s="17"/>
      <c r="H3239" s="17"/>
    </row>
    <row r="3240" spans="1:8" x14ac:dyDescent="0.2">
      <c r="A3240" s="16"/>
      <c r="B3240" s="16"/>
      <c r="C3240" s="17"/>
      <c r="D3240" s="17"/>
      <c r="E3240" s="17"/>
      <c r="F3240" s="17"/>
      <c r="G3240" s="17"/>
      <c r="H3240" s="17"/>
    </row>
    <row r="3241" spans="1:8" x14ac:dyDescent="0.2">
      <c r="A3241" s="16"/>
      <c r="B3241" s="16"/>
      <c r="C3241" s="17"/>
      <c r="D3241" s="17"/>
      <c r="E3241" s="17"/>
      <c r="F3241" s="17"/>
      <c r="G3241" s="17"/>
      <c r="H3241" s="17"/>
    </row>
    <row r="3242" spans="1:8" x14ac:dyDescent="0.2">
      <c r="A3242" s="16"/>
      <c r="B3242" s="16"/>
      <c r="C3242" s="17"/>
      <c r="D3242" s="17"/>
      <c r="E3242" s="17"/>
      <c r="F3242" s="17"/>
      <c r="G3242" s="17"/>
      <c r="H3242" s="17"/>
    </row>
    <row r="3243" spans="1:8" x14ac:dyDescent="0.2">
      <c r="A3243" s="16"/>
      <c r="B3243" s="16"/>
      <c r="C3243" s="17"/>
      <c r="D3243" s="17"/>
      <c r="E3243" s="17"/>
      <c r="F3243" s="17"/>
      <c r="G3243" s="17"/>
      <c r="H3243" s="17"/>
    </row>
    <row r="3244" spans="1:8" x14ac:dyDescent="0.2">
      <c r="A3244" s="16"/>
      <c r="B3244" s="16"/>
      <c r="C3244" s="17"/>
      <c r="D3244" s="17"/>
      <c r="E3244" s="17"/>
      <c r="F3244" s="17"/>
      <c r="G3244" s="17"/>
      <c r="H3244" s="17"/>
    </row>
    <row r="3245" spans="1:8" x14ac:dyDescent="0.2">
      <c r="A3245" s="16"/>
      <c r="B3245" s="16"/>
      <c r="C3245" s="17"/>
      <c r="D3245" s="17"/>
      <c r="E3245" s="17"/>
      <c r="F3245" s="17"/>
      <c r="G3245" s="17"/>
      <c r="H3245" s="17"/>
    </row>
    <row r="3246" spans="1:8" x14ac:dyDescent="0.2">
      <c r="A3246" s="16"/>
      <c r="B3246" s="16"/>
      <c r="C3246" s="17"/>
      <c r="D3246" s="17"/>
      <c r="E3246" s="17"/>
      <c r="F3246" s="17"/>
      <c r="G3246" s="17"/>
      <c r="H3246" s="17"/>
    </row>
    <row r="3247" spans="1:8" x14ac:dyDescent="0.2">
      <c r="A3247" s="16"/>
      <c r="B3247" s="16"/>
      <c r="C3247" s="17"/>
      <c r="D3247" s="17"/>
      <c r="E3247" s="17"/>
      <c r="F3247" s="17"/>
      <c r="G3247" s="17"/>
      <c r="H3247" s="17"/>
    </row>
    <row r="3248" spans="1:8" x14ac:dyDescent="0.2">
      <c r="A3248" s="16"/>
      <c r="B3248" s="16"/>
      <c r="C3248" s="17"/>
      <c r="D3248" s="17"/>
      <c r="E3248" s="17"/>
      <c r="F3248" s="17"/>
      <c r="G3248" s="17"/>
      <c r="H3248" s="17"/>
    </row>
    <row r="3249" spans="1:8" x14ac:dyDescent="0.2">
      <c r="A3249" s="16"/>
      <c r="B3249" s="16"/>
      <c r="C3249" s="17"/>
      <c r="D3249" s="17"/>
      <c r="E3249" s="17"/>
      <c r="F3249" s="17"/>
      <c r="G3249" s="17"/>
      <c r="H3249" s="17"/>
    </row>
    <row r="3250" spans="1:8" x14ac:dyDescent="0.2">
      <c r="A3250" s="16"/>
      <c r="B3250" s="16"/>
      <c r="C3250" s="17"/>
      <c r="D3250" s="17"/>
      <c r="E3250" s="17"/>
      <c r="F3250" s="17"/>
      <c r="G3250" s="17"/>
      <c r="H3250" s="17"/>
    </row>
    <row r="3251" spans="1:8" x14ac:dyDescent="0.2">
      <c r="A3251" s="16"/>
      <c r="B3251" s="16"/>
      <c r="C3251" s="17"/>
      <c r="D3251" s="17"/>
      <c r="E3251" s="17"/>
      <c r="F3251" s="17"/>
      <c r="G3251" s="17"/>
      <c r="H3251" s="17"/>
    </row>
    <row r="3252" spans="1:8" x14ac:dyDescent="0.2">
      <c r="A3252" s="16"/>
      <c r="B3252" s="16"/>
      <c r="C3252" s="17"/>
      <c r="D3252" s="17"/>
      <c r="E3252" s="17"/>
      <c r="F3252" s="17"/>
      <c r="G3252" s="17"/>
      <c r="H3252" s="17"/>
    </row>
    <row r="3253" spans="1:8" x14ac:dyDescent="0.2">
      <c r="A3253" s="16"/>
      <c r="B3253" s="16"/>
      <c r="C3253" s="17"/>
      <c r="D3253" s="17"/>
      <c r="E3253" s="17"/>
      <c r="F3253" s="17"/>
      <c r="G3253" s="17"/>
      <c r="H3253" s="17"/>
    </row>
    <row r="3254" spans="1:8" x14ac:dyDescent="0.2">
      <c r="A3254" s="16"/>
      <c r="B3254" s="16"/>
      <c r="C3254" s="17"/>
      <c r="D3254" s="17"/>
      <c r="E3254" s="17"/>
      <c r="F3254" s="17"/>
      <c r="G3254" s="17"/>
      <c r="H3254" s="17"/>
    </row>
    <row r="3255" spans="1:8" x14ac:dyDescent="0.2">
      <c r="A3255" s="16"/>
      <c r="B3255" s="16"/>
      <c r="C3255" s="17"/>
      <c r="D3255" s="17"/>
      <c r="E3255" s="17"/>
      <c r="F3255" s="17"/>
      <c r="G3255" s="17"/>
      <c r="H3255" s="17"/>
    </row>
    <row r="3256" spans="1:8" x14ac:dyDescent="0.2">
      <c r="A3256" s="16"/>
      <c r="B3256" s="16"/>
      <c r="C3256" s="17"/>
      <c r="D3256" s="17"/>
      <c r="E3256" s="17"/>
      <c r="F3256" s="17"/>
      <c r="G3256" s="17"/>
      <c r="H3256" s="17"/>
    </row>
    <row r="3257" spans="1:8" x14ac:dyDescent="0.2">
      <c r="A3257" s="16"/>
      <c r="B3257" s="16"/>
      <c r="C3257" s="17"/>
      <c r="D3257" s="17"/>
      <c r="E3257" s="17"/>
      <c r="F3257" s="17"/>
      <c r="G3257" s="17"/>
      <c r="H3257" s="17"/>
    </row>
    <row r="3258" spans="1:8" x14ac:dyDescent="0.2">
      <c r="A3258" s="16"/>
      <c r="B3258" s="16"/>
      <c r="C3258" s="17"/>
      <c r="D3258" s="17"/>
      <c r="E3258" s="17"/>
      <c r="F3258" s="17"/>
      <c r="G3258" s="17"/>
      <c r="H3258" s="17"/>
    </row>
    <row r="3259" spans="1:8" x14ac:dyDescent="0.2">
      <c r="A3259" s="16"/>
      <c r="B3259" s="16"/>
      <c r="C3259" s="17"/>
      <c r="D3259" s="17"/>
      <c r="E3259" s="17"/>
      <c r="F3259" s="17"/>
      <c r="G3259" s="17"/>
      <c r="H3259" s="17"/>
    </row>
    <row r="3260" spans="1:8" x14ac:dyDescent="0.2">
      <c r="A3260" s="16"/>
      <c r="B3260" s="16"/>
      <c r="C3260" s="17"/>
      <c r="D3260" s="17"/>
      <c r="E3260" s="17"/>
      <c r="F3260" s="17"/>
      <c r="G3260" s="17"/>
      <c r="H3260" s="17"/>
    </row>
    <row r="3261" spans="1:8" x14ac:dyDescent="0.2">
      <c r="A3261" s="16"/>
      <c r="B3261" s="16"/>
      <c r="C3261" s="17"/>
      <c r="D3261" s="17"/>
      <c r="E3261" s="17"/>
      <c r="F3261" s="17"/>
      <c r="G3261" s="17"/>
      <c r="H3261" s="17"/>
    </row>
    <row r="3262" spans="1:8" x14ac:dyDescent="0.2">
      <c r="A3262" s="16"/>
      <c r="B3262" s="16"/>
      <c r="C3262" s="17"/>
      <c r="D3262" s="17"/>
      <c r="E3262" s="17"/>
      <c r="F3262" s="17"/>
      <c r="G3262" s="17"/>
      <c r="H3262" s="17"/>
    </row>
    <row r="3263" spans="1:8" x14ac:dyDescent="0.2">
      <c r="A3263" s="16"/>
      <c r="B3263" s="16"/>
      <c r="C3263" s="17"/>
      <c r="D3263" s="17"/>
      <c r="E3263" s="17"/>
      <c r="F3263" s="17"/>
      <c r="G3263" s="17"/>
      <c r="H3263" s="17"/>
    </row>
    <row r="3264" spans="1:8" x14ac:dyDescent="0.2">
      <c r="A3264" s="16"/>
      <c r="B3264" s="16"/>
      <c r="C3264" s="17"/>
      <c r="D3264" s="17"/>
      <c r="E3264" s="17"/>
      <c r="F3264" s="17"/>
      <c r="G3264" s="17"/>
      <c r="H3264" s="17"/>
    </row>
    <row r="3265" spans="1:8" x14ac:dyDescent="0.2">
      <c r="A3265" s="16"/>
      <c r="B3265" s="16"/>
      <c r="C3265" s="17"/>
      <c r="D3265" s="17"/>
      <c r="E3265" s="17"/>
      <c r="F3265" s="17"/>
      <c r="G3265" s="17"/>
      <c r="H3265" s="17"/>
    </row>
    <row r="3266" spans="1:8" x14ac:dyDescent="0.2">
      <c r="A3266" s="16"/>
      <c r="B3266" s="16"/>
      <c r="C3266" s="17"/>
      <c r="D3266" s="17"/>
      <c r="E3266" s="17"/>
      <c r="F3266" s="17"/>
      <c r="G3266" s="17"/>
      <c r="H3266" s="17"/>
    </row>
    <row r="3267" spans="1:8" x14ac:dyDescent="0.2">
      <c r="A3267" s="16"/>
      <c r="B3267" s="16"/>
      <c r="C3267" s="17"/>
      <c r="D3267" s="17"/>
      <c r="E3267" s="17"/>
      <c r="F3267" s="17"/>
      <c r="G3267" s="17"/>
      <c r="H3267" s="17"/>
    </row>
    <row r="3268" spans="1:8" x14ac:dyDescent="0.2">
      <c r="A3268" s="16"/>
      <c r="B3268" s="16"/>
      <c r="C3268" s="17"/>
      <c r="D3268" s="17"/>
      <c r="E3268" s="17"/>
      <c r="F3268" s="17"/>
      <c r="G3268" s="17"/>
      <c r="H3268" s="17"/>
    </row>
    <row r="3269" spans="1:8" x14ac:dyDescent="0.2">
      <c r="A3269" s="16"/>
      <c r="B3269" s="16"/>
      <c r="C3269" s="17"/>
      <c r="D3269" s="17"/>
      <c r="E3269" s="17"/>
      <c r="F3269" s="17"/>
      <c r="G3269" s="17"/>
      <c r="H3269" s="17"/>
    </row>
    <row r="3270" spans="1:8" x14ac:dyDescent="0.2">
      <c r="A3270" s="16"/>
      <c r="B3270" s="16"/>
      <c r="C3270" s="17"/>
      <c r="D3270" s="17"/>
      <c r="E3270" s="17"/>
      <c r="F3270" s="17"/>
      <c r="G3270" s="17"/>
      <c r="H3270" s="17"/>
    </row>
    <row r="3271" spans="1:8" x14ac:dyDescent="0.2">
      <c r="A3271" s="16"/>
      <c r="B3271" s="16"/>
      <c r="C3271" s="17"/>
      <c r="D3271" s="17"/>
      <c r="E3271" s="17"/>
      <c r="F3271" s="17"/>
      <c r="G3271" s="17"/>
      <c r="H3271" s="17"/>
    </row>
    <row r="3272" spans="1:8" x14ac:dyDescent="0.2">
      <c r="A3272" s="16"/>
      <c r="B3272" s="16"/>
      <c r="C3272" s="17"/>
      <c r="D3272" s="17"/>
      <c r="E3272" s="17"/>
      <c r="F3272" s="17"/>
      <c r="G3272" s="17"/>
      <c r="H3272" s="17"/>
    </row>
    <row r="3273" spans="1:8" x14ac:dyDescent="0.2">
      <c r="A3273" s="16"/>
      <c r="B3273" s="16"/>
      <c r="C3273" s="17"/>
      <c r="D3273" s="17"/>
      <c r="E3273" s="17"/>
      <c r="F3273" s="17"/>
      <c r="G3273" s="17"/>
      <c r="H3273" s="17"/>
    </row>
    <row r="3274" spans="1:8" x14ac:dyDescent="0.2">
      <c r="A3274" s="16"/>
      <c r="B3274" s="16"/>
      <c r="C3274" s="17"/>
      <c r="D3274" s="17"/>
      <c r="E3274" s="17"/>
      <c r="F3274" s="17"/>
      <c r="G3274" s="17"/>
      <c r="H3274" s="17"/>
    </row>
    <row r="3275" spans="1:8" x14ac:dyDescent="0.2">
      <c r="A3275" s="16"/>
      <c r="B3275" s="16"/>
      <c r="C3275" s="17"/>
      <c r="D3275" s="17"/>
      <c r="E3275" s="17"/>
      <c r="F3275" s="17"/>
      <c r="G3275" s="17"/>
      <c r="H3275" s="17"/>
    </row>
    <row r="3276" spans="1:8" x14ac:dyDescent="0.2">
      <c r="A3276" s="16"/>
      <c r="B3276" s="16"/>
      <c r="C3276" s="17"/>
      <c r="D3276" s="17"/>
      <c r="E3276" s="17"/>
      <c r="F3276" s="17"/>
      <c r="G3276" s="17"/>
      <c r="H3276" s="17"/>
    </row>
    <row r="3277" spans="1:8" x14ac:dyDescent="0.2">
      <c r="A3277" s="16"/>
      <c r="B3277" s="16"/>
      <c r="C3277" s="17"/>
      <c r="D3277" s="17"/>
      <c r="E3277" s="17"/>
      <c r="F3277" s="17"/>
      <c r="G3277" s="17"/>
      <c r="H3277" s="17"/>
    </row>
    <row r="3278" spans="1:8" x14ac:dyDescent="0.2">
      <c r="A3278" s="16"/>
      <c r="B3278" s="16"/>
      <c r="C3278" s="17"/>
      <c r="D3278" s="17"/>
      <c r="E3278" s="17"/>
      <c r="F3278" s="17"/>
      <c r="G3278" s="17"/>
      <c r="H3278" s="17"/>
    </row>
    <row r="3279" spans="1:8" x14ac:dyDescent="0.2">
      <c r="A3279" s="16"/>
      <c r="B3279" s="16"/>
      <c r="C3279" s="17"/>
      <c r="D3279" s="17"/>
      <c r="E3279" s="17"/>
      <c r="F3279" s="17"/>
      <c r="G3279" s="17"/>
      <c r="H3279" s="17"/>
    </row>
    <row r="3280" spans="1:8" x14ac:dyDescent="0.2">
      <c r="A3280" s="16"/>
      <c r="B3280" s="16"/>
      <c r="C3280" s="17"/>
      <c r="D3280" s="17"/>
      <c r="E3280" s="17"/>
      <c r="F3280" s="17"/>
      <c r="G3280" s="17"/>
      <c r="H3280" s="17"/>
    </row>
    <row r="3281" spans="1:8" x14ac:dyDescent="0.2">
      <c r="A3281" s="16"/>
      <c r="B3281" s="16"/>
      <c r="C3281" s="17"/>
      <c r="D3281" s="17"/>
      <c r="E3281" s="17"/>
      <c r="F3281" s="17"/>
      <c r="G3281" s="17"/>
      <c r="H3281" s="17"/>
    </row>
    <row r="3282" spans="1:8" x14ac:dyDescent="0.2">
      <c r="A3282" s="16"/>
      <c r="B3282" s="16"/>
      <c r="C3282" s="17"/>
      <c r="D3282" s="17"/>
      <c r="E3282" s="17"/>
      <c r="F3282" s="17"/>
      <c r="G3282" s="17"/>
      <c r="H3282" s="17"/>
    </row>
    <row r="3283" spans="1:8" x14ac:dyDescent="0.2">
      <c r="A3283" s="16"/>
      <c r="B3283" s="16"/>
      <c r="C3283" s="17"/>
      <c r="D3283" s="17"/>
      <c r="E3283" s="17"/>
      <c r="F3283" s="17"/>
      <c r="G3283" s="17"/>
      <c r="H3283" s="17"/>
    </row>
    <row r="3284" spans="1:8" x14ac:dyDescent="0.2">
      <c r="A3284" s="16"/>
      <c r="B3284" s="16"/>
      <c r="C3284" s="17"/>
      <c r="D3284" s="17"/>
      <c r="E3284" s="17"/>
      <c r="F3284" s="17"/>
      <c r="G3284" s="17"/>
      <c r="H3284" s="17"/>
    </row>
    <row r="3285" spans="1:8" x14ac:dyDescent="0.2">
      <c r="A3285" s="16"/>
      <c r="B3285" s="16"/>
      <c r="C3285" s="17"/>
      <c r="D3285" s="17"/>
      <c r="E3285" s="17"/>
      <c r="F3285" s="17"/>
      <c r="G3285" s="17"/>
      <c r="H3285" s="17"/>
    </row>
    <row r="3286" spans="1:8" x14ac:dyDescent="0.2">
      <c r="A3286" s="16"/>
      <c r="B3286" s="16"/>
      <c r="C3286" s="17"/>
      <c r="D3286" s="17"/>
      <c r="E3286" s="17"/>
      <c r="F3286" s="17"/>
      <c r="G3286" s="17"/>
      <c r="H3286" s="17"/>
    </row>
    <row r="3287" spans="1:8" x14ac:dyDescent="0.2">
      <c r="A3287" s="16"/>
      <c r="B3287" s="16"/>
      <c r="C3287" s="17"/>
      <c r="D3287" s="17"/>
      <c r="E3287" s="17"/>
      <c r="F3287" s="17"/>
      <c r="G3287" s="17"/>
      <c r="H3287" s="17"/>
    </row>
    <row r="3288" spans="1:8" x14ac:dyDescent="0.2">
      <c r="A3288" s="16"/>
      <c r="B3288" s="16"/>
      <c r="C3288" s="17"/>
      <c r="D3288" s="17"/>
      <c r="E3288" s="17"/>
      <c r="F3288" s="17"/>
      <c r="G3288" s="17"/>
      <c r="H3288" s="17"/>
    </row>
    <row r="3289" spans="1:8" x14ac:dyDescent="0.2">
      <c r="A3289" s="16"/>
      <c r="B3289" s="16"/>
      <c r="C3289" s="17"/>
      <c r="D3289" s="17"/>
      <c r="E3289" s="17"/>
      <c r="F3289" s="17"/>
      <c r="G3289" s="17"/>
      <c r="H3289" s="17"/>
    </row>
    <row r="3290" spans="1:8" x14ac:dyDescent="0.2">
      <c r="A3290" s="16"/>
      <c r="B3290" s="16"/>
      <c r="C3290" s="17"/>
      <c r="D3290" s="17"/>
      <c r="E3290" s="17"/>
      <c r="F3290" s="17"/>
      <c r="G3290" s="17"/>
      <c r="H3290" s="17"/>
    </row>
    <row r="3291" spans="1:8" x14ac:dyDescent="0.2">
      <c r="A3291" s="16"/>
      <c r="B3291" s="16"/>
      <c r="C3291" s="17"/>
      <c r="D3291" s="17"/>
      <c r="E3291" s="17"/>
      <c r="F3291" s="17"/>
      <c r="G3291" s="17"/>
      <c r="H3291" s="17"/>
    </row>
    <row r="3292" spans="1:8" x14ac:dyDescent="0.2">
      <c r="A3292" s="16"/>
      <c r="B3292" s="16"/>
      <c r="C3292" s="17"/>
      <c r="D3292" s="17"/>
      <c r="E3292" s="17"/>
      <c r="F3292" s="17"/>
      <c r="G3292" s="17"/>
      <c r="H3292" s="17"/>
    </row>
    <row r="3293" spans="1:8" x14ac:dyDescent="0.2">
      <c r="A3293" s="16"/>
      <c r="B3293" s="16"/>
      <c r="C3293" s="17"/>
      <c r="D3293" s="17"/>
      <c r="E3293" s="17"/>
      <c r="F3293" s="17"/>
      <c r="G3293" s="17"/>
      <c r="H3293" s="17"/>
    </row>
    <row r="3294" spans="1:8" x14ac:dyDescent="0.2">
      <c r="A3294" s="16"/>
      <c r="B3294" s="16"/>
      <c r="C3294" s="17"/>
      <c r="D3294" s="17"/>
      <c r="E3294" s="17"/>
      <c r="F3294" s="17"/>
      <c r="G3294" s="17"/>
      <c r="H3294" s="17"/>
    </row>
    <row r="3295" spans="1:8" x14ac:dyDescent="0.2">
      <c r="A3295" s="16"/>
      <c r="B3295" s="16"/>
      <c r="C3295" s="17"/>
      <c r="D3295" s="17"/>
      <c r="E3295" s="17"/>
      <c r="F3295" s="17"/>
      <c r="G3295" s="17"/>
      <c r="H3295" s="17"/>
    </row>
    <row r="3296" spans="1:8" x14ac:dyDescent="0.2">
      <c r="A3296" s="16"/>
      <c r="B3296" s="16"/>
      <c r="C3296" s="17"/>
      <c r="D3296" s="17"/>
      <c r="E3296" s="17"/>
      <c r="F3296" s="17"/>
      <c r="G3296" s="17"/>
      <c r="H3296" s="17"/>
    </row>
    <row r="3297" spans="1:8" x14ac:dyDescent="0.2">
      <c r="A3297" s="16"/>
      <c r="B3297" s="16"/>
      <c r="C3297" s="17"/>
      <c r="D3297" s="17"/>
      <c r="E3297" s="17"/>
      <c r="F3297" s="17"/>
      <c r="G3297" s="17"/>
      <c r="H3297" s="17"/>
    </row>
    <row r="3298" spans="1:8" x14ac:dyDescent="0.2">
      <c r="A3298" s="16"/>
      <c r="B3298" s="16"/>
      <c r="C3298" s="17"/>
      <c r="D3298" s="17"/>
      <c r="E3298" s="17"/>
      <c r="F3298" s="17"/>
      <c r="G3298" s="17"/>
      <c r="H3298" s="17"/>
    </row>
    <row r="3299" spans="1:8" x14ac:dyDescent="0.2">
      <c r="A3299" s="16"/>
      <c r="B3299" s="16"/>
      <c r="C3299" s="17"/>
      <c r="D3299" s="17"/>
      <c r="E3299" s="17"/>
      <c r="F3299" s="17"/>
      <c r="G3299" s="17"/>
      <c r="H3299" s="17"/>
    </row>
    <row r="3300" spans="1:8" x14ac:dyDescent="0.2">
      <c r="A3300" s="16"/>
      <c r="B3300" s="16"/>
      <c r="C3300" s="17"/>
      <c r="D3300" s="17"/>
      <c r="E3300" s="17"/>
      <c r="F3300" s="17"/>
      <c r="G3300" s="17"/>
      <c r="H3300" s="17"/>
    </row>
    <row r="3301" spans="1:8" x14ac:dyDescent="0.2">
      <c r="A3301" s="16"/>
      <c r="B3301" s="16"/>
      <c r="C3301" s="17"/>
      <c r="D3301" s="17"/>
      <c r="E3301" s="17"/>
      <c r="F3301" s="17"/>
      <c r="G3301" s="17"/>
      <c r="H3301" s="17"/>
    </row>
    <row r="3302" spans="1:8" x14ac:dyDescent="0.2">
      <c r="A3302" s="16"/>
      <c r="B3302" s="16"/>
      <c r="C3302" s="17"/>
      <c r="D3302" s="17"/>
      <c r="E3302" s="17"/>
      <c r="F3302" s="17"/>
      <c r="G3302" s="17"/>
      <c r="H3302" s="17"/>
    </row>
    <row r="3303" spans="1:8" x14ac:dyDescent="0.2">
      <c r="A3303" s="16"/>
      <c r="B3303" s="16"/>
      <c r="C3303" s="17"/>
      <c r="D3303" s="17"/>
      <c r="E3303" s="17"/>
      <c r="F3303" s="17"/>
      <c r="G3303" s="17"/>
      <c r="H3303" s="17"/>
    </row>
    <row r="3304" spans="1:8" x14ac:dyDescent="0.2">
      <c r="A3304" s="16"/>
      <c r="B3304" s="16"/>
      <c r="C3304" s="17"/>
      <c r="D3304" s="17"/>
      <c r="E3304" s="17"/>
      <c r="F3304" s="17"/>
      <c r="G3304" s="17"/>
      <c r="H3304" s="17"/>
    </row>
    <row r="3305" spans="1:8" x14ac:dyDescent="0.2">
      <c r="A3305" s="16"/>
      <c r="B3305" s="16"/>
      <c r="C3305" s="17"/>
      <c r="D3305" s="17"/>
      <c r="E3305" s="17"/>
      <c r="F3305" s="17"/>
      <c r="G3305" s="17"/>
      <c r="H3305" s="17"/>
    </row>
    <row r="3306" spans="1:8" x14ac:dyDescent="0.2">
      <c r="A3306" s="16"/>
      <c r="B3306" s="16"/>
      <c r="C3306" s="17"/>
      <c r="D3306" s="17"/>
      <c r="E3306" s="17"/>
      <c r="F3306" s="17"/>
      <c r="G3306" s="17"/>
      <c r="H3306" s="17"/>
    </row>
    <row r="3307" spans="1:8" x14ac:dyDescent="0.2">
      <c r="A3307" s="16"/>
      <c r="B3307" s="16"/>
      <c r="C3307" s="17"/>
      <c r="D3307" s="17"/>
      <c r="E3307" s="17"/>
      <c r="F3307" s="17"/>
      <c r="G3307" s="17"/>
      <c r="H3307" s="17"/>
    </row>
    <row r="3308" spans="1:8" x14ac:dyDescent="0.2">
      <c r="A3308" s="16"/>
      <c r="B3308" s="16"/>
      <c r="C3308" s="17"/>
      <c r="D3308" s="17"/>
      <c r="E3308" s="17"/>
      <c r="F3308" s="17"/>
      <c r="G3308" s="17"/>
      <c r="H3308" s="17"/>
    </row>
    <row r="3309" spans="1:8" x14ac:dyDescent="0.2">
      <c r="A3309" s="16"/>
      <c r="B3309" s="16"/>
      <c r="C3309" s="17"/>
      <c r="D3309" s="17"/>
      <c r="E3309" s="17"/>
      <c r="F3309" s="17"/>
      <c r="G3309" s="17"/>
      <c r="H3309" s="17"/>
    </row>
    <row r="3310" spans="1:8" x14ac:dyDescent="0.2">
      <c r="A3310" s="16"/>
      <c r="B3310" s="16"/>
      <c r="C3310" s="17"/>
      <c r="D3310" s="17"/>
      <c r="E3310" s="17"/>
      <c r="F3310" s="17"/>
      <c r="G3310" s="17"/>
      <c r="H3310" s="17"/>
    </row>
    <row r="3311" spans="1:8" x14ac:dyDescent="0.2">
      <c r="A3311" s="16"/>
      <c r="B3311" s="16"/>
      <c r="C3311" s="17"/>
      <c r="D3311" s="17"/>
      <c r="E3311" s="17"/>
      <c r="F3311" s="17"/>
      <c r="G3311" s="17"/>
      <c r="H3311" s="17"/>
    </row>
    <row r="3312" spans="1:8" x14ac:dyDescent="0.2">
      <c r="A3312" s="16"/>
      <c r="B3312" s="16"/>
      <c r="C3312" s="17"/>
      <c r="D3312" s="17"/>
      <c r="E3312" s="17"/>
      <c r="F3312" s="17"/>
      <c r="G3312" s="17"/>
      <c r="H3312" s="17"/>
    </row>
    <row r="3313" spans="1:8" x14ac:dyDescent="0.2">
      <c r="A3313" s="16"/>
      <c r="B3313" s="16"/>
      <c r="C3313" s="17"/>
      <c r="D3313" s="17"/>
      <c r="E3313" s="17"/>
      <c r="F3313" s="17"/>
      <c r="G3313" s="17"/>
      <c r="H3313" s="17"/>
    </row>
    <row r="3314" spans="1:8" x14ac:dyDescent="0.2">
      <c r="A3314" s="16"/>
      <c r="B3314" s="16"/>
      <c r="C3314" s="17"/>
      <c r="D3314" s="17"/>
      <c r="E3314" s="17"/>
      <c r="F3314" s="17"/>
      <c r="G3314" s="17"/>
      <c r="H3314" s="17"/>
    </row>
    <row r="3315" spans="1:8" x14ac:dyDescent="0.2">
      <c r="A3315" s="16"/>
      <c r="B3315" s="16"/>
      <c r="C3315" s="17"/>
      <c r="D3315" s="17"/>
      <c r="E3315" s="17"/>
      <c r="F3315" s="17"/>
      <c r="G3315" s="17"/>
      <c r="H3315" s="17"/>
    </row>
    <row r="3316" spans="1:8" x14ac:dyDescent="0.2">
      <c r="A3316" s="16"/>
      <c r="B3316" s="16"/>
      <c r="C3316" s="17"/>
      <c r="D3316" s="17"/>
      <c r="E3316" s="17"/>
      <c r="F3316" s="17"/>
      <c r="G3316" s="17"/>
      <c r="H3316" s="17"/>
    </row>
    <row r="3317" spans="1:8" x14ac:dyDescent="0.2">
      <c r="A3317" s="16"/>
      <c r="B3317" s="16"/>
      <c r="C3317" s="17"/>
      <c r="D3317" s="17"/>
      <c r="E3317" s="17"/>
      <c r="F3317" s="17"/>
      <c r="G3317" s="17"/>
      <c r="H3317" s="17"/>
    </row>
    <row r="3318" spans="1:8" x14ac:dyDescent="0.2">
      <c r="A3318" s="16"/>
      <c r="B3318" s="16"/>
      <c r="C3318" s="17"/>
      <c r="D3318" s="17"/>
      <c r="E3318" s="17"/>
      <c r="F3318" s="17"/>
      <c r="G3318" s="17"/>
      <c r="H3318" s="17"/>
    </row>
    <row r="3319" spans="1:8" x14ac:dyDescent="0.2">
      <c r="A3319" s="16"/>
      <c r="B3319" s="16"/>
      <c r="C3319" s="17"/>
      <c r="D3319" s="17"/>
      <c r="E3319" s="17"/>
      <c r="F3319" s="17"/>
      <c r="G3319" s="17"/>
      <c r="H3319" s="17"/>
    </row>
    <row r="3320" spans="1:8" x14ac:dyDescent="0.2">
      <c r="A3320" s="16"/>
      <c r="B3320" s="16"/>
      <c r="C3320" s="17"/>
      <c r="D3320" s="17"/>
      <c r="E3320" s="17"/>
      <c r="F3320" s="17"/>
      <c r="G3320" s="17"/>
      <c r="H3320" s="17"/>
    </row>
    <row r="3321" spans="1:8" x14ac:dyDescent="0.2">
      <c r="A3321" s="16"/>
      <c r="B3321" s="16"/>
      <c r="C3321" s="17"/>
      <c r="D3321" s="17"/>
      <c r="E3321" s="17"/>
      <c r="F3321" s="17"/>
      <c r="G3321" s="17"/>
      <c r="H3321" s="17"/>
    </row>
    <row r="3322" spans="1:8" x14ac:dyDescent="0.2">
      <c r="A3322" s="16"/>
      <c r="B3322" s="16"/>
      <c r="C3322" s="17"/>
      <c r="D3322" s="17"/>
      <c r="E3322" s="17"/>
      <c r="F3322" s="17"/>
      <c r="G3322" s="17"/>
      <c r="H3322" s="17"/>
    </row>
    <row r="3323" spans="1:8" x14ac:dyDescent="0.2">
      <c r="A3323" s="16"/>
      <c r="B3323" s="16"/>
      <c r="C3323" s="17"/>
      <c r="D3323" s="17"/>
      <c r="E3323" s="17"/>
      <c r="F3323" s="17"/>
      <c r="G3323" s="17"/>
      <c r="H3323" s="17"/>
    </row>
    <row r="3324" spans="1:8" x14ac:dyDescent="0.2">
      <c r="A3324" s="16"/>
      <c r="B3324" s="16"/>
      <c r="C3324" s="17"/>
      <c r="D3324" s="17"/>
      <c r="E3324" s="17"/>
      <c r="F3324" s="17"/>
      <c r="G3324" s="17"/>
      <c r="H3324" s="17"/>
    </row>
    <row r="3325" spans="1:8" x14ac:dyDescent="0.2">
      <c r="A3325" s="16"/>
      <c r="B3325" s="16"/>
      <c r="C3325" s="17"/>
      <c r="D3325" s="17"/>
      <c r="E3325" s="17"/>
      <c r="F3325" s="17"/>
      <c r="G3325" s="17"/>
      <c r="H3325" s="17"/>
    </row>
    <row r="3326" spans="1:8" x14ac:dyDescent="0.2">
      <c r="A3326" s="16"/>
      <c r="B3326" s="16"/>
      <c r="C3326" s="17"/>
      <c r="D3326" s="17"/>
      <c r="E3326" s="17"/>
      <c r="F3326" s="17"/>
      <c r="G3326" s="17"/>
      <c r="H3326" s="17"/>
    </row>
    <row r="3327" spans="1:8" x14ac:dyDescent="0.2">
      <c r="A3327" s="16"/>
      <c r="B3327" s="16"/>
      <c r="C3327" s="17"/>
      <c r="D3327" s="17"/>
      <c r="E3327" s="17"/>
      <c r="F3327" s="17"/>
      <c r="G3327" s="17"/>
      <c r="H3327" s="17"/>
    </row>
    <row r="3328" spans="1:8" x14ac:dyDescent="0.2">
      <c r="A3328" s="16"/>
      <c r="B3328" s="16"/>
      <c r="C3328" s="17"/>
      <c r="D3328" s="17"/>
      <c r="E3328" s="17"/>
      <c r="F3328" s="17"/>
      <c r="G3328" s="17"/>
      <c r="H3328" s="17"/>
    </row>
    <row r="3329" spans="1:8" x14ac:dyDescent="0.2">
      <c r="A3329" s="16"/>
      <c r="B3329" s="16"/>
      <c r="C3329" s="17"/>
      <c r="D3329" s="17"/>
      <c r="E3329" s="17"/>
      <c r="F3329" s="17"/>
      <c r="G3329" s="17"/>
      <c r="H3329" s="17"/>
    </row>
    <row r="3330" spans="1:8" x14ac:dyDescent="0.2">
      <c r="A3330" s="16"/>
      <c r="B3330" s="16"/>
      <c r="C3330" s="17"/>
      <c r="D3330" s="17"/>
      <c r="E3330" s="17"/>
      <c r="F3330" s="17"/>
      <c r="G3330" s="17"/>
      <c r="H3330" s="17"/>
    </row>
    <row r="3331" spans="1:8" x14ac:dyDescent="0.2">
      <c r="A3331" s="16"/>
      <c r="B3331" s="16"/>
      <c r="C3331" s="17"/>
      <c r="D3331" s="17"/>
      <c r="E3331" s="17"/>
      <c r="F3331" s="17"/>
      <c r="G3331" s="17"/>
      <c r="H3331" s="17"/>
    </row>
    <row r="3332" spans="1:8" x14ac:dyDescent="0.2">
      <c r="A3332" s="16"/>
      <c r="B3332" s="16"/>
      <c r="C3332" s="17"/>
      <c r="D3332" s="17"/>
      <c r="E3332" s="17"/>
      <c r="F3332" s="17"/>
      <c r="G3332" s="17"/>
      <c r="H3332" s="17"/>
    </row>
    <row r="3333" spans="1:8" x14ac:dyDescent="0.2">
      <c r="A3333" s="16"/>
      <c r="B3333" s="16"/>
      <c r="C3333" s="17"/>
      <c r="D3333" s="17"/>
      <c r="E3333" s="17"/>
      <c r="F3333" s="17"/>
      <c r="G3333" s="17"/>
      <c r="H3333" s="17"/>
    </row>
    <row r="3334" spans="1:8" x14ac:dyDescent="0.2">
      <c r="A3334" s="16"/>
      <c r="B3334" s="16"/>
      <c r="C3334" s="17"/>
      <c r="D3334" s="17"/>
      <c r="E3334" s="17"/>
      <c r="F3334" s="17"/>
      <c r="G3334" s="17"/>
      <c r="H3334" s="17"/>
    </row>
    <row r="3335" spans="1:8" x14ac:dyDescent="0.2">
      <c r="A3335" s="16"/>
      <c r="B3335" s="16"/>
      <c r="C3335" s="17"/>
      <c r="D3335" s="17"/>
      <c r="E3335" s="17"/>
      <c r="F3335" s="17"/>
      <c r="G3335" s="17"/>
      <c r="H3335" s="17"/>
    </row>
    <row r="3336" spans="1:8" x14ac:dyDescent="0.2">
      <c r="A3336" s="16"/>
      <c r="B3336" s="16"/>
      <c r="C3336" s="17"/>
      <c r="D3336" s="17"/>
      <c r="E3336" s="17"/>
      <c r="F3336" s="17"/>
      <c r="G3336" s="17"/>
      <c r="H3336" s="17"/>
    </row>
    <row r="3337" spans="1:8" x14ac:dyDescent="0.2">
      <c r="A3337" s="16"/>
      <c r="B3337" s="16"/>
      <c r="C3337" s="17"/>
      <c r="D3337" s="17"/>
      <c r="E3337" s="17"/>
      <c r="F3337" s="17"/>
      <c r="G3337" s="17"/>
      <c r="H3337" s="17"/>
    </row>
    <row r="3338" spans="1:8" x14ac:dyDescent="0.2">
      <c r="A3338" s="16"/>
      <c r="B3338" s="16"/>
      <c r="C3338" s="17"/>
      <c r="D3338" s="17"/>
      <c r="E3338" s="17"/>
      <c r="F3338" s="17"/>
      <c r="G3338" s="17"/>
      <c r="H3338" s="17"/>
    </row>
    <row r="3339" spans="1:8" x14ac:dyDescent="0.2">
      <c r="A3339" s="16"/>
      <c r="B3339" s="16"/>
      <c r="C3339" s="17"/>
      <c r="D3339" s="17"/>
      <c r="E3339" s="17"/>
      <c r="F3339" s="17"/>
      <c r="G3339" s="17"/>
      <c r="H3339" s="17"/>
    </row>
    <row r="3340" spans="1:8" x14ac:dyDescent="0.2">
      <c r="A3340" s="16"/>
      <c r="B3340" s="16"/>
      <c r="C3340" s="17"/>
      <c r="D3340" s="17"/>
      <c r="E3340" s="17"/>
      <c r="F3340" s="17"/>
      <c r="G3340" s="17"/>
      <c r="H3340" s="17"/>
    </row>
    <row r="3341" spans="1:8" x14ac:dyDescent="0.2">
      <c r="A3341" s="16"/>
      <c r="B3341" s="16"/>
      <c r="C3341" s="17"/>
      <c r="D3341" s="17"/>
      <c r="E3341" s="17"/>
      <c r="F3341" s="17"/>
      <c r="G3341" s="17"/>
      <c r="H3341" s="17"/>
    </row>
    <row r="3342" spans="1:8" x14ac:dyDescent="0.2">
      <c r="A3342" s="16"/>
      <c r="B3342" s="16"/>
      <c r="C3342" s="17"/>
      <c r="D3342" s="17"/>
      <c r="E3342" s="17"/>
      <c r="F3342" s="17"/>
      <c r="G3342" s="17"/>
      <c r="H3342" s="17"/>
    </row>
    <row r="3343" spans="1:8" x14ac:dyDescent="0.2">
      <c r="A3343" s="16"/>
      <c r="B3343" s="16"/>
      <c r="C3343" s="17"/>
      <c r="D3343" s="17"/>
      <c r="E3343" s="17"/>
      <c r="F3343" s="17"/>
      <c r="G3343" s="17"/>
      <c r="H3343" s="17"/>
    </row>
    <row r="3344" spans="1:8" x14ac:dyDescent="0.2">
      <c r="A3344" s="16"/>
      <c r="B3344" s="16"/>
      <c r="C3344" s="17"/>
      <c r="D3344" s="17"/>
      <c r="E3344" s="17"/>
      <c r="F3344" s="17"/>
      <c r="G3344" s="17"/>
      <c r="H3344" s="17"/>
    </row>
    <row r="3345" spans="1:8" x14ac:dyDescent="0.2">
      <c r="A3345" s="16"/>
      <c r="B3345" s="16"/>
      <c r="C3345" s="17"/>
      <c r="D3345" s="17"/>
      <c r="E3345" s="17"/>
      <c r="F3345" s="17"/>
      <c r="G3345" s="17"/>
      <c r="H3345" s="17"/>
    </row>
    <row r="3346" spans="1:8" x14ac:dyDescent="0.2">
      <c r="A3346" s="16"/>
      <c r="B3346" s="16"/>
      <c r="C3346" s="17"/>
      <c r="D3346" s="17"/>
      <c r="E3346" s="17"/>
      <c r="F3346" s="17"/>
      <c r="G3346" s="17"/>
      <c r="H3346" s="17"/>
    </row>
    <row r="3347" spans="1:8" x14ac:dyDescent="0.2">
      <c r="A3347" s="16"/>
      <c r="B3347" s="16"/>
      <c r="C3347" s="17"/>
      <c r="D3347" s="17"/>
      <c r="E3347" s="17"/>
      <c r="F3347" s="17"/>
      <c r="G3347" s="17"/>
      <c r="H3347" s="17"/>
    </row>
    <row r="3348" spans="1:8" x14ac:dyDescent="0.2">
      <c r="A3348" s="16"/>
      <c r="B3348" s="16"/>
      <c r="C3348" s="17"/>
      <c r="D3348" s="17"/>
      <c r="E3348" s="17"/>
      <c r="F3348" s="17"/>
      <c r="G3348" s="17"/>
      <c r="H3348" s="17"/>
    </row>
    <row r="3349" spans="1:8" x14ac:dyDescent="0.2">
      <c r="A3349" s="16"/>
      <c r="B3349" s="16"/>
      <c r="C3349" s="17"/>
      <c r="D3349" s="17"/>
      <c r="E3349" s="17"/>
      <c r="F3349" s="17"/>
      <c r="G3349" s="17"/>
      <c r="H3349" s="17"/>
    </row>
    <row r="3350" spans="1:8" x14ac:dyDescent="0.2">
      <c r="A3350" s="16"/>
      <c r="B3350" s="16"/>
      <c r="C3350" s="17"/>
      <c r="D3350" s="17"/>
      <c r="E3350" s="17"/>
      <c r="F3350" s="17"/>
      <c r="G3350" s="17"/>
      <c r="H3350" s="17"/>
    </row>
    <row r="3351" spans="1:8" x14ac:dyDescent="0.2">
      <c r="A3351" s="16"/>
      <c r="B3351" s="16"/>
      <c r="C3351" s="17"/>
      <c r="D3351" s="17"/>
      <c r="E3351" s="17"/>
      <c r="F3351" s="17"/>
      <c r="G3351" s="17"/>
      <c r="H3351" s="17"/>
    </row>
    <row r="3352" spans="1:8" x14ac:dyDescent="0.2">
      <c r="A3352" s="16"/>
      <c r="B3352" s="16"/>
      <c r="C3352" s="17"/>
      <c r="D3352" s="17"/>
      <c r="E3352" s="17"/>
      <c r="F3352" s="17"/>
      <c r="G3352" s="17"/>
      <c r="H3352" s="17"/>
    </row>
    <row r="3353" spans="1:8" x14ac:dyDescent="0.2">
      <c r="A3353" s="16"/>
      <c r="B3353" s="16"/>
      <c r="C3353" s="17"/>
      <c r="D3353" s="17"/>
      <c r="E3353" s="17"/>
      <c r="F3353" s="17"/>
      <c r="G3353" s="17"/>
      <c r="H3353" s="17"/>
    </row>
    <row r="3354" spans="1:8" x14ac:dyDescent="0.2">
      <c r="A3354" s="16"/>
      <c r="B3354" s="16"/>
      <c r="C3354" s="17"/>
      <c r="D3354" s="17"/>
      <c r="E3354" s="17"/>
      <c r="F3354" s="17"/>
      <c r="G3354" s="17"/>
      <c r="H3354" s="17"/>
    </row>
    <row r="3355" spans="1:8" x14ac:dyDescent="0.2">
      <c r="A3355" s="16"/>
      <c r="B3355" s="16"/>
      <c r="C3355" s="17"/>
      <c r="D3355" s="17"/>
      <c r="E3355" s="17"/>
      <c r="F3355" s="17"/>
      <c r="G3355" s="17"/>
      <c r="H3355" s="17"/>
    </row>
    <row r="3356" spans="1:8" x14ac:dyDescent="0.2">
      <c r="A3356" s="16"/>
      <c r="B3356" s="16"/>
      <c r="C3356" s="17"/>
      <c r="D3356" s="17"/>
      <c r="E3356" s="17"/>
      <c r="F3356" s="17"/>
      <c r="G3356" s="17"/>
      <c r="H3356" s="17"/>
    </row>
    <row r="3357" spans="1:8" x14ac:dyDescent="0.2">
      <c r="A3357" s="16"/>
      <c r="B3357" s="16"/>
      <c r="C3357" s="17"/>
      <c r="D3357" s="17"/>
      <c r="E3357" s="17"/>
      <c r="F3357" s="17"/>
      <c r="G3357" s="17"/>
      <c r="H3357" s="17"/>
    </row>
    <row r="3358" spans="1:8" x14ac:dyDescent="0.2">
      <c r="A3358" s="16"/>
      <c r="B3358" s="16"/>
      <c r="C3358" s="17"/>
      <c r="D3358" s="17"/>
      <c r="E3358" s="17"/>
      <c r="F3358" s="17"/>
      <c r="G3358" s="17"/>
      <c r="H3358" s="17"/>
    </row>
    <row r="3359" spans="1:8" x14ac:dyDescent="0.2">
      <c r="A3359" s="16"/>
      <c r="B3359" s="16"/>
      <c r="C3359" s="17"/>
      <c r="D3359" s="17"/>
      <c r="E3359" s="17"/>
      <c r="F3359" s="17"/>
      <c r="G3359" s="17"/>
      <c r="H3359" s="17"/>
    </row>
    <row r="3360" spans="1:8" x14ac:dyDescent="0.2">
      <c r="A3360" s="16"/>
      <c r="B3360" s="16"/>
      <c r="C3360" s="17"/>
      <c r="D3360" s="17"/>
      <c r="E3360" s="17"/>
      <c r="F3360" s="17"/>
      <c r="G3360" s="17"/>
      <c r="H3360" s="17"/>
    </row>
    <row r="3361" spans="1:8" x14ac:dyDescent="0.2">
      <c r="A3361" s="16"/>
      <c r="B3361" s="16"/>
      <c r="C3361" s="17"/>
      <c r="D3361" s="17"/>
      <c r="E3361" s="17"/>
      <c r="F3361" s="17"/>
      <c r="G3361" s="17"/>
      <c r="H3361" s="17"/>
    </row>
    <row r="3362" spans="1:8" x14ac:dyDescent="0.2">
      <c r="A3362" s="16"/>
      <c r="B3362" s="16"/>
      <c r="C3362" s="17"/>
      <c r="D3362" s="17"/>
      <c r="E3362" s="17"/>
      <c r="F3362" s="17"/>
      <c r="G3362" s="17"/>
      <c r="H3362" s="17"/>
    </row>
    <row r="3363" spans="1:8" x14ac:dyDescent="0.2">
      <c r="A3363" s="16"/>
      <c r="B3363" s="16"/>
      <c r="C3363" s="17"/>
      <c r="D3363" s="17"/>
      <c r="E3363" s="17"/>
      <c r="F3363" s="17"/>
      <c r="G3363" s="17"/>
      <c r="H3363" s="17"/>
    </row>
    <row r="3364" spans="1:8" x14ac:dyDescent="0.2">
      <c r="A3364" s="16"/>
      <c r="B3364" s="16"/>
      <c r="C3364" s="17"/>
      <c r="D3364" s="17"/>
      <c r="E3364" s="17"/>
      <c r="F3364" s="17"/>
      <c r="G3364" s="17"/>
      <c r="H3364" s="17"/>
    </row>
    <row r="3365" spans="1:8" x14ac:dyDescent="0.2">
      <c r="A3365" s="16"/>
      <c r="B3365" s="16"/>
      <c r="C3365" s="17"/>
      <c r="D3365" s="17"/>
      <c r="E3365" s="17"/>
      <c r="F3365" s="17"/>
      <c r="G3365" s="17"/>
      <c r="H3365" s="17"/>
    </row>
    <row r="3366" spans="1:8" x14ac:dyDescent="0.2">
      <c r="A3366" s="16"/>
      <c r="B3366" s="16"/>
      <c r="C3366" s="17"/>
      <c r="D3366" s="17"/>
      <c r="E3366" s="17"/>
      <c r="F3366" s="17"/>
      <c r="G3366" s="17"/>
      <c r="H3366" s="17"/>
    </row>
    <row r="3367" spans="1:8" x14ac:dyDescent="0.2">
      <c r="A3367" s="16"/>
      <c r="B3367" s="16"/>
      <c r="C3367" s="17"/>
      <c r="D3367" s="17"/>
      <c r="E3367" s="17"/>
      <c r="F3367" s="17"/>
      <c r="G3367" s="17"/>
      <c r="H3367" s="17"/>
    </row>
    <row r="3368" spans="1:8" x14ac:dyDescent="0.2">
      <c r="A3368" s="16"/>
      <c r="B3368" s="16"/>
      <c r="C3368" s="17"/>
      <c r="D3368" s="17"/>
      <c r="E3368" s="17"/>
      <c r="F3368" s="17"/>
      <c r="G3368" s="17"/>
      <c r="H3368" s="17"/>
    </row>
    <row r="3369" spans="1:8" x14ac:dyDescent="0.2">
      <c r="A3369" s="16"/>
      <c r="B3369" s="16"/>
      <c r="C3369" s="17"/>
      <c r="D3369" s="17"/>
      <c r="E3369" s="17"/>
      <c r="F3369" s="17"/>
      <c r="G3369" s="17"/>
      <c r="H3369" s="17"/>
    </row>
    <row r="3370" spans="1:8" x14ac:dyDescent="0.2">
      <c r="A3370" s="16"/>
      <c r="B3370" s="16"/>
      <c r="C3370" s="17"/>
      <c r="D3370" s="17"/>
      <c r="E3370" s="17"/>
      <c r="F3370" s="17"/>
      <c r="G3370" s="17"/>
      <c r="H3370" s="17"/>
    </row>
    <row r="3371" spans="1:8" x14ac:dyDescent="0.2">
      <c r="A3371" s="16"/>
      <c r="B3371" s="16"/>
      <c r="C3371" s="17"/>
      <c r="D3371" s="17"/>
      <c r="E3371" s="17"/>
      <c r="F3371" s="17"/>
      <c r="G3371" s="17"/>
      <c r="H3371" s="17"/>
    </row>
    <row r="3372" spans="1:8" x14ac:dyDescent="0.2">
      <c r="A3372" s="16"/>
      <c r="B3372" s="16"/>
      <c r="C3372" s="17"/>
      <c r="D3372" s="17"/>
      <c r="E3372" s="17"/>
      <c r="F3372" s="17"/>
      <c r="G3372" s="17"/>
      <c r="H3372" s="17"/>
    </row>
    <row r="3373" spans="1:8" x14ac:dyDescent="0.2">
      <c r="A3373" s="16"/>
      <c r="B3373" s="16"/>
      <c r="C3373" s="17"/>
      <c r="D3373" s="17"/>
      <c r="E3373" s="17"/>
      <c r="F3373" s="17"/>
      <c r="G3373" s="17"/>
      <c r="H3373" s="17"/>
    </row>
    <row r="3374" spans="1:8" x14ac:dyDescent="0.2">
      <c r="A3374" s="16"/>
      <c r="B3374" s="16"/>
      <c r="C3374" s="17"/>
      <c r="D3374" s="17"/>
      <c r="E3374" s="17"/>
      <c r="F3374" s="17"/>
      <c r="G3374" s="17"/>
      <c r="H3374" s="17"/>
    </row>
    <row r="3375" spans="1:8" x14ac:dyDescent="0.2">
      <c r="A3375" s="16"/>
      <c r="B3375" s="16"/>
      <c r="C3375" s="17"/>
      <c r="D3375" s="17"/>
      <c r="E3375" s="17"/>
      <c r="F3375" s="17"/>
      <c r="G3375" s="17"/>
      <c r="H3375" s="17"/>
    </row>
    <row r="3376" spans="1:8" x14ac:dyDescent="0.2">
      <c r="A3376" s="16"/>
      <c r="B3376" s="16"/>
      <c r="C3376" s="17"/>
      <c r="D3376" s="17"/>
      <c r="E3376" s="17"/>
      <c r="F3376" s="17"/>
      <c r="G3376" s="17"/>
      <c r="H3376" s="17"/>
    </row>
    <row r="3377" spans="1:8" x14ac:dyDescent="0.2">
      <c r="A3377" s="16"/>
      <c r="B3377" s="16"/>
      <c r="C3377" s="17"/>
      <c r="D3377" s="17"/>
      <c r="E3377" s="17"/>
      <c r="F3377" s="17"/>
      <c r="G3377" s="17"/>
      <c r="H3377" s="17"/>
    </row>
    <row r="3378" spans="1:8" x14ac:dyDescent="0.2">
      <c r="A3378" s="16"/>
      <c r="B3378" s="16"/>
      <c r="C3378" s="17"/>
      <c r="D3378" s="17"/>
      <c r="E3378" s="17"/>
      <c r="F3378" s="17"/>
      <c r="G3378" s="17"/>
      <c r="H3378" s="17"/>
    </row>
    <row r="3379" spans="1:8" x14ac:dyDescent="0.2">
      <c r="A3379" s="16"/>
      <c r="B3379" s="16"/>
      <c r="C3379" s="17"/>
      <c r="D3379" s="17"/>
      <c r="E3379" s="17"/>
      <c r="F3379" s="17"/>
      <c r="G3379" s="17"/>
      <c r="H3379" s="17"/>
    </row>
    <row r="3380" spans="1:8" x14ac:dyDescent="0.2">
      <c r="A3380" s="16"/>
      <c r="B3380" s="16"/>
      <c r="C3380" s="17"/>
      <c r="D3380" s="17"/>
      <c r="E3380" s="17"/>
      <c r="F3380" s="17"/>
      <c r="G3380" s="17"/>
      <c r="H3380" s="17"/>
    </row>
    <row r="3381" spans="1:8" x14ac:dyDescent="0.2">
      <c r="A3381" s="16"/>
      <c r="B3381" s="16"/>
      <c r="C3381" s="17"/>
      <c r="D3381" s="17"/>
      <c r="E3381" s="17"/>
      <c r="F3381" s="17"/>
      <c r="G3381" s="17"/>
      <c r="H3381" s="17"/>
    </row>
    <row r="3382" spans="1:8" x14ac:dyDescent="0.2">
      <c r="A3382" s="16"/>
      <c r="B3382" s="16"/>
      <c r="C3382" s="17"/>
      <c r="D3382" s="17"/>
      <c r="E3382" s="17"/>
      <c r="F3382" s="17"/>
      <c r="G3382" s="17"/>
      <c r="H3382" s="17"/>
    </row>
    <row r="3383" spans="1:8" x14ac:dyDescent="0.2">
      <c r="A3383" s="16"/>
      <c r="B3383" s="16"/>
      <c r="C3383" s="17"/>
      <c r="D3383" s="17"/>
      <c r="E3383" s="17"/>
      <c r="F3383" s="17"/>
      <c r="G3383" s="17"/>
      <c r="H3383" s="17"/>
    </row>
    <row r="3384" spans="1:8" x14ac:dyDescent="0.2">
      <c r="A3384" s="16"/>
      <c r="B3384" s="16"/>
      <c r="C3384" s="17"/>
      <c r="D3384" s="17"/>
      <c r="E3384" s="17"/>
      <c r="F3384" s="17"/>
      <c r="G3384" s="17"/>
      <c r="H3384" s="17"/>
    </row>
    <row r="3385" spans="1:8" x14ac:dyDescent="0.2">
      <c r="A3385" s="16"/>
      <c r="B3385" s="16"/>
      <c r="C3385" s="17"/>
      <c r="D3385" s="17"/>
      <c r="E3385" s="17"/>
      <c r="F3385" s="17"/>
      <c r="G3385" s="17"/>
      <c r="H3385" s="17"/>
    </row>
    <row r="3386" spans="1:8" x14ac:dyDescent="0.2">
      <c r="A3386" s="16"/>
      <c r="B3386" s="16"/>
      <c r="C3386" s="17"/>
      <c r="D3386" s="17"/>
      <c r="E3386" s="17"/>
      <c r="F3386" s="17"/>
      <c r="G3386" s="17"/>
      <c r="H3386" s="17"/>
    </row>
    <row r="3387" spans="1:8" x14ac:dyDescent="0.2">
      <c r="A3387" s="16"/>
      <c r="B3387" s="16"/>
      <c r="C3387" s="17"/>
      <c r="D3387" s="17"/>
      <c r="E3387" s="17"/>
      <c r="F3387" s="17"/>
      <c r="G3387" s="17"/>
      <c r="H3387" s="17"/>
    </row>
    <row r="3388" spans="1:8" x14ac:dyDescent="0.2">
      <c r="A3388" s="16"/>
      <c r="B3388" s="16"/>
      <c r="C3388" s="17"/>
      <c r="D3388" s="17"/>
      <c r="E3388" s="17"/>
      <c r="F3388" s="17"/>
      <c r="G3388" s="17"/>
      <c r="H3388" s="17"/>
    </row>
    <row r="3389" spans="1:8" x14ac:dyDescent="0.2">
      <c r="A3389" s="16"/>
      <c r="B3389" s="16"/>
      <c r="C3389" s="17"/>
      <c r="D3389" s="17"/>
      <c r="E3389" s="17"/>
      <c r="F3389" s="17"/>
      <c r="G3389" s="17"/>
      <c r="H3389" s="17"/>
    </row>
    <row r="3390" spans="1:8" x14ac:dyDescent="0.2">
      <c r="A3390" s="16"/>
      <c r="B3390" s="16"/>
      <c r="C3390" s="17"/>
      <c r="D3390" s="17"/>
      <c r="E3390" s="17"/>
      <c r="F3390" s="17"/>
      <c r="G3390" s="17"/>
      <c r="H3390" s="17"/>
    </row>
    <row r="3391" spans="1:8" x14ac:dyDescent="0.2">
      <c r="A3391" s="16"/>
      <c r="B3391" s="16"/>
      <c r="C3391" s="17"/>
      <c r="D3391" s="17"/>
      <c r="E3391" s="17"/>
      <c r="F3391" s="17"/>
      <c r="G3391" s="17"/>
      <c r="H3391" s="17"/>
    </row>
    <row r="3392" spans="1:8" x14ac:dyDescent="0.2">
      <c r="A3392" s="16"/>
      <c r="B3392" s="16"/>
      <c r="C3392" s="17"/>
      <c r="D3392" s="17"/>
      <c r="E3392" s="17"/>
      <c r="F3392" s="17"/>
      <c r="G3392" s="17"/>
      <c r="H3392" s="17"/>
    </row>
    <row r="3393" spans="1:8" x14ac:dyDescent="0.2">
      <c r="A3393" s="16"/>
      <c r="B3393" s="16"/>
      <c r="C3393" s="17"/>
      <c r="D3393" s="17"/>
      <c r="E3393" s="17"/>
      <c r="F3393" s="17"/>
      <c r="G3393" s="17"/>
      <c r="H3393" s="17"/>
    </row>
    <row r="3394" spans="1:8" x14ac:dyDescent="0.2">
      <c r="A3394" s="16"/>
      <c r="B3394" s="16"/>
      <c r="C3394" s="17"/>
      <c r="D3394" s="17"/>
      <c r="E3394" s="17"/>
      <c r="F3394" s="17"/>
      <c r="G3394" s="17"/>
      <c r="H3394" s="17"/>
    </row>
    <row r="3395" spans="1:8" x14ac:dyDescent="0.2">
      <c r="A3395" s="16"/>
      <c r="B3395" s="16"/>
      <c r="C3395" s="17"/>
      <c r="D3395" s="17"/>
      <c r="E3395" s="17"/>
      <c r="F3395" s="17"/>
      <c r="G3395" s="17"/>
      <c r="H3395" s="17"/>
    </row>
    <row r="3396" spans="1:8" x14ac:dyDescent="0.2">
      <c r="A3396" s="16"/>
      <c r="B3396" s="16"/>
      <c r="C3396" s="17"/>
      <c r="D3396" s="17"/>
      <c r="E3396" s="17"/>
      <c r="F3396" s="17"/>
      <c r="G3396" s="17"/>
      <c r="H3396" s="17"/>
    </row>
    <row r="3397" spans="1:8" x14ac:dyDescent="0.2">
      <c r="A3397" s="16"/>
      <c r="B3397" s="16"/>
      <c r="C3397" s="17"/>
      <c r="D3397" s="17"/>
      <c r="E3397" s="17"/>
      <c r="F3397" s="17"/>
      <c r="G3397" s="17"/>
      <c r="H3397" s="17"/>
    </row>
    <row r="3398" spans="1:8" x14ac:dyDescent="0.2">
      <c r="A3398" s="16"/>
      <c r="B3398" s="16"/>
      <c r="C3398" s="17"/>
      <c r="D3398" s="17"/>
      <c r="E3398" s="17"/>
      <c r="F3398" s="17"/>
      <c r="G3398" s="17"/>
      <c r="H3398" s="17"/>
    </row>
    <row r="3399" spans="1:8" x14ac:dyDescent="0.2">
      <c r="A3399" s="16"/>
      <c r="B3399" s="16"/>
      <c r="C3399" s="17"/>
      <c r="D3399" s="17"/>
      <c r="E3399" s="17"/>
      <c r="F3399" s="17"/>
      <c r="G3399" s="17"/>
      <c r="H3399" s="17"/>
    </row>
    <row r="3400" spans="1:8" x14ac:dyDescent="0.2">
      <c r="A3400" s="16"/>
      <c r="B3400" s="16"/>
      <c r="C3400" s="17"/>
      <c r="D3400" s="17"/>
      <c r="E3400" s="17"/>
      <c r="F3400" s="17"/>
      <c r="G3400" s="17"/>
      <c r="H3400" s="17"/>
    </row>
    <row r="3401" spans="1:8" x14ac:dyDescent="0.2">
      <c r="A3401" s="16"/>
      <c r="B3401" s="16"/>
      <c r="C3401" s="17"/>
      <c r="D3401" s="17"/>
      <c r="E3401" s="17"/>
      <c r="F3401" s="17"/>
      <c r="G3401" s="17"/>
      <c r="H3401" s="17"/>
    </row>
    <row r="3402" spans="1:8" x14ac:dyDescent="0.2">
      <c r="A3402" s="16"/>
      <c r="B3402" s="16"/>
      <c r="C3402" s="17"/>
      <c r="D3402" s="17"/>
      <c r="E3402" s="17"/>
      <c r="F3402" s="17"/>
      <c r="G3402" s="17"/>
      <c r="H3402" s="17"/>
    </row>
    <row r="3403" spans="1:8" x14ac:dyDescent="0.2">
      <c r="A3403" s="16"/>
      <c r="B3403" s="16"/>
      <c r="C3403" s="17"/>
      <c r="D3403" s="17"/>
      <c r="E3403" s="17"/>
      <c r="F3403" s="17"/>
      <c r="G3403" s="17"/>
      <c r="H3403" s="17"/>
    </row>
    <row r="3404" spans="1:8" x14ac:dyDescent="0.2">
      <c r="A3404" s="16"/>
      <c r="B3404" s="16"/>
      <c r="C3404" s="17"/>
      <c r="D3404" s="17"/>
      <c r="E3404" s="17"/>
      <c r="F3404" s="17"/>
      <c r="G3404" s="17"/>
      <c r="H3404" s="17"/>
    </row>
    <row r="3405" spans="1:8" x14ac:dyDescent="0.2">
      <c r="A3405" s="16"/>
      <c r="B3405" s="16"/>
      <c r="C3405" s="17"/>
      <c r="D3405" s="17"/>
      <c r="E3405" s="17"/>
      <c r="F3405" s="17"/>
      <c r="G3405" s="17"/>
      <c r="H3405" s="17"/>
    </row>
    <row r="3406" spans="1:8" x14ac:dyDescent="0.2">
      <c r="A3406" s="16"/>
      <c r="B3406" s="16"/>
      <c r="C3406" s="17"/>
      <c r="D3406" s="17"/>
      <c r="E3406" s="17"/>
      <c r="F3406" s="17"/>
      <c r="G3406" s="17"/>
      <c r="H3406" s="17"/>
    </row>
    <row r="3407" spans="1:8" x14ac:dyDescent="0.2">
      <c r="A3407" s="16"/>
      <c r="B3407" s="16"/>
      <c r="C3407" s="17"/>
      <c r="D3407" s="17"/>
      <c r="E3407" s="17"/>
      <c r="F3407" s="17"/>
      <c r="G3407" s="17"/>
      <c r="H3407" s="17"/>
    </row>
    <row r="3408" spans="1:8" x14ac:dyDescent="0.2">
      <c r="A3408" s="16"/>
      <c r="B3408" s="16"/>
      <c r="C3408" s="17"/>
      <c r="D3408" s="17"/>
      <c r="E3408" s="17"/>
      <c r="F3408" s="17"/>
      <c r="G3408" s="17"/>
      <c r="H3408" s="17"/>
    </row>
    <row r="3409" spans="1:8" x14ac:dyDescent="0.2">
      <c r="A3409" s="16"/>
      <c r="B3409" s="16"/>
      <c r="C3409" s="17"/>
      <c r="D3409" s="17"/>
      <c r="E3409" s="17"/>
      <c r="F3409" s="17"/>
      <c r="G3409" s="17"/>
      <c r="H3409" s="17"/>
    </row>
    <row r="3410" spans="1:8" x14ac:dyDescent="0.2">
      <c r="A3410" s="16"/>
      <c r="B3410" s="16"/>
      <c r="C3410" s="17"/>
      <c r="D3410" s="17"/>
      <c r="E3410" s="17"/>
      <c r="F3410" s="17"/>
      <c r="G3410" s="17"/>
      <c r="H3410" s="17"/>
    </row>
    <row r="3411" spans="1:8" x14ac:dyDescent="0.2">
      <c r="A3411" s="16"/>
      <c r="B3411" s="16"/>
      <c r="C3411" s="17"/>
      <c r="D3411" s="17"/>
      <c r="E3411" s="17"/>
      <c r="F3411" s="17"/>
      <c r="G3411" s="17"/>
      <c r="H3411" s="17"/>
    </row>
    <row r="3412" spans="1:8" x14ac:dyDescent="0.2">
      <c r="A3412" s="16"/>
      <c r="B3412" s="16"/>
      <c r="C3412" s="17"/>
      <c r="D3412" s="17"/>
      <c r="E3412" s="17"/>
      <c r="F3412" s="17"/>
      <c r="G3412" s="17"/>
      <c r="H3412" s="17"/>
    </row>
    <row r="3413" spans="1:8" x14ac:dyDescent="0.2">
      <c r="A3413" s="16"/>
      <c r="B3413" s="16"/>
      <c r="C3413" s="17"/>
      <c r="D3413" s="17"/>
      <c r="E3413" s="17"/>
      <c r="F3413" s="17"/>
      <c r="G3413" s="17"/>
      <c r="H3413" s="17"/>
    </row>
    <row r="3414" spans="1:8" x14ac:dyDescent="0.2">
      <c r="A3414" s="16"/>
      <c r="B3414" s="16"/>
      <c r="C3414" s="17"/>
      <c r="D3414" s="17"/>
      <c r="E3414" s="17"/>
      <c r="F3414" s="17"/>
      <c r="G3414" s="17"/>
      <c r="H3414" s="17"/>
    </row>
    <row r="3415" spans="1:8" x14ac:dyDescent="0.2">
      <c r="A3415" s="16"/>
      <c r="B3415" s="16"/>
      <c r="C3415" s="17"/>
      <c r="D3415" s="17"/>
      <c r="E3415" s="17"/>
      <c r="F3415" s="17"/>
      <c r="G3415" s="17"/>
      <c r="H3415" s="17"/>
    </row>
    <row r="3416" spans="1:8" x14ac:dyDescent="0.2">
      <c r="A3416" s="16"/>
      <c r="B3416" s="16"/>
      <c r="C3416" s="17"/>
      <c r="D3416" s="17"/>
      <c r="E3416" s="17"/>
      <c r="F3416" s="17"/>
      <c r="G3416" s="17"/>
      <c r="H3416" s="17"/>
    </row>
    <row r="3417" spans="1:8" x14ac:dyDescent="0.2">
      <c r="A3417" s="16"/>
      <c r="B3417" s="16"/>
      <c r="C3417" s="17"/>
      <c r="D3417" s="17"/>
      <c r="E3417" s="17"/>
      <c r="F3417" s="17"/>
      <c r="G3417" s="17"/>
      <c r="H3417" s="17"/>
    </row>
    <row r="3418" spans="1:8" x14ac:dyDescent="0.2">
      <c r="A3418" s="16"/>
      <c r="B3418" s="16"/>
      <c r="C3418" s="17"/>
      <c r="D3418" s="17"/>
      <c r="E3418" s="17"/>
      <c r="F3418" s="17"/>
      <c r="G3418" s="17"/>
      <c r="H3418" s="17"/>
    </row>
    <row r="3419" spans="1:8" x14ac:dyDescent="0.2">
      <c r="A3419" s="16"/>
      <c r="B3419" s="16"/>
      <c r="C3419" s="17"/>
      <c r="D3419" s="17"/>
      <c r="E3419" s="17"/>
      <c r="F3419" s="17"/>
      <c r="G3419" s="17"/>
      <c r="H3419" s="17"/>
    </row>
    <row r="3420" spans="1:8" x14ac:dyDescent="0.2">
      <c r="A3420" s="16"/>
      <c r="B3420" s="16"/>
      <c r="C3420" s="17"/>
      <c r="D3420" s="17"/>
      <c r="E3420" s="17"/>
      <c r="F3420" s="17"/>
      <c r="G3420" s="17"/>
      <c r="H3420" s="17"/>
    </row>
    <row r="3421" spans="1:8" x14ac:dyDescent="0.2">
      <c r="A3421" s="16"/>
      <c r="B3421" s="16"/>
      <c r="C3421" s="17"/>
      <c r="D3421" s="17"/>
      <c r="E3421" s="17"/>
      <c r="F3421" s="17"/>
      <c r="G3421" s="17"/>
      <c r="H3421" s="17"/>
    </row>
    <row r="3422" spans="1:8" x14ac:dyDescent="0.2">
      <c r="A3422" s="16"/>
      <c r="B3422" s="16"/>
      <c r="C3422" s="17"/>
      <c r="D3422" s="17"/>
      <c r="E3422" s="17"/>
      <c r="F3422" s="17"/>
      <c r="G3422" s="17"/>
      <c r="H3422" s="17"/>
    </row>
    <row r="3423" spans="1:8" x14ac:dyDescent="0.2">
      <c r="A3423" s="16"/>
      <c r="B3423" s="16"/>
      <c r="C3423" s="17"/>
      <c r="D3423" s="17"/>
      <c r="E3423" s="17"/>
      <c r="F3423" s="17"/>
      <c r="G3423" s="17"/>
      <c r="H3423" s="17"/>
    </row>
    <row r="3424" spans="1:8" x14ac:dyDescent="0.2">
      <c r="A3424" s="16"/>
      <c r="B3424" s="16"/>
      <c r="C3424" s="17"/>
      <c r="D3424" s="17"/>
      <c r="E3424" s="17"/>
      <c r="F3424" s="17"/>
      <c r="G3424" s="17"/>
      <c r="H3424" s="17"/>
    </row>
    <row r="3425" spans="1:8" x14ac:dyDescent="0.2">
      <c r="A3425" s="16"/>
      <c r="B3425" s="16"/>
      <c r="C3425" s="17"/>
      <c r="D3425" s="17"/>
      <c r="E3425" s="17"/>
      <c r="F3425" s="17"/>
      <c r="G3425" s="17"/>
      <c r="H3425" s="17"/>
    </row>
    <row r="3426" spans="1:8" x14ac:dyDescent="0.2">
      <c r="A3426" s="16"/>
      <c r="B3426" s="16"/>
      <c r="C3426" s="17"/>
      <c r="D3426" s="17"/>
      <c r="E3426" s="17"/>
      <c r="F3426" s="17"/>
      <c r="G3426" s="17"/>
      <c r="H3426" s="17"/>
    </row>
    <row r="3427" spans="1:8" x14ac:dyDescent="0.2">
      <c r="A3427" s="16"/>
      <c r="B3427" s="16"/>
      <c r="C3427" s="17"/>
      <c r="D3427" s="17"/>
      <c r="E3427" s="17"/>
      <c r="F3427" s="17"/>
      <c r="G3427" s="17"/>
      <c r="H3427" s="17"/>
    </row>
    <row r="3428" spans="1:8" x14ac:dyDescent="0.2">
      <c r="A3428" s="16"/>
      <c r="B3428" s="16"/>
      <c r="C3428" s="17"/>
      <c r="D3428" s="17"/>
      <c r="E3428" s="17"/>
      <c r="F3428" s="17"/>
      <c r="G3428" s="17"/>
      <c r="H3428" s="17"/>
    </row>
    <row r="3429" spans="1:8" x14ac:dyDescent="0.2">
      <c r="A3429" s="16"/>
      <c r="B3429" s="16"/>
      <c r="C3429" s="17"/>
      <c r="D3429" s="17"/>
      <c r="E3429" s="17"/>
      <c r="F3429" s="17"/>
      <c r="G3429" s="17"/>
      <c r="H3429" s="17"/>
    </row>
    <row r="3430" spans="1:8" x14ac:dyDescent="0.2">
      <c r="A3430" s="16"/>
      <c r="B3430" s="16"/>
      <c r="C3430" s="17"/>
      <c r="D3430" s="17"/>
      <c r="E3430" s="17"/>
      <c r="F3430" s="17"/>
      <c r="G3430" s="17"/>
      <c r="H3430" s="17"/>
    </row>
    <row r="3431" spans="1:8" x14ac:dyDescent="0.2">
      <c r="A3431" s="16"/>
      <c r="B3431" s="16"/>
      <c r="C3431" s="17"/>
      <c r="D3431" s="17"/>
      <c r="E3431" s="17"/>
      <c r="F3431" s="17"/>
      <c r="G3431" s="17"/>
      <c r="H3431" s="17"/>
    </row>
    <row r="3432" spans="1:8" x14ac:dyDescent="0.2">
      <c r="A3432" s="16"/>
      <c r="B3432" s="16"/>
      <c r="C3432" s="17"/>
      <c r="D3432" s="17"/>
      <c r="E3432" s="17"/>
      <c r="F3432" s="17"/>
      <c r="G3432" s="17"/>
      <c r="H3432" s="17"/>
    </row>
    <row r="3433" spans="1:8" x14ac:dyDescent="0.2">
      <c r="A3433" s="16"/>
      <c r="B3433" s="16"/>
      <c r="C3433" s="17"/>
      <c r="D3433" s="17"/>
      <c r="E3433" s="17"/>
      <c r="F3433" s="17"/>
      <c r="G3433" s="17"/>
      <c r="H3433" s="17"/>
    </row>
    <row r="3434" spans="1:8" x14ac:dyDescent="0.2">
      <c r="A3434" s="16"/>
      <c r="B3434" s="16"/>
      <c r="C3434" s="17"/>
      <c r="D3434" s="17"/>
      <c r="E3434" s="17"/>
      <c r="F3434" s="17"/>
      <c r="G3434" s="17"/>
      <c r="H3434" s="17"/>
    </row>
    <row r="3435" spans="1:8" x14ac:dyDescent="0.2">
      <c r="A3435" s="16"/>
      <c r="B3435" s="16"/>
      <c r="C3435" s="17"/>
      <c r="D3435" s="17"/>
      <c r="E3435" s="17"/>
      <c r="F3435" s="17"/>
      <c r="G3435" s="17"/>
      <c r="H3435" s="17"/>
    </row>
    <row r="3436" spans="1:8" x14ac:dyDescent="0.2">
      <c r="A3436" s="16"/>
      <c r="B3436" s="16"/>
      <c r="C3436" s="17"/>
      <c r="D3436" s="17"/>
      <c r="E3436" s="17"/>
      <c r="F3436" s="17"/>
      <c r="G3436" s="17"/>
      <c r="H3436" s="17"/>
    </row>
    <row r="3437" spans="1:8" x14ac:dyDescent="0.2">
      <c r="A3437" s="16"/>
      <c r="B3437" s="16"/>
      <c r="C3437" s="17"/>
      <c r="D3437" s="17"/>
      <c r="E3437" s="17"/>
      <c r="F3437" s="17"/>
      <c r="G3437" s="17"/>
      <c r="H3437" s="17"/>
    </row>
    <row r="3438" spans="1:8" x14ac:dyDescent="0.2">
      <c r="A3438" s="16"/>
      <c r="B3438" s="16"/>
      <c r="C3438" s="17"/>
      <c r="D3438" s="17"/>
      <c r="E3438" s="17"/>
      <c r="F3438" s="17"/>
      <c r="G3438" s="17"/>
      <c r="H3438" s="17"/>
    </row>
    <row r="3439" spans="1:8" x14ac:dyDescent="0.2">
      <c r="A3439" s="16"/>
      <c r="B3439" s="16"/>
      <c r="C3439" s="17"/>
      <c r="D3439" s="17"/>
      <c r="E3439" s="17"/>
      <c r="F3439" s="17"/>
      <c r="G3439" s="17"/>
      <c r="H3439" s="17"/>
    </row>
    <row r="3440" spans="1:8" x14ac:dyDescent="0.2">
      <c r="A3440" s="16"/>
      <c r="B3440" s="16"/>
      <c r="C3440" s="17"/>
      <c r="D3440" s="17"/>
      <c r="E3440" s="17"/>
      <c r="F3440" s="17"/>
      <c r="G3440" s="17"/>
      <c r="H3440" s="17"/>
    </row>
    <row r="3441" spans="1:8" x14ac:dyDescent="0.2">
      <c r="A3441" s="16"/>
      <c r="B3441" s="16"/>
      <c r="C3441" s="17"/>
      <c r="D3441" s="17"/>
      <c r="E3441" s="17"/>
      <c r="F3441" s="17"/>
      <c r="G3441" s="17"/>
      <c r="H3441" s="17"/>
    </row>
    <row r="3442" spans="1:8" x14ac:dyDescent="0.2">
      <c r="A3442" s="16"/>
      <c r="B3442" s="16"/>
      <c r="C3442" s="17"/>
      <c r="D3442" s="17"/>
      <c r="E3442" s="17"/>
      <c r="F3442" s="17"/>
      <c r="G3442" s="17"/>
      <c r="H3442" s="17"/>
    </row>
    <row r="3443" spans="1:8" x14ac:dyDescent="0.2">
      <c r="A3443" s="16"/>
      <c r="B3443" s="16"/>
      <c r="C3443" s="17"/>
      <c r="D3443" s="17"/>
      <c r="E3443" s="17"/>
      <c r="F3443" s="17"/>
      <c r="G3443" s="17"/>
      <c r="H3443" s="17"/>
    </row>
    <row r="3444" spans="1:8" x14ac:dyDescent="0.2">
      <c r="A3444" s="16"/>
      <c r="B3444" s="16"/>
      <c r="C3444" s="17"/>
      <c r="D3444" s="17"/>
      <c r="E3444" s="17"/>
      <c r="F3444" s="17"/>
      <c r="G3444" s="17"/>
      <c r="H3444" s="17"/>
    </row>
    <row r="3445" spans="1:8" x14ac:dyDescent="0.2">
      <c r="A3445" s="16"/>
      <c r="B3445" s="16"/>
      <c r="C3445" s="17"/>
      <c r="D3445" s="17"/>
      <c r="E3445" s="17"/>
      <c r="F3445" s="17"/>
      <c r="G3445" s="17"/>
      <c r="H3445" s="17"/>
    </row>
    <row r="3446" spans="1:8" x14ac:dyDescent="0.2">
      <c r="A3446" s="16"/>
      <c r="B3446" s="16"/>
      <c r="C3446" s="17"/>
      <c r="D3446" s="17"/>
      <c r="E3446" s="17"/>
      <c r="F3446" s="17"/>
      <c r="G3446" s="17"/>
      <c r="H3446" s="17"/>
    </row>
    <row r="3447" spans="1:8" x14ac:dyDescent="0.2">
      <c r="A3447" s="16"/>
      <c r="B3447" s="16"/>
      <c r="C3447" s="17"/>
      <c r="D3447" s="17"/>
      <c r="E3447" s="17"/>
      <c r="F3447" s="17"/>
      <c r="G3447" s="17"/>
      <c r="H3447" s="17"/>
    </row>
    <row r="3448" spans="1:8" x14ac:dyDescent="0.2">
      <c r="A3448" s="16"/>
      <c r="B3448" s="16"/>
      <c r="C3448" s="17"/>
      <c r="D3448" s="17"/>
      <c r="E3448" s="17"/>
      <c r="F3448" s="17"/>
      <c r="G3448" s="17"/>
      <c r="H3448" s="17"/>
    </row>
    <row r="3449" spans="1:8" x14ac:dyDescent="0.2">
      <c r="A3449" s="16"/>
      <c r="B3449" s="16"/>
      <c r="C3449" s="17"/>
      <c r="D3449" s="17"/>
      <c r="E3449" s="17"/>
      <c r="F3449" s="17"/>
      <c r="G3449" s="17"/>
      <c r="H3449" s="17"/>
    </row>
    <row r="3450" spans="1:8" x14ac:dyDescent="0.2">
      <c r="A3450" s="16"/>
      <c r="B3450" s="16"/>
      <c r="C3450" s="17"/>
      <c r="D3450" s="17"/>
      <c r="E3450" s="17"/>
      <c r="F3450" s="17"/>
      <c r="G3450" s="17"/>
      <c r="H3450" s="17"/>
    </row>
    <row r="3451" spans="1:8" x14ac:dyDescent="0.2">
      <c r="A3451" s="16"/>
      <c r="B3451" s="16"/>
      <c r="C3451" s="17"/>
      <c r="D3451" s="17"/>
      <c r="E3451" s="17"/>
      <c r="F3451" s="17"/>
      <c r="G3451" s="17"/>
      <c r="H3451" s="17"/>
    </row>
    <row r="3452" spans="1:8" x14ac:dyDescent="0.2">
      <c r="A3452" s="16"/>
      <c r="B3452" s="16"/>
      <c r="C3452" s="17"/>
      <c r="D3452" s="17"/>
      <c r="E3452" s="17"/>
      <c r="F3452" s="17"/>
      <c r="G3452" s="17"/>
      <c r="H3452" s="17"/>
    </row>
    <row r="3453" spans="1:8" x14ac:dyDescent="0.2">
      <c r="A3453" s="16"/>
      <c r="B3453" s="16"/>
      <c r="C3453" s="17"/>
      <c r="D3453" s="17"/>
      <c r="E3453" s="17"/>
      <c r="F3453" s="17"/>
      <c r="G3453" s="17"/>
      <c r="H3453" s="17"/>
    </row>
    <row r="3454" spans="1:8" x14ac:dyDescent="0.2">
      <c r="A3454" s="16"/>
      <c r="B3454" s="16"/>
      <c r="C3454" s="17"/>
      <c r="D3454" s="17"/>
      <c r="E3454" s="17"/>
      <c r="F3454" s="17"/>
      <c r="G3454" s="17"/>
      <c r="H3454" s="17"/>
    </row>
    <row r="3455" spans="1:8" x14ac:dyDescent="0.2">
      <c r="A3455" s="16"/>
      <c r="B3455" s="16"/>
      <c r="C3455" s="17"/>
      <c r="D3455" s="17"/>
      <c r="E3455" s="17"/>
      <c r="F3455" s="17"/>
      <c r="G3455" s="17"/>
      <c r="H3455" s="17"/>
    </row>
    <row r="3456" spans="1:8" x14ac:dyDescent="0.2">
      <c r="A3456" s="16"/>
      <c r="B3456" s="16"/>
      <c r="C3456" s="17"/>
      <c r="D3456" s="17"/>
      <c r="E3456" s="17"/>
      <c r="F3456" s="17"/>
      <c r="G3456" s="17"/>
      <c r="H3456" s="17"/>
    </row>
    <row r="3457" spans="1:8" x14ac:dyDescent="0.2">
      <c r="A3457" s="16"/>
      <c r="B3457" s="16"/>
      <c r="C3457" s="17"/>
      <c r="D3457" s="17"/>
      <c r="E3457" s="17"/>
      <c r="F3457" s="17"/>
      <c r="G3457" s="17"/>
      <c r="H3457" s="17"/>
    </row>
    <row r="3458" spans="1:8" x14ac:dyDescent="0.2">
      <c r="A3458" s="16"/>
      <c r="B3458" s="16"/>
      <c r="C3458" s="17"/>
      <c r="D3458" s="17"/>
      <c r="E3458" s="17"/>
      <c r="F3458" s="17"/>
      <c r="G3458" s="17"/>
      <c r="H3458" s="17"/>
    </row>
    <row r="3459" spans="1:8" x14ac:dyDescent="0.2">
      <c r="A3459" s="16"/>
      <c r="B3459" s="16"/>
      <c r="C3459" s="17"/>
      <c r="D3459" s="17"/>
      <c r="E3459" s="17"/>
      <c r="F3459" s="17"/>
      <c r="G3459" s="17"/>
      <c r="H3459" s="17"/>
    </row>
    <row r="3460" spans="1:8" x14ac:dyDescent="0.2">
      <c r="A3460" s="16"/>
      <c r="B3460" s="16"/>
      <c r="C3460" s="17"/>
      <c r="D3460" s="17"/>
      <c r="E3460" s="17"/>
      <c r="F3460" s="17"/>
      <c r="G3460" s="17"/>
      <c r="H3460" s="17"/>
    </row>
    <row r="3461" spans="1:8" x14ac:dyDescent="0.2">
      <c r="A3461" s="16"/>
      <c r="B3461" s="16"/>
      <c r="C3461" s="17"/>
      <c r="D3461" s="17"/>
      <c r="E3461" s="17"/>
      <c r="F3461" s="17"/>
      <c r="G3461" s="17"/>
      <c r="H3461" s="17"/>
    </row>
    <row r="3462" spans="1:8" x14ac:dyDescent="0.2">
      <c r="A3462" s="16"/>
      <c r="B3462" s="16"/>
      <c r="C3462" s="17"/>
      <c r="D3462" s="17"/>
      <c r="E3462" s="17"/>
      <c r="F3462" s="17"/>
      <c r="G3462" s="17"/>
      <c r="H3462" s="17"/>
    </row>
    <row r="3463" spans="1:8" x14ac:dyDescent="0.2">
      <c r="A3463" s="16"/>
      <c r="B3463" s="16"/>
      <c r="C3463" s="17"/>
      <c r="D3463" s="17"/>
      <c r="E3463" s="17"/>
      <c r="F3463" s="17"/>
      <c r="G3463" s="17"/>
      <c r="H3463" s="17"/>
    </row>
    <row r="3464" spans="1:8" x14ac:dyDescent="0.2">
      <c r="A3464" s="16"/>
      <c r="B3464" s="16"/>
      <c r="C3464" s="17"/>
      <c r="D3464" s="17"/>
      <c r="E3464" s="17"/>
      <c r="F3464" s="17"/>
      <c r="G3464" s="17"/>
      <c r="H3464" s="17"/>
    </row>
    <row r="3465" spans="1:8" x14ac:dyDescent="0.2">
      <c r="A3465" s="16"/>
      <c r="B3465" s="16"/>
      <c r="C3465" s="17"/>
      <c r="D3465" s="17"/>
      <c r="E3465" s="17"/>
      <c r="F3465" s="17"/>
      <c r="G3465" s="17"/>
      <c r="H3465" s="17"/>
    </row>
    <row r="3466" spans="1:8" x14ac:dyDescent="0.2">
      <c r="A3466" s="16"/>
      <c r="B3466" s="16"/>
      <c r="C3466" s="17"/>
      <c r="D3466" s="17"/>
      <c r="E3466" s="17"/>
      <c r="F3466" s="17"/>
      <c r="G3466" s="17"/>
      <c r="H3466" s="17"/>
    </row>
    <row r="3467" spans="1:8" x14ac:dyDescent="0.2">
      <c r="A3467" s="16"/>
      <c r="B3467" s="16"/>
      <c r="C3467" s="17"/>
      <c r="D3467" s="17"/>
      <c r="E3467" s="17"/>
      <c r="F3467" s="17"/>
      <c r="G3467" s="17"/>
      <c r="H3467" s="17"/>
    </row>
    <row r="3468" spans="1:8" x14ac:dyDescent="0.2">
      <c r="A3468" s="16"/>
      <c r="B3468" s="16"/>
      <c r="C3468" s="17"/>
      <c r="D3468" s="17"/>
      <c r="E3468" s="17"/>
      <c r="F3468" s="17"/>
      <c r="G3468" s="17"/>
      <c r="H3468" s="17"/>
    </row>
    <row r="3469" spans="1:8" x14ac:dyDescent="0.2">
      <c r="A3469" s="16"/>
      <c r="B3469" s="16"/>
      <c r="C3469" s="17"/>
      <c r="D3469" s="17"/>
      <c r="E3469" s="17"/>
      <c r="F3469" s="17"/>
      <c r="G3469" s="17"/>
      <c r="H3469" s="17"/>
    </row>
    <row r="3470" spans="1:8" x14ac:dyDescent="0.2">
      <c r="A3470" s="16"/>
      <c r="B3470" s="16"/>
      <c r="C3470" s="17"/>
      <c r="D3470" s="17"/>
      <c r="E3470" s="17"/>
      <c r="F3470" s="17"/>
      <c r="G3470" s="17"/>
      <c r="H3470" s="17"/>
    </row>
    <row r="3471" spans="1:8" x14ac:dyDescent="0.2">
      <c r="A3471" s="16"/>
      <c r="B3471" s="16"/>
      <c r="C3471" s="17"/>
      <c r="D3471" s="17"/>
      <c r="E3471" s="17"/>
      <c r="F3471" s="17"/>
      <c r="G3471" s="17"/>
      <c r="H3471" s="17"/>
    </row>
    <row r="3472" spans="1:8" x14ac:dyDescent="0.2">
      <c r="A3472" s="16"/>
      <c r="B3472" s="16"/>
      <c r="C3472" s="17"/>
      <c r="D3472" s="17"/>
      <c r="E3472" s="17"/>
      <c r="F3472" s="17"/>
      <c r="G3472" s="17"/>
      <c r="H3472" s="17"/>
    </row>
    <row r="3473" spans="1:8" x14ac:dyDescent="0.2">
      <c r="A3473" s="16"/>
      <c r="B3473" s="16"/>
      <c r="C3473" s="17"/>
      <c r="D3473" s="17"/>
      <c r="E3473" s="17"/>
      <c r="F3473" s="17"/>
      <c r="G3473" s="17"/>
      <c r="H3473" s="17"/>
    </row>
    <row r="3474" spans="1:8" x14ac:dyDescent="0.2">
      <c r="A3474" s="16"/>
      <c r="B3474" s="16"/>
      <c r="C3474" s="17"/>
      <c r="D3474" s="17"/>
      <c r="E3474" s="17"/>
      <c r="F3474" s="17"/>
      <c r="G3474" s="17"/>
      <c r="H3474" s="17"/>
    </row>
    <row r="3475" spans="1:8" x14ac:dyDescent="0.2">
      <c r="A3475" s="16"/>
      <c r="B3475" s="16"/>
      <c r="C3475" s="17"/>
      <c r="D3475" s="17"/>
      <c r="E3475" s="17"/>
      <c r="F3475" s="17"/>
      <c r="G3475" s="17"/>
      <c r="H3475" s="17"/>
    </row>
    <row r="3476" spans="1:8" x14ac:dyDescent="0.2">
      <c r="A3476" s="16"/>
      <c r="B3476" s="16"/>
      <c r="C3476" s="17"/>
      <c r="D3476" s="17"/>
      <c r="E3476" s="17"/>
      <c r="F3476" s="17"/>
      <c r="G3476" s="17"/>
      <c r="H3476" s="17"/>
    </row>
    <row r="3477" spans="1:8" x14ac:dyDescent="0.2">
      <c r="A3477" s="16"/>
      <c r="B3477" s="16"/>
      <c r="C3477" s="17"/>
      <c r="D3477" s="17"/>
      <c r="E3477" s="17"/>
      <c r="F3477" s="17"/>
      <c r="G3477" s="17"/>
      <c r="H3477" s="17"/>
    </row>
    <row r="3478" spans="1:8" x14ac:dyDescent="0.2">
      <c r="A3478" s="16"/>
      <c r="B3478" s="16"/>
      <c r="C3478" s="17"/>
      <c r="D3478" s="17"/>
      <c r="E3478" s="17"/>
      <c r="F3478" s="17"/>
      <c r="G3478" s="17"/>
      <c r="H3478" s="17"/>
    </row>
    <row r="3479" spans="1:8" x14ac:dyDescent="0.2">
      <c r="A3479" s="16"/>
      <c r="B3479" s="16"/>
      <c r="C3479" s="17"/>
      <c r="D3479" s="17"/>
      <c r="E3479" s="17"/>
      <c r="F3479" s="17"/>
      <c r="G3479" s="17"/>
      <c r="H3479" s="17"/>
    </row>
    <row r="3480" spans="1:8" x14ac:dyDescent="0.2">
      <c r="A3480" s="16"/>
      <c r="B3480" s="16"/>
      <c r="C3480" s="17"/>
      <c r="D3480" s="17"/>
      <c r="E3480" s="17"/>
      <c r="F3480" s="17"/>
      <c r="G3480" s="17"/>
      <c r="H3480" s="17"/>
    </row>
    <row r="3481" spans="1:8" x14ac:dyDescent="0.2">
      <c r="A3481" s="16"/>
      <c r="B3481" s="16"/>
      <c r="C3481" s="17"/>
      <c r="D3481" s="17"/>
      <c r="E3481" s="17"/>
      <c r="F3481" s="17"/>
      <c r="G3481" s="17"/>
      <c r="H3481" s="17"/>
    </row>
    <row r="3482" spans="1:8" x14ac:dyDescent="0.2">
      <c r="A3482" s="16"/>
      <c r="B3482" s="16"/>
      <c r="C3482" s="17"/>
      <c r="D3482" s="17"/>
      <c r="E3482" s="17"/>
      <c r="F3482" s="17"/>
      <c r="G3482" s="17"/>
      <c r="H3482" s="17"/>
    </row>
    <row r="3483" spans="1:8" x14ac:dyDescent="0.2">
      <c r="A3483" s="16"/>
      <c r="B3483" s="16"/>
      <c r="C3483" s="17"/>
      <c r="D3483" s="17"/>
      <c r="E3483" s="17"/>
      <c r="F3483" s="17"/>
      <c r="G3483" s="17"/>
      <c r="H3483" s="17"/>
    </row>
    <row r="3484" spans="1:8" x14ac:dyDescent="0.2">
      <c r="A3484" s="16"/>
      <c r="B3484" s="16"/>
      <c r="C3484" s="17"/>
      <c r="D3484" s="17"/>
      <c r="E3484" s="17"/>
      <c r="F3484" s="17"/>
      <c r="G3484" s="17"/>
      <c r="H3484" s="17"/>
    </row>
    <row r="3485" spans="1:8" x14ac:dyDescent="0.2">
      <c r="A3485" s="16"/>
      <c r="B3485" s="16"/>
      <c r="C3485" s="17"/>
      <c r="D3485" s="17"/>
      <c r="E3485" s="17"/>
      <c r="F3485" s="17"/>
      <c r="G3485" s="17"/>
      <c r="H3485" s="17"/>
    </row>
    <row r="3486" spans="1:8" x14ac:dyDescent="0.2">
      <c r="A3486" s="16"/>
      <c r="B3486" s="16"/>
      <c r="C3486" s="17"/>
      <c r="D3486" s="17"/>
      <c r="E3486" s="17"/>
      <c r="F3486" s="17"/>
      <c r="G3486" s="17"/>
      <c r="H3486" s="17"/>
    </row>
    <row r="3487" spans="1:8" x14ac:dyDescent="0.2">
      <c r="A3487" s="16"/>
      <c r="B3487" s="16"/>
      <c r="C3487" s="17"/>
      <c r="D3487" s="17"/>
      <c r="E3487" s="17"/>
      <c r="F3487" s="17"/>
      <c r="G3487" s="17"/>
      <c r="H3487" s="17"/>
    </row>
    <row r="3488" spans="1:8" x14ac:dyDescent="0.2">
      <c r="A3488" s="16"/>
      <c r="B3488" s="16"/>
      <c r="C3488" s="17"/>
      <c r="D3488" s="17"/>
      <c r="E3488" s="17"/>
      <c r="F3488" s="17"/>
      <c r="G3488" s="17"/>
      <c r="H3488" s="17"/>
    </row>
    <row r="3489" spans="1:8" x14ac:dyDescent="0.2">
      <c r="A3489" s="16"/>
      <c r="B3489" s="16"/>
      <c r="C3489" s="17"/>
      <c r="D3489" s="17"/>
      <c r="E3489" s="17"/>
      <c r="F3489" s="17"/>
      <c r="G3489" s="17"/>
      <c r="H3489" s="17"/>
    </row>
    <row r="3490" spans="1:8" x14ac:dyDescent="0.2">
      <c r="A3490" s="16"/>
      <c r="B3490" s="16"/>
      <c r="C3490" s="17"/>
      <c r="D3490" s="17"/>
      <c r="E3490" s="17"/>
      <c r="F3490" s="17"/>
      <c r="G3490" s="17"/>
      <c r="H3490" s="17"/>
    </row>
    <row r="3491" spans="1:8" x14ac:dyDescent="0.2">
      <c r="A3491" s="16"/>
      <c r="B3491" s="16"/>
      <c r="C3491" s="17"/>
      <c r="D3491" s="17"/>
      <c r="E3491" s="17"/>
      <c r="F3491" s="17"/>
      <c r="G3491" s="17"/>
      <c r="H3491" s="17"/>
    </row>
    <row r="3492" spans="1:8" x14ac:dyDescent="0.2">
      <c r="A3492" s="16"/>
      <c r="B3492" s="16"/>
      <c r="C3492" s="17"/>
      <c r="D3492" s="17"/>
      <c r="E3492" s="17"/>
      <c r="F3492" s="17"/>
      <c r="G3492" s="17"/>
      <c r="H3492" s="17"/>
    </row>
    <row r="3493" spans="1:8" x14ac:dyDescent="0.2">
      <c r="A3493" s="16"/>
      <c r="B3493" s="16"/>
      <c r="C3493" s="17"/>
      <c r="D3493" s="17"/>
      <c r="E3493" s="17"/>
      <c r="F3493" s="17"/>
      <c r="G3493" s="17"/>
      <c r="H3493" s="17"/>
    </row>
    <row r="3494" spans="1:8" x14ac:dyDescent="0.2">
      <c r="A3494" s="16"/>
      <c r="B3494" s="16"/>
      <c r="C3494" s="17"/>
      <c r="D3494" s="17"/>
      <c r="E3494" s="17"/>
      <c r="F3494" s="17"/>
      <c r="G3494" s="17"/>
      <c r="H3494" s="17"/>
    </row>
    <row r="3495" spans="1:8" x14ac:dyDescent="0.2">
      <c r="A3495" s="16"/>
      <c r="B3495" s="16"/>
      <c r="C3495" s="17"/>
      <c r="D3495" s="17"/>
      <c r="E3495" s="17"/>
      <c r="F3495" s="17"/>
      <c r="G3495" s="17"/>
      <c r="H3495" s="17"/>
    </row>
    <row r="3496" spans="1:8" x14ac:dyDescent="0.2">
      <c r="A3496" s="16"/>
      <c r="B3496" s="16"/>
      <c r="C3496" s="17"/>
      <c r="D3496" s="17"/>
      <c r="E3496" s="17"/>
      <c r="F3496" s="17"/>
      <c r="G3496" s="17"/>
      <c r="H3496" s="17"/>
    </row>
    <row r="3497" spans="1:8" x14ac:dyDescent="0.2">
      <c r="A3497" s="16"/>
      <c r="B3497" s="16"/>
      <c r="C3497" s="17"/>
      <c r="D3497" s="17"/>
      <c r="E3497" s="17"/>
      <c r="F3497" s="17"/>
      <c r="G3497" s="17"/>
      <c r="H3497" s="17"/>
    </row>
    <row r="3498" spans="1:8" x14ac:dyDescent="0.2">
      <c r="A3498" s="16"/>
      <c r="B3498" s="16"/>
      <c r="C3498" s="17"/>
      <c r="D3498" s="17"/>
      <c r="E3498" s="17"/>
      <c r="F3498" s="17"/>
      <c r="G3498" s="17"/>
      <c r="H3498" s="17"/>
    </row>
    <row r="3499" spans="1:8" x14ac:dyDescent="0.2">
      <c r="A3499" s="16"/>
      <c r="B3499" s="16"/>
      <c r="C3499" s="17"/>
      <c r="D3499" s="17"/>
      <c r="E3499" s="17"/>
      <c r="F3499" s="17"/>
      <c r="G3499" s="17"/>
      <c r="H3499" s="17"/>
    </row>
    <row r="3500" spans="1:8" x14ac:dyDescent="0.2">
      <c r="A3500" s="16"/>
      <c r="B3500" s="16"/>
      <c r="C3500" s="17"/>
      <c r="D3500" s="17"/>
      <c r="E3500" s="17"/>
      <c r="F3500" s="17"/>
      <c r="G3500" s="17"/>
      <c r="H3500" s="17"/>
    </row>
    <row r="3501" spans="1:8" x14ac:dyDescent="0.2">
      <c r="A3501" s="16"/>
      <c r="B3501" s="16"/>
      <c r="C3501" s="17"/>
      <c r="D3501" s="17"/>
      <c r="E3501" s="17"/>
      <c r="F3501" s="17"/>
      <c r="G3501" s="17"/>
      <c r="H3501" s="17"/>
    </row>
    <row r="3502" spans="1:8" x14ac:dyDescent="0.2">
      <c r="A3502" s="16"/>
      <c r="B3502" s="16"/>
      <c r="C3502" s="17"/>
      <c r="D3502" s="17"/>
      <c r="E3502" s="17"/>
      <c r="F3502" s="17"/>
      <c r="G3502" s="17"/>
      <c r="H3502" s="17"/>
    </row>
    <row r="3503" spans="1:8" x14ac:dyDescent="0.2">
      <c r="A3503" s="16"/>
      <c r="B3503" s="16"/>
      <c r="C3503" s="17"/>
      <c r="D3503" s="17"/>
      <c r="E3503" s="17"/>
      <c r="F3503" s="17"/>
      <c r="G3503" s="17"/>
      <c r="H3503" s="17"/>
    </row>
    <row r="3504" spans="1:8" x14ac:dyDescent="0.2">
      <c r="A3504" s="16"/>
      <c r="B3504" s="16"/>
      <c r="C3504" s="17"/>
      <c r="D3504" s="17"/>
      <c r="E3504" s="17"/>
      <c r="F3504" s="17"/>
      <c r="G3504" s="17"/>
      <c r="H3504" s="17"/>
    </row>
    <row r="3505" spans="1:8" x14ac:dyDescent="0.2">
      <c r="A3505" s="16"/>
      <c r="B3505" s="16"/>
      <c r="C3505" s="17"/>
      <c r="D3505" s="17"/>
      <c r="E3505" s="17"/>
      <c r="F3505" s="17"/>
      <c r="G3505" s="17"/>
      <c r="H3505" s="17"/>
    </row>
    <row r="3506" spans="1:8" x14ac:dyDescent="0.2">
      <c r="A3506" s="16"/>
      <c r="B3506" s="16"/>
      <c r="C3506" s="17"/>
      <c r="D3506" s="17"/>
      <c r="E3506" s="17"/>
      <c r="F3506" s="17"/>
      <c r="G3506" s="17"/>
      <c r="H3506" s="17"/>
    </row>
    <row r="3507" spans="1:8" x14ac:dyDescent="0.2">
      <c r="A3507" s="16"/>
      <c r="B3507" s="16"/>
      <c r="C3507" s="17"/>
      <c r="D3507" s="17"/>
      <c r="E3507" s="17"/>
      <c r="F3507" s="17"/>
      <c r="G3507" s="17"/>
      <c r="H3507" s="17"/>
    </row>
    <row r="3508" spans="1:8" x14ac:dyDescent="0.2">
      <c r="A3508" s="16"/>
      <c r="B3508" s="16"/>
      <c r="C3508" s="17"/>
      <c r="D3508" s="17"/>
      <c r="E3508" s="17"/>
      <c r="F3508" s="17"/>
      <c r="G3508" s="17"/>
      <c r="H3508" s="17"/>
    </row>
    <row r="3509" spans="1:8" x14ac:dyDescent="0.2">
      <c r="A3509" s="16"/>
      <c r="B3509" s="16"/>
      <c r="C3509" s="17"/>
      <c r="D3509" s="17"/>
      <c r="E3509" s="17"/>
      <c r="F3509" s="17"/>
      <c r="G3509" s="17"/>
      <c r="H3509" s="17"/>
    </row>
    <row r="3510" spans="1:8" x14ac:dyDescent="0.2">
      <c r="A3510" s="16"/>
      <c r="B3510" s="16"/>
      <c r="C3510" s="17"/>
      <c r="D3510" s="17"/>
      <c r="E3510" s="17"/>
      <c r="F3510" s="17"/>
      <c r="G3510" s="17"/>
      <c r="H3510" s="17"/>
    </row>
    <row r="3511" spans="1:8" x14ac:dyDescent="0.2">
      <c r="A3511" s="16"/>
      <c r="B3511" s="16"/>
      <c r="C3511" s="17"/>
      <c r="D3511" s="17"/>
      <c r="E3511" s="17"/>
      <c r="F3511" s="17"/>
      <c r="G3511" s="17"/>
      <c r="H3511" s="17"/>
    </row>
    <row r="3512" spans="1:8" x14ac:dyDescent="0.2">
      <c r="A3512" s="16"/>
      <c r="B3512" s="16"/>
      <c r="C3512" s="17"/>
      <c r="D3512" s="17"/>
      <c r="E3512" s="17"/>
      <c r="F3512" s="17"/>
      <c r="G3512" s="17"/>
      <c r="H3512" s="17"/>
    </row>
    <row r="3513" spans="1:8" x14ac:dyDescent="0.2">
      <c r="A3513" s="16"/>
      <c r="B3513" s="16"/>
      <c r="C3513" s="17"/>
      <c r="D3513" s="17"/>
      <c r="E3513" s="17"/>
      <c r="F3513" s="17"/>
      <c r="G3513" s="17"/>
      <c r="H3513" s="17"/>
    </row>
    <row r="3514" spans="1:8" x14ac:dyDescent="0.2">
      <c r="A3514" s="16"/>
      <c r="B3514" s="16"/>
      <c r="C3514" s="17"/>
      <c r="D3514" s="17"/>
      <c r="E3514" s="17"/>
      <c r="F3514" s="17"/>
      <c r="G3514" s="17"/>
      <c r="H3514" s="17"/>
    </row>
    <row r="3515" spans="1:8" x14ac:dyDescent="0.2">
      <c r="A3515" s="16"/>
      <c r="B3515" s="16"/>
      <c r="C3515" s="17"/>
      <c r="D3515" s="17"/>
      <c r="E3515" s="17"/>
      <c r="F3515" s="17"/>
      <c r="G3515" s="17"/>
      <c r="H3515" s="17"/>
    </row>
    <row r="3516" spans="1:8" x14ac:dyDescent="0.2">
      <c r="A3516" s="16"/>
      <c r="B3516" s="16"/>
      <c r="C3516" s="17"/>
      <c r="D3516" s="17"/>
      <c r="E3516" s="17"/>
      <c r="F3516" s="17"/>
      <c r="G3516" s="17"/>
      <c r="H3516" s="17"/>
    </row>
    <row r="3517" spans="1:8" x14ac:dyDescent="0.2">
      <c r="A3517" s="16"/>
      <c r="B3517" s="16"/>
      <c r="C3517" s="17"/>
      <c r="D3517" s="17"/>
      <c r="E3517" s="17"/>
      <c r="F3517" s="17"/>
      <c r="G3517" s="17"/>
      <c r="H3517" s="17"/>
    </row>
    <row r="3518" spans="1:8" x14ac:dyDescent="0.2">
      <c r="A3518" s="16"/>
      <c r="B3518" s="16"/>
      <c r="C3518" s="17"/>
      <c r="D3518" s="17"/>
      <c r="E3518" s="17"/>
      <c r="F3518" s="17"/>
      <c r="G3518" s="17"/>
      <c r="H3518" s="17"/>
    </row>
    <row r="3519" spans="1:8" x14ac:dyDescent="0.2">
      <c r="A3519" s="16"/>
      <c r="B3519" s="16"/>
      <c r="C3519" s="17"/>
      <c r="D3519" s="17"/>
      <c r="E3519" s="17"/>
      <c r="F3519" s="17"/>
      <c r="G3519" s="17"/>
      <c r="H3519" s="17"/>
    </row>
    <row r="3520" spans="1:8" x14ac:dyDescent="0.2">
      <c r="A3520" s="16"/>
      <c r="B3520" s="16"/>
      <c r="C3520" s="17"/>
      <c r="D3520" s="17"/>
      <c r="E3520" s="17"/>
      <c r="F3520" s="17"/>
      <c r="G3520" s="17"/>
      <c r="H3520" s="17"/>
    </row>
    <row r="3521" spans="1:8" x14ac:dyDescent="0.2">
      <c r="A3521" s="16"/>
      <c r="B3521" s="16"/>
      <c r="C3521" s="17"/>
      <c r="D3521" s="17"/>
      <c r="E3521" s="17"/>
      <c r="F3521" s="17"/>
      <c r="G3521" s="17"/>
      <c r="H3521" s="17"/>
    </row>
    <row r="3522" spans="1:8" x14ac:dyDescent="0.2">
      <c r="A3522" s="16"/>
      <c r="B3522" s="16"/>
      <c r="C3522" s="17"/>
      <c r="D3522" s="17"/>
      <c r="E3522" s="17"/>
      <c r="F3522" s="17"/>
      <c r="G3522" s="17"/>
      <c r="H3522" s="17"/>
    </row>
    <row r="3523" spans="1:8" x14ac:dyDescent="0.2">
      <c r="A3523" s="16"/>
      <c r="B3523" s="16"/>
      <c r="C3523" s="17"/>
      <c r="D3523" s="17"/>
      <c r="E3523" s="17"/>
      <c r="F3523" s="17"/>
      <c r="G3523" s="17"/>
      <c r="H3523" s="17"/>
    </row>
    <row r="3524" spans="1:8" x14ac:dyDescent="0.2">
      <c r="A3524" s="16"/>
      <c r="B3524" s="16"/>
      <c r="C3524" s="17"/>
      <c r="D3524" s="17"/>
      <c r="E3524" s="17"/>
      <c r="F3524" s="17"/>
      <c r="G3524" s="17"/>
      <c r="H3524" s="17"/>
    </row>
    <row r="3525" spans="1:8" x14ac:dyDescent="0.2">
      <c r="A3525" s="16"/>
      <c r="B3525" s="16"/>
      <c r="C3525" s="17"/>
      <c r="D3525" s="17"/>
      <c r="E3525" s="17"/>
      <c r="F3525" s="17"/>
      <c r="G3525" s="17"/>
      <c r="H3525" s="17"/>
    </row>
    <row r="3526" spans="1:8" x14ac:dyDescent="0.2">
      <c r="A3526" s="16"/>
      <c r="B3526" s="16"/>
      <c r="C3526" s="17"/>
      <c r="D3526" s="17"/>
      <c r="E3526" s="17"/>
      <c r="F3526" s="17"/>
      <c r="G3526" s="17"/>
      <c r="H3526" s="17"/>
    </row>
    <row r="3527" spans="1:8" x14ac:dyDescent="0.2">
      <c r="A3527" s="16"/>
      <c r="B3527" s="16"/>
      <c r="C3527" s="17"/>
      <c r="D3527" s="17"/>
      <c r="E3527" s="17"/>
      <c r="F3527" s="17"/>
      <c r="G3527" s="17"/>
      <c r="H3527" s="17"/>
    </row>
    <row r="3528" spans="1:8" x14ac:dyDescent="0.2">
      <c r="A3528" s="16"/>
      <c r="B3528" s="16"/>
      <c r="C3528" s="17"/>
      <c r="D3528" s="17"/>
      <c r="E3528" s="17"/>
      <c r="F3528" s="17"/>
      <c r="G3528" s="17"/>
      <c r="H3528" s="17"/>
    </row>
    <row r="3529" spans="1:8" x14ac:dyDescent="0.2">
      <c r="A3529" s="16"/>
      <c r="B3529" s="16"/>
      <c r="C3529" s="17"/>
      <c r="D3529" s="17"/>
      <c r="E3529" s="17"/>
      <c r="F3529" s="17"/>
      <c r="G3529" s="17"/>
      <c r="H3529" s="17"/>
    </row>
    <row r="3530" spans="1:8" x14ac:dyDescent="0.2">
      <c r="A3530" s="16"/>
      <c r="B3530" s="16"/>
      <c r="C3530" s="17"/>
      <c r="D3530" s="17"/>
      <c r="E3530" s="17"/>
      <c r="F3530" s="17"/>
      <c r="G3530" s="17"/>
      <c r="H3530" s="17"/>
    </row>
    <row r="3531" spans="1:8" x14ac:dyDescent="0.2">
      <c r="A3531" s="16"/>
      <c r="B3531" s="16"/>
      <c r="C3531" s="17"/>
      <c r="D3531" s="17"/>
      <c r="E3531" s="17"/>
      <c r="F3531" s="17"/>
      <c r="G3531" s="17"/>
      <c r="H3531" s="17"/>
    </row>
    <row r="3532" spans="1:8" x14ac:dyDescent="0.2">
      <c r="A3532" s="16"/>
      <c r="B3532" s="16"/>
      <c r="C3532" s="17"/>
      <c r="D3532" s="17"/>
      <c r="E3532" s="17"/>
      <c r="F3532" s="17"/>
      <c r="G3532" s="17"/>
      <c r="H3532" s="17"/>
    </row>
    <row r="3533" spans="1:8" x14ac:dyDescent="0.2">
      <c r="A3533" s="16"/>
      <c r="B3533" s="16"/>
      <c r="C3533" s="17"/>
      <c r="D3533" s="17"/>
      <c r="E3533" s="17"/>
      <c r="F3533" s="17"/>
      <c r="G3533" s="17"/>
      <c r="H3533" s="17"/>
    </row>
    <row r="3534" spans="1:8" x14ac:dyDescent="0.2">
      <c r="A3534" s="16"/>
      <c r="B3534" s="16"/>
      <c r="C3534" s="17"/>
      <c r="D3534" s="17"/>
      <c r="E3534" s="17"/>
      <c r="F3534" s="17"/>
      <c r="G3534" s="17"/>
      <c r="H3534" s="17"/>
    </row>
    <row r="3535" spans="1:8" x14ac:dyDescent="0.2">
      <c r="A3535" s="16"/>
      <c r="B3535" s="16"/>
      <c r="C3535" s="17"/>
      <c r="D3535" s="17"/>
      <c r="E3535" s="17"/>
      <c r="F3535" s="17"/>
      <c r="G3535" s="17"/>
      <c r="H3535" s="17"/>
    </row>
    <row r="3536" spans="1:8" x14ac:dyDescent="0.2">
      <c r="A3536" s="16"/>
      <c r="B3536" s="16"/>
      <c r="C3536" s="17"/>
      <c r="D3536" s="17"/>
      <c r="E3536" s="17"/>
      <c r="F3536" s="17"/>
      <c r="G3536" s="17"/>
      <c r="H3536" s="17"/>
    </row>
    <row r="3537" spans="1:8" x14ac:dyDescent="0.2">
      <c r="A3537" s="16"/>
      <c r="B3537" s="16"/>
      <c r="C3537" s="17"/>
      <c r="D3537" s="17"/>
      <c r="E3537" s="17"/>
      <c r="F3537" s="17"/>
      <c r="G3537" s="17"/>
      <c r="H3537" s="17"/>
    </row>
    <row r="3538" spans="1:8" x14ac:dyDescent="0.2">
      <c r="A3538" s="16"/>
      <c r="B3538" s="16"/>
      <c r="C3538" s="17"/>
      <c r="D3538" s="17"/>
      <c r="E3538" s="17"/>
      <c r="F3538" s="17"/>
      <c r="G3538" s="17"/>
      <c r="H3538" s="17"/>
    </row>
    <row r="3539" spans="1:8" x14ac:dyDescent="0.2">
      <c r="A3539" s="16"/>
      <c r="B3539" s="16"/>
      <c r="C3539" s="17"/>
      <c r="D3539" s="17"/>
      <c r="E3539" s="17"/>
      <c r="F3539" s="17"/>
      <c r="G3539" s="17"/>
      <c r="H3539" s="17"/>
    </row>
    <row r="3540" spans="1:8" x14ac:dyDescent="0.2">
      <c r="A3540" s="16"/>
      <c r="B3540" s="16"/>
      <c r="C3540" s="17"/>
      <c r="D3540" s="17"/>
      <c r="E3540" s="17"/>
      <c r="F3540" s="17"/>
      <c r="G3540" s="17"/>
      <c r="H3540" s="17"/>
    </row>
    <row r="3541" spans="1:8" x14ac:dyDescent="0.2">
      <c r="A3541" s="16"/>
      <c r="B3541" s="16"/>
      <c r="C3541" s="17"/>
      <c r="D3541" s="17"/>
      <c r="E3541" s="17"/>
      <c r="F3541" s="17"/>
      <c r="G3541" s="17"/>
      <c r="H3541" s="17"/>
    </row>
    <row r="3542" spans="1:8" x14ac:dyDescent="0.2">
      <c r="A3542" s="16"/>
      <c r="B3542" s="16"/>
      <c r="C3542" s="17"/>
      <c r="D3542" s="17"/>
      <c r="E3542" s="17"/>
      <c r="F3542" s="17"/>
      <c r="G3542" s="17"/>
      <c r="H3542" s="17"/>
    </row>
    <row r="3543" spans="1:8" x14ac:dyDescent="0.2">
      <c r="A3543" s="16"/>
      <c r="B3543" s="16"/>
      <c r="C3543" s="17"/>
      <c r="D3543" s="17"/>
      <c r="E3543" s="17"/>
      <c r="F3543" s="17"/>
      <c r="G3543" s="17"/>
      <c r="H3543" s="17"/>
    </row>
    <row r="3544" spans="1:8" x14ac:dyDescent="0.2">
      <c r="A3544" s="16"/>
      <c r="B3544" s="16"/>
      <c r="C3544" s="17"/>
      <c r="D3544" s="17"/>
      <c r="E3544" s="17"/>
      <c r="F3544" s="17"/>
      <c r="G3544" s="17"/>
      <c r="H3544" s="17"/>
    </row>
    <row r="3545" spans="1:8" x14ac:dyDescent="0.2">
      <c r="A3545" s="16"/>
      <c r="B3545" s="16"/>
      <c r="C3545" s="17"/>
      <c r="D3545" s="17"/>
      <c r="E3545" s="17"/>
      <c r="F3545" s="17"/>
      <c r="G3545" s="17"/>
      <c r="H3545" s="17"/>
    </row>
    <row r="3546" spans="1:8" x14ac:dyDescent="0.2">
      <c r="A3546" s="16"/>
      <c r="B3546" s="16"/>
      <c r="C3546" s="17"/>
      <c r="D3546" s="17"/>
      <c r="E3546" s="17"/>
      <c r="F3546" s="17"/>
      <c r="G3546" s="17"/>
      <c r="H3546" s="17"/>
    </row>
    <row r="3547" spans="1:8" x14ac:dyDescent="0.2">
      <c r="A3547" s="16"/>
      <c r="B3547" s="16"/>
      <c r="C3547" s="17"/>
      <c r="D3547" s="17"/>
      <c r="E3547" s="17"/>
      <c r="F3547" s="17"/>
      <c r="G3547" s="17"/>
      <c r="H3547" s="17"/>
    </row>
    <row r="3548" spans="1:8" x14ac:dyDescent="0.2">
      <c r="A3548" s="16"/>
      <c r="B3548" s="16"/>
      <c r="C3548" s="17"/>
      <c r="D3548" s="17"/>
      <c r="E3548" s="17"/>
      <c r="F3548" s="17"/>
      <c r="G3548" s="17"/>
      <c r="H3548" s="17"/>
    </row>
    <row r="3549" spans="1:8" x14ac:dyDescent="0.2">
      <c r="A3549" s="16"/>
      <c r="B3549" s="16"/>
      <c r="C3549" s="17"/>
      <c r="D3549" s="17"/>
      <c r="E3549" s="17"/>
      <c r="F3549" s="17"/>
      <c r="G3549" s="17"/>
      <c r="H3549" s="17"/>
    </row>
    <row r="3550" spans="1:8" x14ac:dyDescent="0.2">
      <c r="A3550" s="16"/>
      <c r="B3550" s="16"/>
      <c r="C3550" s="17"/>
      <c r="D3550" s="17"/>
      <c r="E3550" s="17"/>
      <c r="F3550" s="17"/>
      <c r="G3550" s="17"/>
      <c r="H3550" s="17"/>
    </row>
    <row r="3551" spans="1:8" x14ac:dyDescent="0.2">
      <c r="A3551" s="16"/>
      <c r="B3551" s="16"/>
      <c r="C3551" s="17"/>
      <c r="D3551" s="17"/>
      <c r="E3551" s="17"/>
      <c r="F3551" s="17"/>
      <c r="G3551" s="17"/>
      <c r="H3551" s="17"/>
    </row>
    <row r="3552" spans="1:8" x14ac:dyDescent="0.2">
      <c r="A3552" s="16"/>
      <c r="B3552" s="16"/>
      <c r="C3552" s="17"/>
      <c r="D3552" s="17"/>
      <c r="E3552" s="17"/>
      <c r="F3552" s="17"/>
      <c r="G3552" s="17"/>
      <c r="H3552" s="17"/>
    </row>
    <row r="3553" spans="1:8" x14ac:dyDescent="0.2">
      <c r="A3553" s="16"/>
      <c r="B3553" s="16"/>
      <c r="C3553" s="17"/>
      <c r="D3553" s="17"/>
      <c r="E3553" s="17"/>
      <c r="F3553" s="17"/>
      <c r="G3553" s="17"/>
      <c r="H3553" s="17"/>
    </row>
    <row r="3554" spans="1:8" x14ac:dyDescent="0.2">
      <c r="A3554" s="16"/>
      <c r="B3554" s="16"/>
      <c r="C3554" s="17"/>
      <c r="D3554" s="17"/>
      <c r="E3554" s="17"/>
      <c r="F3554" s="17"/>
      <c r="G3554" s="17"/>
      <c r="H3554" s="17"/>
    </row>
    <row r="3555" spans="1:8" x14ac:dyDescent="0.2">
      <c r="A3555" s="16"/>
      <c r="B3555" s="16"/>
      <c r="C3555" s="17"/>
      <c r="D3555" s="17"/>
      <c r="E3555" s="17"/>
      <c r="F3555" s="17"/>
      <c r="G3555" s="17"/>
      <c r="H3555" s="17"/>
    </row>
    <row r="3556" spans="1:8" x14ac:dyDescent="0.2">
      <c r="A3556" s="16"/>
      <c r="B3556" s="16"/>
      <c r="C3556" s="17"/>
      <c r="D3556" s="17"/>
      <c r="E3556" s="17"/>
      <c r="F3556" s="17"/>
      <c r="G3556" s="17"/>
      <c r="H3556" s="17"/>
    </row>
    <row r="3557" spans="1:8" x14ac:dyDescent="0.2">
      <c r="A3557" s="16"/>
      <c r="B3557" s="16"/>
      <c r="C3557" s="17"/>
      <c r="D3557" s="17"/>
      <c r="E3557" s="17"/>
      <c r="F3557" s="17"/>
      <c r="G3557" s="17"/>
      <c r="H3557" s="17"/>
    </row>
    <row r="3558" spans="1:8" x14ac:dyDescent="0.2">
      <c r="A3558" s="16"/>
      <c r="B3558" s="16"/>
      <c r="C3558" s="17"/>
      <c r="D3558" s="17"/>
      <c r="E3558" s="17"/>
      <c r="F3558" s="17"/>
      <c r="G3558" s="17"/>
      <c r="H3558" s="17"/>
    </row>
    <row r="3559" spans="1:8" x14ac:dyDescent="0.2">
      <c r="A3559" s="16"/>
      <c r="B3559" s="16"/>
      <c r="C3559" s="17"/>
      <c r="D3559" s="17"/>
      <c r="E3559" s="17"/>
      <c r="F3559" s="17"/>
      <c r="G3559" s="17"/>
      <c r="H3559" s="17"/>
    </row>
    <row r="3560" spans="1:8" x14ac:dyDescent="0.2">
      <c r="A3560" s="16"/>
      <c r="B3560" s="16"/>
      <c r="C3560" s="17"/>
      <c r="D3560" s="17"/>
      <c r="E3560" s="17"/>
      <c r="F3560" s="17"/>
      <c r="G3560" s="17"/>
      <c r="H3560" s="17"/>
    </row>
    <row r="3561" spans="1:8" x14ac:dyDescent="0.2">
      <c r="A3561" s="16"/>
      <c r="B3561" s="16"/>
      <c r="C3561" s="17"/>
      <c r="D3561" s="17"/>
      <c r="E3561" s="17"/>
      <c r="F3561" s="17"/>
      <c r="G3561" s="17"/>
      <c r="H3561" s="17"/>
    </row>
    <row r="3562" spans="1:8" x14ac:dyDescent="0.2">
      <c r="A3562" s="16"/>
      <c r="B3562" s="16"/>
      <c r="C3562" s="17"/>
      <c r="D3562" s="17"/>
      <c r="E3562" s="17"/>
      <c r="F3562" s="17"/>
      <c r="G3562" s="17"/>
      <c r="H3562" s="17"/>
    </row>
    <row r="3563" spans="1:8" x14ac:dyDescent="0.2">
      <c r="A3563" s="16"/>
      <c r="B3563" s="16"/>
      <c r="C3563" s="17"/>
      <c r="D3563" s="17"/>
      <c r="E3563" s="17"/>
      <c r="F3563" s="17"/>
      <c r="G3563" s="17"/>
      <c r="H3563" s="17"/>
    </row>
    <row r="3564" spans="1:8" x14ac:dyDescent="0.2">
      <c r="A3564" s="16"/>
      <c r="B3564" s="16"/>
      <c r="C3564" s="17"/>
      <c r="D3564" s="17"/>
      <c r="E3564" s="17"/>
      <c r="F3564" s="17"/>
      <c r="G3564" s="17"/>
      <c r="H3564" s="17"/>
    </row>
    <row r="3565" spans="1:8" x14ac:dyDescent="0.2">
      <c r="A3565" s="16"/>
      <c r="B3565" s="16"/>
      <c r="C3565" s="17"/>
      <c r="D3565" s="17"/>
      <c r="E3565" s="17"/>
      <c r="F3565" s="17"/>
      <c r="G3565" s="17"/>
      <c r="H3565" s="17"/>
    </row>
    <row r="3566" spans="1:8" x14ac:dyDescent="0.2">
      <c r="A3566" s="16"/>
      <c r="B3566" s="16"/>
      <c r="C3566" s="17"/>
      <c r="D3566" s="17"/>
      <c r="E3566" s="17"/>
      <c r="F3566" s="17"/>
      <c r="G3566" s="17"/>
      <c r="H3566" s="17"/>
    </row>
    <row r="3567" spans="1:8" x14ac:dyDescent="0.2">
      <c r="A3567" s="16"/>
      <c r="B3567" s="16"/>
      <c r="C3567" s="17"/>
      <c r="D3567" s="17"/>
      <c r="E3567" s="17"/>
      <c r="F3567" s="17"/>
      <c r="G3567" s="17"/>
      <c r="H3567" s="17"/>
    </row>
    <row r="3568" spans="1:8" x14ac:dyDescent="0.2">
      <c r="A3568" s="16"/>
      <c r="B3568" s="16"/>
      <c r="C3568" s="17"/>
      <c r="D3568" s="17"/>
      <c r="E3568" s="17"/>
      <c r="F3568" s="17"/>
      <c r="G3568" s="17"/>
      <c r="H3568" s="17"/>
    </row>
    <row r="3569" spans="1:8" x14ac:dyDescent="0.2">
      <c r="A3569" s="16"/>
      <c r="B3569" s="16"/>
      <c r="C3569" s="17"/>
      <c r="D3569" s="17"/>
      <c r="E3569" s="17"/>
      <c r="F3569" s="17"/>
      <c r="G3569" s="17"/>
      <c r="H3569" s="17"/>
    </row>
    <row r="3570" spans="1:8" x14ac:dyDescent="0.2">
      <c r="A3570" s="16"/>
      <c r="B3570" s="16"/>
      <c r="C3570" s="17"/>
      <c r="D3570" s="17"/>
      <c r="E3570" s="17"/>
      <c r="F3570" s="17"/>
      <c r="G3570" s="17"/>
      <c r="H3570" s="17"/>
    </row>
    <row r="3571" spans="1:8" x14ac:dyDescent="0.2">
      <c r="A3571" s="16"/>
      <c r="B3571" s="16"/>
      <c r="C3571" s="17"/>
      <c r="D3571" s="17"/>
      <c r="E3571" s="17"/>
      <c r="F3571" s="17"/>
      <c r="G3571" s="17"/>
      <c r="H3571" s="17"/>
    </row>
    <row r="3572" spans="1:8" x14ac:dyDescent="0.2">
      <c r="A3572" s="16"/>
      <c r="B3572" s="16"/>
      <c r="C3572" s="17"/>
      <c r="D3572" s="17"/>
      <c r="E3572" s="17"/>
      <c r="F3572" s="17"/>
      <c r="G3572" s="17"/>
      <c r="H3572" s="17"/>
    </row>
    <row r="3573" spans="1:8" x14ac:dyDescent="0.2">
      <c r="A3573" s="16"/>
      <c r="B3573" s="16"/>
      <c r="C3573" s="17"/>
      <c r="D3573" s="17"/>
      <c r="E3573" s="17"/>
      <c r="F3573" s="17"/>
      <c r="G3573" s="17"/>
      <c r="H3573" s="17"/>
    </row>
    <row r="3574" spans="1:8" x14ac:dyDescent="0.2">
      <c r="A3574" s="16"/>
      <c r="B3574" s="16"/>
      <c r="C3574" s="17"/>
      <c r="D3574" s="17"/>
      <c r="E3574" s="17"/>
      <c r="F3574" s="17"/>
      <c r="G3574" s="17"/>
      <c r="H3574" s="17"/>
    </row>
    <row r="3575" spans="1:8" x14ac:dyDescent="0.2">
      <c r="A3575" s="16"/>
      <c r="B3575" s="16"/>
      <c r="C3575" s="17"/>
      <c r="D3575" s="17"/>
      <c r="E3575" s="17"/>
      <c r="F3575" s="17"/>
      <c r="G3575" s="17"/>
      <c r="H3575" s="17"/>
    </row>
    <row r="3576" spans="1:8" x14ac:dyDescent="0.2">
      <c r="A3576" s="16"/>
      <c r="B3576" s="16"/>
      <c r="C3576" s="17"/>
      <c r="D3576" s="17"/>
      <c r="E3576" s="17"/>
      <c r="F3576" s="17"/>
      <c r="G3576" s="17"/>
      <c r="H3576" s="17"/>
    </row>
    <row r="3577" spans="1:8" x14ac:dyDescent="0.2">
      <c r="A3577" s="16"/>
      <c r="B3577" s="16"/>
      <c r="C3577" s="17"/>
      <c r="D3577" s="17"/>
      <c r="E3577" s="17"/>
      <c r="F3577" s="17"/>
      <c r="G3577" s="17"/>
      <c r="H3577" s="17"/>
    </row>
    <row r="3578" spans="1:8" x14ac:dyDescent="0.2">
      <c r="A3578" s="16"/>
      <c r="B3578" s="16"/>
      <c r="C3578" s="17"/>
      <c r="D3578" s="17"/>
      <c r="E3578" s="17"/>
      <c r="F3578" s="17"/>
      <c r="G3578" s="17"/>
      <c r="H3578" s="17"/>
    </row>
    <row r="3579" spans="1:8" x14ac:dyDescent="0.2">
      <c r="A3579" s="16"/>
      <c r="B3579" s="16"/>
      <c r="C3579" s="17"/>
      <c r="D3579" s="17"/>
      <c r="E3579" s="17"/>
      <c r="F3579" s="17"/>
      <c r="G3579" s="17"/>
      <c r="H3579" s="17"/>
    </row>
    <row r="3580" spans="1:8" x14ac:dyDescent="0.2">
      <c r="A3580" s="16"/>
      <c r="B3580" s="16"/>
      <c r="C3580" s="17"/>
      <c r="D3580" s="17"/>
      <c r="E3580" s="17"/>
      <c r="F3580" s="17"/>
      <c r="G3580" s="17"/>
      <c r="H3580" s="17"/>
    </row>
    <row r="3581" spans="1:8" x14ac:dyDescent="0.2">
      <c r="A3581" s="16"/>
      <c r="B3581" s="16"/>
      <c r="C3581" s="17"/>
      <c r="D3581" s="17"/>
      <c r="E3581" s="17"/>
      <c r="F3581" s="17"/>
      <c r="G3581" s="17"/>
      <c r="H3581" s="17"/>
    </row>
    <row r="3582" spans="1:8" x14ac:dyDescent="0.2">
      <c r="A3582" s="16"/>
      <c r="B3582" s="16"/>
      <c r="C3582" s="17"/>
      <c r="D3582" s="17"/>
      <c r="E3582" s="17"/>
      <c r="F3582" s="17"/>
      <c r="G3582" s="17"/>
      <c r="H3582" s="17"/>
    </row>
    <row r="3583" spans="1:8" x14ac:dyDescent="0.2">
      <c r="A3583" s="16"/>
      <c r="B3583" s="16"/>
      <c r="C3583" s="17"/>
      <c r="D3583" s="17"/>
      <c r="E3583" s="17"/>
      <c r="F3583" s="17"/>
      <c r="G3583" s="17"/>
      <c r="H3583" s="17"/>
    </row>
    <row r="3584" spans="1:8" x14ac:dyDescent="0.2">
      <c r="A3584" s="16"/>
      <c r="B3584" s="16"/>
      <c r="C3584" s="17"/>
      <c r="D3584" s="17"/>
      <c r="E3584" s="17"/>
      <c r="F3584" s="17"/>
      <c r="G3584" s="17"/>
      <c r="H3584" s="17"/>
    </row>
    <row r="3585" spans="1:8" x14ac:dyDescent="0.2">
      <c r="A3585" s="16"/>
      <c r="B3585" s="16"/>
      <c r="C3585" s="17"/>
      <c r="D3585" s="17"/>
      <c r="E3585" s="17"/>
      <c r="F3585" s="17"/>
      <c r="G3585" s="17"/>
      <c r="H3585" s="17"/>
    </row>
    <row r="3586" spans="1:8" x14ac:dyDescent="0.2">
      <c r="A3586" s="16"/>
      <c r="B3586" s="16"/>
      <c r="C3586" s="17"/>
      <c r="D3586" s="17"/>
      <c r="E3586" s="17"/>
      <c r="F3586" s="17"/>
      <c r="G3586" s="17"/>
      <c r="H3586" s="17"/>
    </row>
    <row r="3587" spans="1:8" x14ac:dyDescent="0.2">
      <c r="A3587" s="16"/>
      <c r="B3587" s="16"/>
      <c r="C3587" s="17"/>
      <c r="D3587" s="17"/>
      <c r="E3587" s="17"/>
      <c r="F3587" s="17"/>
      <c r="G3587" s="17"/>
      <c r="H3587" s="17"/>
    </row>
    <row r="3588" spans="1:8" x14ac:dyDescent="0.2">
      <c r="A3588" s="16"/>
      <c r="B3588" s="16"/>
      <c r="C3588" s="17"/>
      <c r="D3588" s="17"/>
      <c r="E3588" s="17"/>
      <c r="F3588" s="17"/>
      <c r="G3588" s="17"/>
      <c r="H3588" s="17"/>
    </row>
    <row r="3589" spans="1:8" x14ac:dyDescent="0.2">
      <c r="A3589" s="16"/>
      <c r="B3589" s="16"/>
      <c r="C3589" s="17"/>
      <c r="D3589" s="17"/>
      <c r="E3589" s="17"/>
      <c r="F3589" s="17"/>
      <c r="G3589" s="17"/>
      <c r="H3589" s="17"/>
    </row>
    <row r="3590" spans="1:8" x14ac:dyDescent="0.2">
      <c r="A3590" s="16"/>
      <c r="B3590" s="16"/>
      <c r="C3590" s="17"/>
      <c r="D3590" s="17"/>
      <c r="E3590" s="17"/>
      <c r="F3590" s="17"/>
      <c r="G3590" s="17"/>
      <c r="H3590" s="17"/>
    </row>
    <row r="3591" spans="1:8" x14ac:dyDescent="0.2">
      <c r="A3591" s="16"/>
      <c r="B3591" s="16"/>
      <c r="C3591" s="17"/>
      <c r="D3591" s="17"/>
      <c r="E3591" s="17"/>
      <c r="F3591" s="17"/>
      <c r="G3591" s="17"/>
      <c r="H3591" s="17"/>
    </row>
    <row r="3592" spans="1:8" x14ac:dyDescent="0.2">
      <c r="A3592" s="16"/>
      <c r="B3592" s="16"/>
      <c r="C3592" s="17"/>
      <c r="D3592" s="17"/>
      <c r="E3592" s="17"/>
      <c r="F3592" s="17"/>
      <c r="G3592" s="17"/>
      <c r="H3592" s="17"/>
    </row>
    <row r="3593" spans="1:8" x14ac:dyDescent="0.2">
      <c r="A3593" s="16"/>
      <c r="B3593" s="16"/>
      <c r="C3593" s="17"/>
      <c r="D3593" s="17"/>
      <c r="E3593" s="17"/>
      <c r="F3593" s="17"/>
      <c r="G3593" s="17"/>
      <c r="H3593" s="17"/>
    </row>
    <row r="3594" spans="1:8" x14ac:dyDescent="0.2">
      <c r="A3594" s="16"/>
      <c r="B3594" s="16"/>
      <c r="C3594" s="17"/>
      <c r="D3594" s="17"/>
      <c r="E3594" s="17"/>
      <c r="F3594" s="17"/>
      <c r="G3594" s="17"/>
      <c r="H3594" s="17"/>
    </row>
    <row r="3595" spans="1:8" x14ac:dyDescent="0.2">
      <c r="A3595" s="16"/>
      <c r="B3595" s="16"/>
      <c r="C3595" s="17"/>
      <c r="D3595" s="17"/>
      <c r="E3595" s="17"/>
      <c r="F3595" s="17"/>
      <c r="G3595" s="17"/>
      <c r="H3595" s="17"/>
    </row>
    <row r="3596" spans="1:8" x14ac:dyDescent="0.2">
      <c r="A3596" s="16"/>
      <c r="B3596" s="16"/>
      <c r="C3596" s="17"/>
      <c r="D3596" s="17"/>
      <c r="E3596" s="17"/>
      <c r="F3596" s="17"/>
      <c r="G3596" s="17"/>
      <c r="H3596" s="17"/>
    </row>
    <row r="3597" spans="1:8" x14ac:dyDescent="0.2">
      <c r="A3597" s="16"/>
      <c r="B3597" s="16"/>
      <c r="C3597" s="17"/>
      <c r="D3597" s="17"/>
      <c r="E3597" s="17"/>
      <c r="F3597" s="17"/>
      <c r="G3597" s="17"/>
      <c r="H3597" s="17"/>
    </row>
    <row r="3598" spans="1:8" x14ac:dyDescent="0.2">
      <c r="A3598" s="16"/>
      <c r="B3598" s="16"/>
      <c r="C3598" s="17"/>
      <c r="D3598" s="17"/>
      <c r="E3598" s="17"/>
      <c r="F3598" s="17"/>
      <c r="G3598" s="17"/>
      <c r="H3598" s="17"/>
    </row>
    <row r="3599" spans="1:8" x14ac:dyDescent="0.2">
      <c r="A3599" s="16"/>
      <c r="B3599" s="16"/>
      <c r="C3599" s="17"/>
      <c r="D3599" s="17"/>
      <c r="E3599" s="17"/>
      <c r="F3599" s="17"/>
      <c r="G3599" s="17"/>
      <c r="H3599" s="17"/>
    </row>
    <row r="3600" spans="1:8" x14ac:dyDescent="0.2">
      <c r="A3600" s="16"/>
      <c r="B3600" s="16"/>
      <c r="C3600" s="17"/>
      <c r="D3600" s="17"/>
      <c r="E3600" s="17"/>
      <c r="F3600" s="17"/>
      <c r="G3600" s="17"/>
      <c r="H3600" s="17"/>
    </row>
    <row r="3601" spans="1:8" x14ac:dyDescent="0.2">
      <c r="A3601" s="16"/>
      <c r="B3601" s="16"/>
      <c r="C3601" s="17"/>
      <c r="D3601" s="17"/>
      <c r="E3601" s="17"/>
      <c r="F3601" s="17"/>
      <c r="G3601" s="17"/>
      <c r="H3601" s="17"/>
    </row>
    <row r="3602" spans="1:8" x14ac:dyDescent="0.2">
      <c r="A3602" s="16"/>
      <c r="B3602" s="16"/>
      <c r="C3602" s="17"/>
      <c r="D3602" s="17"/>
      <c r="E3602" s="17"/>
      <c r="F3602" s="17"/>
      <c r="G3602" s="17"/>
      <c r="H3602" s="17"/>
    </row>
    <row r="3603" spans="1:8" x14ac:dyDescent="0.2">
      <c r="A3603" s="16"/>
      <c r="B3603" s="16"/>
      <c r="C3603" s="17"/>
      <c r="D3603" s="17"/>
      <c r="E3603" s="17"/>
      <c r="F3603" s="17"/>
      <c r="G3603" s="17"/>
      <c r="H3603" s="17"/>
    </row>
    <row r="3604" spans="1:8" x14ac:dyDescent="0.2">
      <c r="A3604" s="16"/>
      <c r="B3604" s="16"/>
      <c r="C3604" s="17"/>
      <c r="D3604" s="17"/>
      <c r="E3604" s="17"/>
      <c r="F3604" s="17"/>
      <c r="G3604" s="17"/>
      <c r="H3604" s="17"/>
    </row>
    <row r="3605" spans="1:8" x14ac:dyDescent="0.2">
      <c r="A3605" s="16"/>
      <c r="B3605" s="16"/>
      <c r="C3605" s="17"/>
      <c r="D3605" s="17"/>
      <c r="E3605" s="17"/>
      <c r="F3605" s="17"/>
      <c r="G3605" s="17"/>
      <c r="H3605" s="17"/>
    </row>
    <row r="3606" spans="1:8" x14ac:dyDescent="0.2">
      <c r="A3606" s="16"/>
      <c r="B3606" s="16"/>
      <c r="C3606" s="17"/>
      <c r="D3606" s="17"/>
      <c r="E3606" s="17"/>
      <c r="F3606" s="17"/>
      <c r="G3606" s="17"/>
      <c r="H3606" s="17"/>
    </row>
    <row r="3607" spans="1:8" x14ac:dyDescent="0.2">
      <c r="A3607" s="16"/>
      <c r="B3607" s="16"/>
      <c r="C3607" s="17"/>
      <c r="D3607" s="17"/>
      <c r="E3607" s="17"/>
      <c r="F3607" s="17"/>
      <c r="G3607" s="17"/>
      <c r="H3607" s="17"/>
    </row>
    <row r="3608" spans="1:8" x14ac:dyDescent="0.2">
      <c r="A3608" s="16"/>
      <c r="B3608" s="16"/>
      <c r="C3608" s="17"/>
      <c r="D3608" s="17"/>
      <c r="E3608" s="17"/>
      <c r="F3608" s="17"/>
      <c r="G3608" s="17"/>
      <c r="H3608" s="17"/>
    </row>
    <row r="3609" spans="1:8" x14ac:dyDescent="0.2">
      <c r="A3609" s="16"/>
      <c r="B3609" s="16"/>
      <c r="C3609" s="17"/>
      <c r="D3609" s="17"/>
      <c r="E3609" s="17"/>
      <c r="F3609" s="17"/>
      <c r="G3609" s="17"/>
      <c r="H3609" s="17"/>
    </row>
    <row r="3610" spans="1:8" x14ac:dyDescent="0.2">
      <c r="A3610" s="16"/>
      <c r="B3610" s="16"/>
      <c r="C3610" s="17"/>
      <c r="D3610" s="17"/>
      <c r="E3610" s="17"/>
      <c r="F3610" s="17"/>
      <c r="G3610" s="17"/>
      <c r="H3610" s="17"/>
    </row>
    <row r="3611" spans="1:8" x14ac:dyDescent="0.2">
      <c r="A3611" s="16"/>
      <c r="B3611" s="16"/>
      <c r="C3611" s="17"/>
      <c r="D3611" s="17"/>
      <c r="E3611" s="17"/>
      <c r="F3611" s="17"/>
      <c r="G3611" s="17"/>
      <c r="H3611" s="17"/>
    </row>
    <row r="3612" spans="1:8" x14ac:dyDescent="0.2">
      <c r="A3612" s="16"/>
      <c r="B3612" s="16"/>
      <c r="C3612" s="17"/>
      <c r="D3612" s="17"/>
      <c r="E3612" s="17"/>
      <c r="F3612" s="17"/>
      <c r="G3612" s="17"/>
      <c r="H3612" s="17"/>
    </row>
    <row r="3613" spans="1:8" x14ac:dyDescent="0.2">
      <c r="A3613" s="16"/>
      <c r="B3613" s="16"/>
      <c r="C3613" s="17"/>
      <c r="D3613" s="17"/>
      <c r="E3613" s="17"/>
      <c r="F3613" s="17"/>
      <c r="G3613" s="17"/>
      <c r="H3613" s="17"/>
    </row>
    <row r="3614" spans="1:8" x14ac:dyDescent="0.2">
      <c r="A3614" s="16"/>
      <c r="B3614" s="16"/>
      <c r="C3614" s="17"/>
      <c r="D3614" s="17"/>
      <c r="E3614" s="17"/>
      <c r="F3614" s="17"/>
      <c r="G3614" s="17"/>
      <c r="H3614" s="17"/>
    </row>
    <row r="3615" spans="1:8" x14ac:dyDescent="0.2">
      <c r="A3615" s="16"/>
      <c r="B3615" s="16"/>
      <c r="C3615" s="17"/>
      <c r="D3615" s="17"/>
      <c r="E3615" s="17"/>
      <c r="F3615" s="17"/>
      <c r="G3615" s="17"/>
      <c r="H3615" s="17"/>
    </row>
    <row r="3616" spans="1:8" x14ac:dyDescent="0.2">
      <c r="A3616" s="16"/>
      <c r="B3616" s="16"/>
      <c r="C3616" s="17"/>
      <c r="D3616" s="17"/>
      <c r="E3616" s="17"/>
      <c r="F3616" s="17"/>
      <c r="G3616" s="17"/>
      <c r="H3616" s="17"/>
    </row>
    <row r="3617" spans="1:8" x14ac:dyDescent="0.2">
      <c r="A3617" s="16"/>
      <c r="B3617" s="16"/>
      <c r="C3617" s="17"/>
      <c r="D3617" s="17"/>
      <c r="E3617" s="17"/>
      <c r="F3617" s="17"/>
      <c r="G3617" s="17"/>
      <c r="H3617" s="17"/>
    </row>
    <row r="3618" spans="1:8" x14ac:dyDescent="0.2">
      <c r="A3618" s="16"/>
      <c r="B3618" s="16"/>
      <c r="C3618" s="17"/>
      <c r="D3618" s="17"/>
      <c r="E3618" s="17"/>
      <c r="F3618" s="17"/>
      <c r="G3618" s="17"/>
      <c r="H3618" s="17"/>
    </row>
    <row r="3619" spans="1:8" x14ac:dyDescent="0.2">
      <c r="A3619" s="16"/>
      <c r="B3619" s="16"/>
      <c r="C3619" s="17"/>
      <c r="D3619" s="17"/>
      <c r="E3619" s="17"/>
      <c r="F3619" s="17"/>
      <c r="G3619" s="17"/>
      <c r="H3619" s="17"/>
    </row>
    <row r="3620" spans="1:8" x14ac:dyDescent="0.2">
      <c r="A3620" s="16"/>
      <c r="B3620" s="16"/>
      <c r="C3620" s="17"/>
      <c r="D3620" s="17"/>
      <c r="E3620" s="17"/>
      <c r="F3620" s="17"/>
      <c r="G3620" s="17"/>
      <c r="H3620" s="17"/>
    </row>
    <row r="3621" spans="1:8" x14ac:dyDescent="0.2">
      <c r="A3621" s="16"/>
      <c r="B3621" s="16"/>
      <c r="C3621" s="17"/>
      <c r="D3621" s="17"/>
      <c r="E3621" s="17"/>
      <c r="F3621" s="17"/>
      <c r="G3621" s="17"/>
      <c r="H3621" s="17"/>
    </row>
    <row r="3622" spans="1:8" x14ac:dyDescent="0.2">
      <c r="A3622" s="16"/>
      <c r="B3622" s="16"/>
      <c r="C3622" s="17"/>
      <c r="D3622" s="17"/>
      <c r="E3622" s="17"/>
      <c r="F3622" s="17"/>
      <c r="G3622" s="17"/>
      <c r="H3622" s="17"/>
    </row>
    <row r="3623" spans="1:8" x14ac:dyDescent="0.2">
      <c r="A3623" s="16"/>
      <c r="B3623" s="16"/>
      <c r="C3623" s="17"/>
      <c r="D3623" s="17"/>
      <c r="E3623" s="17"/>
      <c r="F3623" s="17"/>
      <c r="G3623" s="17"/>
      <c r="H3623" s="17"/>
    </row>
    <row r="3624" spans="1:8" x14ac:dyDescent="0.2">
      <c r="A3624" s="16"/>
      <c r="B3624" s="16"/>
      <c r="C3624" s="17"/>
      <c r="D3624" s="17"/>
      <c r="E3624" s="17"/>
      <c r="F3624" s="17"/>
      <c r="G3624" s="17"/>
      <c r="H3624" s="17"/>
    </row>
    <row r="3625" spans="1:8" x14ac:dyDescent="0.2">
      <c r="A3625" s="16"/>
      <c r="B3625" s="16"/>
      <c r="C3625" s="17"/>
      <c r="D3625" s="17"/>
      <c r="E3625" s="17"/>
      <c r="F3625" s="17"/>
      <c r="G3625" s="17"/>
      <c r="H3625" s="17"/>
    </row>
    <row r="3626" spans="1:8" x14ac:dyDescent="0.2">
      <c r="A3626" s="16"/>
      <c r="B3626" s="16"/>
      <c r="C3626" s="17"/>
      <c r="D3626" s="17"/>
      <c r="E3626" s="17"/>
      <c r="F3626" s="17"/>
      <c r="G3626" s="17"/>
      <c r="H3626" s="17"/>
    </row>
    <row r="3627" spans="1:8" x14ac:dyDescent="0.2">
      <c r="A3627" s="16"/>
      <c r="B3627" s="16"/>
      <c r="C3627" s="17"/>
      <c r="D3627" s="17"/>
      <c r="E3627" s="17"/>
      <c r="F3627" s="17"/>
      <c r="G3627" s="17"/>
      <c r="H3627" s="17"/>
    </row>
    <row r="3628" spans="1:8" x14ac:dyDescent="0.2">
      <c r="A3628" s="16"/>
      <c r="B3628" s="16"/>
      <c r="C3628" s="17"/>
      <c r="D3628" s="17"/>
      <c r="E3628" s="17"/>
      <c r="F3628" s="17"/>
      <c r="G3628" s="17"/>
      <c r="H3628" s="17"/>
    </row>
    <row r="3629" spans="1:8" x14ac:dyDescent="0.2">
      <c r="A3629" s="16"/>
      <c r="B3629" s="16"/>
      <c r="C3629" s="17"/>
      <c r="D3629" s="17"/>
      <c r="E3629" s="17"/>
      <c r="F3629" s="17"/>
      <c r="G3629" s="17"/>
      <c r="H3629" s="17"/>
    </row>
    <row r="3630" spans="1:8" x14ac:dyDescent="0.2">
      <c r="A3630" s="16"/>
      <c r="B3630" s="16"/>
      <c r="C3630" s="17"/>
      <c r="D3630" s="17"/>
      <c r="E3630" s="17"/>
      <c r="F3630" s="17"/>
      <c r="G3630" s="17"/>
      <c r="H3630" s="17"/>
    </row>
    <row r="3631" spans="1:8" x14ac:dyDescent="0.2">
      <c r="A3631" s="16"/>
      <c r="B3631" s="16"/>
      <c r="C3631" s="17"/>
      <c r="D3631" s="17"/>
      <c r="E3631" s="17"/>
      <c r="F3631" s="17"/>
      <c r="G3631" s="17"/>
      <c r="H3631" s="17"/>
    </row>
    <row r="3632" spans="1:8" x14ac:dyDescent="0.2">
      <c r="A3632" s="16"/>
      <c r="B3632" s="16"/>
      <c r="C3632" s="17"/>
      <c r="D3632" s="17"/>
      <c r="E3632" s="17"/>
      <c r="F3632" s="17"/>
      <c r="G3632" s="17"/>
      <c r="H3632" s="17"/>
    </row>
    <row r="3633" spans="1:8" x14ac:dyDescent="0.2">
      <c r="A3633" s="16"/>
      <c r="B3633" s="16"/>
      <c r="C3633" s="17"/>
      <c r="D3633" s="17"/>
      <c r="E3633" s="17"/>
      <c r="F3633" s="17"/>
      <c r="G3633" s="17"/>
      <c r="H3633" s="17"/>
    </row>
    <row r="3634" spans="1:8" x14ac:dyDescent="0.2">
      <c r="A3634" s="16"/>
      <c r="B3634" s="16"/>
      <c r="C3634" s="17"/>
      <c r="D3634" s="17"/>
      <c r="E3634" s="17"/>
      <c r="F3634" s="17"/>
      <c r="G3634" s="17"/>
      <c r="H3634" s="17"/>
    </row>
    <row r="3635" spans="1:8" x14ac:dyDescent="0.2">
      <c r="A3635" s="16"/>
      <c r="B3635" s="16"/>
      <c r="C3635" s="17"/>
      <c r="D3635" s="17"/>
      <c r="E3635" s="17"/>
      <c r="F3635" s="17"/>
      <c r="G3635" s="17"/>
      <c r="H3635" s="17"/>
    </row>
    <row r="3636" spans="1:8" x14ac:dyDescent="0.2">
      <c r="A3636" s="16"/>
      <c r="B3636" s="16"/>
      <c r="C3636" s="17"/>
      <c r="D3636" s="17"/>
      <c r="E3636" s="17"/>
      <c r="F3636" s="17"/>
      <c r="G3636" s="17"/>
      <c r="H3636" s="17"/>
    </row>
    <row r="3637" spans="1:8" x14ac:dyDescent="0.2">
      <c r="A3637" s="16"/>
      <c r="B3637" s="16"/>
      <c r="C3637" s="17"/>
      <c r="D3637" s="17"/>
      <c r="E3637" s="17"/>
      <c r="F3637" s="17"/>
      <c r="G3637" s="17"/>
      <c r="H3637" s="17"/>
    </row>
    <row r="3638" spans="1:8" x14ac:dyDescent="0.2">
      <c r="A3638" s="16"/>
      <c r="B3638" s="16"/>
      <c r="C3638" s="17"/>
      <c r="D3638" s="17"/>
      <c r="E3638" s="17"/>
      <c r="F3638" s="17"/>
      <c r="G3638" s="17"/>
      <c r="H3638" s="17"/>
    </row>
    <row r="3639" spans="1:8" x14ac:dyDescent="0.2">
      <c r="A3639" s="16"/>
      <c r="B3639" s="16"/>
      <c r="C3639" s="17"/>
      <c r="D3639" s="17"/>
      <c r="E3639" s="17"/>
      <c r="F3639" s="17"/>
      <c r="G3639" s="17"/>
      <c r="H3639" s="17"/>
    </row>
    <row r="3640" spans="1:8" x14ac:dyDescent="0.2">
      <c r="A3640" s="16"/>
      <c r="B3640" s="16"/>
      <c r="C3640" s="17"/>
      <c r="D3640" s="17"/>
      <c r="E3640" s="17"/>
      <c r="F3640" s="17"/>
      <c r="G3640" s="17"/>
      <c r="H3640" s="17"/>
    </row>
    <row r="3641" spans="1:8" x14ac:dyDescent="0.2">
      <c r="A3641" s="16"/>
      <c r="B3641" s="16"/>
      <c r="C3641" s="17"/>
      <c r="D3641" s="17"/>
      <c r="E3641" s="17"/>
      <c r="F3641" s="17"/>
      <c r="G3641" s="17"/>
      <c r="H3641" s="17"/>
    </row>
    <row r="3642" spans="1:8" x14ac:dyDescent="0.2">
      <c r="A3642" s="16"/>
      <c r="B3642" s="16"/>
      <c r="C3642" s="17"/>
      <c r="D3642" s="17"/>
      <c r="E3642" s="17"/>
      <c r="F3642" s="17"/>
      <c r="G3642" s="17"/>
      <c r="H3642" s="17"/>
    </row>
    <row r="3643" spans="1:8" x14ac:dyDescent="0.2">
      <c r="A3643" s="16"/>
      <c r="B3643" s="16"/>
      <c r="C3643" s="17"/>
      <c r="D3643" s="17"/>
      <c r="E3643" s="17"/>
      <c r="F3643" s="17"/>
      <c r="G3643" s="17"/>
      <c r="H3643" s="17"/>
    </row>
    <row r="3644" spans="1:8" x14ac:dyDescent="0.2">
      <c r="A3644" s="16"/>
      <c r="B3644" s="16"/>
      <c r="C3644" s="17"/>
      <c r="D3644" s="17"/>
      <c r="E3644" s="17"/>
      <c r="F3644" s="17"/>
      <c r="G3644" s="17"/>
      <c r="H3644" s="17"/>
    </row>
    <row r="3645" spans="1:8" x14ac:dyDescent="0.2">
      <c r="A3645" s="16"/>
      <c r="B3645" s="16"/>
      <c r="C3645" s="17"/>
      <c r="D3645" s="17"/>
      <c r="E3645" s="17"/>
      <c r="F3645" s="17"/>
      <c r="G3645" s="17"/>
      <c r="H3645" s="17"/>
    </row>
    <row r="3646" spans="1:8" x14ac:dyDescent="0.2">
      <c r="A3646" s="16"/>
      <c r="B3646" s="16"/>
      <c r="C3646" s="17"/>
      <c r="D3646" s="17"/>
      <c r="E3646" s="17"/>
      <c r="F3646" s="17"/>
      <c r="G3646" s="17"/>
      <c r="H3646" s="17"/>
    </row>
    <row r="3647" spans="1:8" x14ac:dyDescent="0.2">
      <c r="A3647" s="16"/>
      <c r="B3647" s="16"/>
      <c r="C3647" s="17"/>
      <c r="D3647" s="17"/>
      <c r="E3647" s="17"/>
      <c r="F3647" s="17"/>
      <c r="G3647" s="17"/>
      <c r="H3647" s="17"/>
    </row>
    <row r="3648" spans="1:8" x14ac:dyDescent="0.2">
      <c r="A3648" s="16"/>
      <c r="B3648" s="16"/>
      <c r="C3648" s="17"/>
      <c r="D3648" s="17"/>
      <c r="E3648" s="17"/>
      <c r="F3648" s="17"/>
      <c r="G3648" s="17"/>
      <c r="H3648" s="17"/>
    </row>
    <row r="3649" spans="1:8" x14ac:dyDescent="0.2">
      <c r="A3649" s="16"/>
      <c r="B3649" s="16"/>
      <c r="C3649" s="17"/>
      <c r="D3649" s="17"/>
      <c r="E3649" s="17"/>
      <c r="F3649" s="17"/>
      <c r="G3649" s="17"/>
      <c r="H3649" s="17"/>
    </row>
    <row r="3650" spans="1:8" x14ac:dyDescent="0.2">
      <c r="A3650" s="16"/>
      <c r="B3650" s="16"/>
      <c r="C3650" s="17"/>
      <c r="D3650" s="17"/>
      <c r="E3650" s="17"/>
      <c r="F3650" s="17"/>
      <c r="G3650" s="17"/>
      <c r="H3650" s="17"/>
    </row>
    <row r="3651" spans="1:8" x14ac:dyDescent="0.2">
      <c r="A3651" s="16"/>
      <c r="B3651" s="16"/>
      <c r="C3651" s="17"/>
      <c r="D3651" s="17"/>
      <c r="E3651" s="17"/>
      <c r="F3651" s="17"/>
      <c r="G3651" s="17"/>
      <c r="H3651" s="17"/>
    </row>
    <row r="3652" spans="1:8" x14ac:dyDescent="0.2">
      <c r="A3652" s="16"/>
      <c r="B3652" s="16"/>
      <c r="C3652" s="17"/>
      <c r="D3652" s="17"/>
      <c r="E3652" s="17"/>
      <c r="F3652" s="17"/>
      <c r="G3652" s="17"/>
      <c r="H3652" s="17"/>
    </row>
    <row r="3653" spans="1:8" x14ac:dyDescent="0.2">
      <c r="A3653" s="16"/>
      <c r="B3653" s="16"/>
      <c r="C3653" s="17"/>
      <c r="D3653" s="17"/>
      <c r="E3653" s="17"/>
      <c r="F3653" s="17"/>
      <c r="G3653" s="17"/>
      <c r="H3653" s="17"/>
    </row>
    <row r="3654" spans="1:8" x14ac:dyDescent="0.2">
      <c r="A3654" s="16"/>
      <c r="B3654" s="16"/>
      <c r="C3654" s="17"/>
      <c r="D3654" s="17"/>
      <c r="E3654" s="17"/>
      <c r="F3654" s="17"/>
      <c r="G3654" s="17"/>
      <c r="H3654" s="17"/>
    </row>
    <row r="3655" spans="1:8" x14ac:dyDescent="0.2">
      <c r="A3655" s="16"/>
      <c r="B3655" s="16"/>
      <c r="C3655" s="17"/>
      <c r="D3655" s="17"/>
      <c r="E3655" s="17"/>
      <c r="F3655" s="17"/>
      <c r="G3655" s="17"/>
      <c r="H3655" s="17"/>
    </row>
    <row r="3656" spans="1:8" x14ac:dyDescent="0.2">
      <c r="A3656" s="16"/>
      <c r="B3656" s="16"/>
      <c r="C3656" s="17"/>
      <c r="D3656" s="17"/>
      <c r="E3656" s="17"/>
      <c r="F3656" s="17"/>
      <c r="G3656" s="17"/>
      <c r="H3656" s="17"/>
    </row>
    <row r="3657" spans="1:8" x14ac:dyDescent="0.2">
      <c r="A3657" s="16"/>
      <c r="B3657" s="16"/>
      <c r="C3657" s="17"/>
      <c r="D3657" s="17"/>
      <c r="E3657" s="17"/>
      <c r="F3657" s="17"/>
      <c r="G3657" s="17"/>
      <c r="H3657" s="17"/>
    </row>
    <row r="3658" spans="1:8" x14ac:dyDescent="0.2">
      <c r="A3658" s="16"/>
      <c r="B3658" s="16"/>
      <c r="C3658" s="17"/>
      <c r="D3658" s="17"/>
      <c r="E3658" s="17"/>
      <c r="F3658" s="17"/>
      <c r="G3658" s="17"/>
      <c r="H3658" s="17"/>
    </row>
    <row r="3659" spans="1:8" x14ac:dyDescent="0.2">
      <c r="A3659" s="16"/>
      <c r="B3659" s="16"/>
      <c r="C3659" s="17"/>
      <c r="D3659" s="17"/>
      <c r="E3659" s="17"/>
      <c r="F3659" s="17"/>
      <c r="G3659" s="17"/>
      <c r="H3659" s="17"/>
    </row>
    <row r="3660" spans="1:8" x14ac:dyDescent="0.2">
      <c r="A3660" s="16"/>
      <c r="B3660" s="16"/>
      <c r="C3660" s="17"/>
      <c r="D3660" s="17"/>
      <c r="E3660" s="17"/>
      <c r="F3660" s="17"/>
      <c r="G3660" s="17"/>
      <c r="H3660" s="17"/>
    </row>
    <row r="3661" spans="1:8" x14ac:dyDescent="0.2">
      <c r="A3661" s="16"/>
      <c r="B3661" s="16"/>
      <c r="C3661" s="17"/>
      <c r="D3661" s="17"/>
      <c r="E3661" s="17"/>
      <c r="F3661" s="17"/>
      <c r="G3661" s="17"/>
      <c r="H3661" s="17"/>
    </row>
    <row r="3662" spans="1:8" x14ac:dyDescent="0.2">
      <c r="A3662" s="16"/>
      <c r="B3662" s="16"/>
      <c r="C3662" s="17"/>
      <c r="D3662" s="17"/>
      <c r="E3662" s="17"/>
      <c r="F3662" s="17"/>
      <c r="G3662" s="17"/>
      <c r="H3662" s="17"/>
    </row>
    <row r="3663" spans="1:8" x14ac:dyDescent="0.2">
      <c r="A3663" s="16"/>
      <c r="B3663" s="16"/>
      <c r="C3663" s="17"/>
      <c r="D3663" s="17"/>
      <c r="E3663" s="17"/>
      <c r="F3663" s="17"/>
      <c r="G3663" s="17"/>
      <c r="H3663" s="17"/>
    </row>
    <row r="3664" spans="1:8" x14ac:dyDescent="0.2">
      <c r="A3664" s="16"/>
      <c r="B3664" s="16"/>
      <c r="C3664" s="17"/>
      <c r="D3664" s="17"/>
      <c r="E3664" s="17"/>
      <c r="F3664" s="17"/>
      <c r="G3664" s="17"/>
      <c r="H3664" s="17"/>
    </row>
    <row r="3665" spans="1:8" x14ac:dyDescent="0.2">
      <c r="A3665" s="16"/>
      <c r="B3665" s="16"/>
      <c r="C3665" s="17"/>
      <c r="D3665" s="17"/>
      <c r="E3665" s="17"/>
      <c r="F3665" s="17"/>
      <c r="G3665" s="17"/>
      <c r="H3665" s="17"/>
    </row>
    <row r="3666" spans="1:8" x14ac:dyDescent="0.2">
      <c r="A3666" s="16"/>
      <c r="B3666" s="16"/>
      <c r="C3666" s="17"/>
      <c r="D3666" s="17"/>
      <c r="E3666" s="17"/>
      <c r="F3666" s="17"/>
      <c r="G3666" s="17"/>
      <c r="H3666" s="17"/>
    </row>
    <row r="3667" spans="1:8" x14ac:dyDescent="0.2">
      <c r="A3667" s="16"/>
      <c r="B3667" s="16"/>
      <c r="C3667" s="17"/>
      <c r="D3667" s="17"/>
      <c r="E3667" s="17"/>
      <c r="F3667" s="17"/>
      <c r="G3667" s="17"/>
      <c r="H3667" s="17"/>
    </row>
    <row r="3668" spans="1:8" x14ac:dyDescent="0.2">
      <c r="A3668" s="16"/>
      <c r="B3668" s="16"/>
      <c r="C3668" s="17"/>
      <c r="D3668" s="17"/>
      <c r="E3668" s="17"/>
      <c r="F3668" s="17"/>
      <c r="G3668" s="17"/>
      <c r="H3668" s="17"/>
    </row>
    <row r="3669" spans="1:8" x14ac:dyDescent="0.2">
      <c r="A3669" s="16"/>
      <c r="B3669" s="16"/>
      <c r="C3669" s="17"/>
      <c r="D3669" s="17"/>
      <c r="E3669" s="17"/>
      <c r="F3669" s="17"/>
      <c r="G3669" s="17"/>
      <c r="H3669" s="17"/>
    </row>
    <row r="3670" spans="1:8" x14ac:dyDescent="0.2">
      <c r="A3670" s="16"/>
      <c r="B3670" s="16"/>
      <c r="C3670" s="17"/>
      <c r="D3670" s="17"/>
      <c r="E3670" s="17"/>
      <c r="F3670" s="17"/>
      <c r="G3670" s="17"/>
      <c r="H3670" s="17"/>
    </row>
    <row r="3671" spans="1:8" x14ac:dyDescent="0.2">
      <c r="A3671" s="16"/>
      <c r="B3671" s="16"/>
      <c r="C3671" s="17"/>
      <c r="D3671" s="17"/>
      <c r="E3671" s="17"/>
      <c r="F3671" s="17"/>
      <c r="G3671" s="17"/>
      <c r="H3671" s="17"/>
    </row>
    <row r="3672" spans="1:8" x14ac:dyDescent="0.2">
      <c r="A3672" s="16"/>
      <c r="B3672" s="16"/>
      <c r="C3672" s="17"/>
      <c r="D3672" s="17"/>
      <c r="E3672" s="17"/>
      <c r="F3672" s="17"/>
      <c r="G3672" s="17"/>
      <c r="H3672" s="17"/>
    </row>
    <row r="3673" spans="1:8" x14ac:dyDescent="0.2">
      <c r="A3673" s="16"/>
      <c r="B3673" s="16"/>
      <c r="C3673" s="17"/>
      <c r="D3673" s="17"/>
      <c r="E3673" s="17"/>
      <c r="F3673" s="17"/>
      <c r="G3673" s="17"/>
      <c r="H3673" s="17"/>
    </row>
    <row r="3674" spans="1:8" x14ac:dyDescent="0.2">
      <c r="A3674" s="16"/>
      <c r="B3674" s="16"/>
      <c r="C3674" s="17"/>
      <c r="D3674" s="17"/>
      <c r="E3674" s="17"/>
      <c r="F3674" s="17"/>
      <c r="G3674" s="17"/>
      <c r="H3674" s="17"/>
    </row>
    <row r="3675" spans="1:8" x14ac:dyDescent="0.2">
      <c r="A3675" s="16"/>
      <c r="B3675" s="16"/>
      <c r="C3675" s="17"/>
      <c r="D3675" s="17"/>
      <c r="E3675" s="17"/>
      <c r="F3675" s="17"/>
      <c r="G3675" s="17"/>
      <c r="H3675" s="17"/>
    </row>
    <row r="3676" spans="1:8" x14ac:dyDescent="0.2">
      <c r="A3676" s="16"/>
      <c r="B3676" s="16"/>
      <c r="C3676" s="17"/>
      <c r="D3676" s="17"/>
      <c r="E3676" s="17"/>
      <c r="F3676" s="17"/>
      <c r="G3676" s="17"/>
      <c r="H3676" s="17"/>
    </row>
    <row r="3677" spans="1:8" x14ac:dyDescent="0.2">
      <c r="A3677" s="16"/>
      <c r="B3677" s="16"/>
      <c r="C3677" s="17"/>
      <c r="D3677" s="17"/>
      <c r="E3677" s="17"/>
      <c r="F3677" s="17"/>
      <c r="G3677" s="17"/>
      <c r="H3677" s="17"/>
    </row>
    <row r="3678" spans="1:8" x14ac:dyDescent="0.2">
      <c r="A3678" s="16"/>
      <c r="B3678" s="16"/>
      <c r="C3678" s="17"/>
      <c r="D3678" s="17"/>
      <c r="E3678" s="17"/>
      <c r="F3678" s="17"/>
      <c r="G3678" s="17"/>
      <c r="H3678" s="17"/>
    </row>
    <row r="3679" spans="1:8" x14ac:dyDescent="0.2">
      <c r="A3679" s="16"/>
      <c r="B3679" s="16"/>
      <c r="C3679" s="17"/>
      <c r="D3679" s="17"/>
      <c r="E3679" s="17"/>
      <c r="F3679" s="17"/>
      <c r="G3679" s="17"/>
      <c r="H3679" s="17"/>
    </row>
    <row r="3680" spans="1:8" x14ac:dyDescent="0.2">
      <c r="A3680" s="16"/>
      <c r="B3680" s="16"/>
      <c r="C3680" s="17"/>
      <c r="D3680" s="17"/>
      <c r="E3680" s="17"/>
      <c r="F3680" s="17"/>
      <c r="G3680" s="17"/>
      <c r="H3680" s="17"/>
    </row>
    <row r="3681" spans="1:8" x14ac:dyDescent="0.2">
      <c r="A3681" s="16"/>
      <c r="B3681" s="16"/>
      <c r="C3681" s="17"/>
      <c r="D3681" s="17"/>
      <c r="E3681" s="17"/>
      <c r="F3681" s="17"/>
      <c r="G3681" s="17"/>
      <c r="H3681" s="17"/>
    </row>
    <row r="3682" spans="1:8" x14ac:dyDescent="0.2">
      <c r="A3682" s="16"/>
      <c r="B3682" s="16"/>
      <c r="C3682" s="17"/>
      <c r="D3682" s="17"/>
      <c r="E3682" s="17"/>
      <c r="F3682" s="17"/>
      <c r="G3682" s="17"/>
      <c r="H3682" s="17"/>
    </row>
    <row r="3683" spans="1:8" x14ac:dyDescent="0.2">
      <c r="A3683" s="16"/>
      <c r="B3683" s="16"/>
      <c r="C3683" s="17"/>
      <c r="D3683" s="17"/>
      <c r="E3683" s="17"/>
      <c r="F3683" s="17"/>
      <c r="G3683" s="17"/>
      <c r="H3683" s="17"/>
    </row>
    <row r="3684" spans="1:8" x14ac:dyDescent="0.2">
      <c r="A3684" s="16"/>
      <c r="B3684" s="16"/>
      <c r="C3684" s="17"/>
      <c r="D3684" s="17"/>
      <c r="E3684" s="17"/>
      <c r="F3684" s="17"/>
      <c r="G3684" s="17"/>
      <c r="H3684" s="17"/>
    </row>
    <row r="3685" spans="1:8" x14ac:dyDescent="0.2">
      <c r="A3685" s="16"/>
      <c r="B3685" s="16"/>
      <c r="C3685" s="17"/>
      <c r="D3685" s="17"/>
      <c r="E3685" s="17"/>
      <c r="F3685" s="17"/>
      <c r="G3685" s="17"/>
      <c r="H3685" s="17"/>
    </row>
    <row r="3686" spans="1:8" x14ac:dyDescent="0.2">
      <c r="A3686" s="16"/>
      <c r="B3686" s="16"/>
      <c r="C3686" s="17"/>
      <c r="D3686" s="17"/>
      <c r="E3686" s="17"/>
      <c r="F3686" s="17"/>
      <c r="G3686" s="17"/>
      <c r="H3686" s="17"/>
    </row>
    <row r="3687" spans="1:8" x14ac:dyDescent="0.2">
      <c r="A3687" s="16"/>
      <c r="B3687" s="16"/>
      <c r="C3687" s="17"/>
      <c r="D3687" s="17"/>
      <c r="E3687" s="17"/>
      <c r="F3687" s="17"/>
      <c r="G3687" s="17"/>
      <c r="H3687" s="17"/>
    </row>
    <row r="3688" spans="1:8" x14ac:dyDescent="0.2">
      <c r="A3688" s="16"/>
      <c r="B3688" s="16"/>
      <c r="C3688" s="17"/>
      <c r="D3688" s="17"/>
      <c r="E3688" s="17"/>
      <c r="F3688" s="17"/>
      <c r="G3688" s="17"/>
      <c r="H3688" s="17"/>
    </row>
    <row r="3689" spans="1:8" x14ac:dyDescent="0.2">
      <c r="A3689" s="16"/>
      <c r="B3689" s="16"/>
      <c r="C3689" s="17"/>
      <c r="D3689" s="17"/>
      <c r="E3689" s="17"/>
      <c r="F3689" s="17"/>
      <c r="G3689" s="17"/>
      <c r="H3689" s="17"/>
    </row>
    <row r="3690" spans="1:8" x14ac:dyDescent="0.2">
      <c r="A3690" s="16"/>
      <c r="B3690" s="16"/>
      <c r="C3690" s="17"/>
      <c r="D3690" s="17"/>
      <c r="E3690" s="17"/>
      <c r="F3690" s="17"/>
      <c r="G3690" s="17"/>
      <c r="H3690" s="17"/>
    </row>
    <row r="3691" spans="1:8" x14ac:dyDescent="0.2">
      <c r="A3691" s="16"/>
      <c r="B3691" s="16"/>
      <c r="C3691" s="17"/>
      <c r="D3691" s="17"/>
      <c r="E3691" s="17"/>
      <c r="F3691" s="17"/>
      <c r="G3691" s="17"/>
      <c r="H3691" s="17"/>
    </row>
    <row r="3692" spans="1:8" x14ac:dyDescent="0.2">
      <c r="A3692" s="16"/>
      <c r="B3692" s="16"/>
      <c r="C3692" s="17"/>
      <c r="D3692" s="17"/>
      <c r="E3692" s="17"/>
      <c r="F3692" s="17"/>
      <c r="G3692" s="17"/>
      <c r="H3692" s="17"/>
    </row>
    <row r="3693" spans="1:8" x14ac:dyDescent="0.2">
      <c r="A3693" s="16"/>
      <c r="B3693" s="16"/>
      <c r="C3693" s="17"/>
      <c r="D3693" s="17"/>
      <c r="E3693" s="17"/>
      <c r="F3693" s="17"/>
      <c r="G3693" s="17"/>
      <c r="H3693" s="17"/>
    </row>
    <row r="3694" spans="1:8" x14ac:dyDescent="0.2">
      <c r="A3694" s="16"/>
      <c r="B3694" s="16"/>
      <c r="C3694" s="17"/>
      <c r="D3694" s="17"/>
      <c r="E3694" s="17"/>
      <c r="F3694" s="17"/>
      <c r="G3694" s="17"/>
      <c r="H3694" s="17"/>
    </row>
    <row r="3695" spans="1:8" x14ac:dyDescent="0.2">
      <c r="A3695" s="16"/>
      <c r="B3695" s="16"/>
      <c r="C3695" s="17"/>
      <c r="D3695" s="17"/>
      <c r="E3695" s="17"/>
      <c r="F3695" s="17"/>
      <c r="G3695" s="17"/>
      <c r="H3695" s="17"/>
    </row>
    <row r="3696" spans="1:8" x14ac:dyDescent="0.2">
      <c r="A3696" s="16"/>
      <c r="B3696" s="16"/>
      <c r="C3696" s="17"/>
      <c r="D3696" s="17"/>
      <c r="E3696" s="17"/>
      <c r="F3696" s="17"/>
      <c r="G3696" s="17"/>
      <c r="H3696" s="17"/>
    </row>
    <row r="3697" spans="1:8" x14ac:dyDescent="0.2">
      <c r="A3697" s="16"/>
      <c r="B3697" s="16"/>
      <c r="C3697" s="17"/>
      <c r="D3697" s="17"/>
      <c r="E3697" s="17"/>
      <c r="F3697" s="17"/>
      <c r="G3697" s="17"/>
      <c r="H3697" s="17"/>
    </row>
    <row r="3698" spans="1:8" x14ac:dyDescent="0.2">
      <c r="A3698" s="16"/>
      <c r="B3698" s="16"/>
      <c r="C3698" s="17"/>
      <c r="D3698" s="17"/>
      <c r="E3698" s="17"/>
      <c r="F3698" s="17"/>
      <c r="G3698" s="17"/>
      <c r="H3698" s="17"/>
    </row>
    <row r="3699" spans="1:8" x14ac:dyDescent="0.2">
      <c r="A3699" s="16"/>
      <c r="B3699" s="16"/>
      <c r="C3699" s="17"/>
      <c r="D3699" s="17"/>
      <c r="E3699" s="17"/>
      <c r="F3699" s="17"/>
      <c r="G3699" s="17"/>
      <c r="H3699" s="17"/>
    </row>
    <row r="3700" spans="1:8" x14ac:dyDescent="0.2">
      <c r="A3700" s="16"/>
      <c r="B3700" s="16"/>
      <c r="C3700" s="17"/>
      <c r="D3700" s="17"/>
      <c r="E3700" s="17"/>
      <c r="F3700" s="17"/>
      <c r="G3700" s="17"/>
      <c r="H3700" s="17"/>
    </row>
    <row r="3701" spans="1:8" x14ac:dyDescent="0.2">
      <c r="A3701" s="16"/>
      <c r="B3701" s="16"/>
      <c r="C3701" s="17"/>
      <c r="D3701" s="17"/>
      <c r="E3701" s="17"/>
      <c r="F3701" s="17"/>
      <c r="G3701" s="17"/>
      <c r="H3701" s="17"/>
    </row>
    <row r="3702" spans="1:8" x14ac:dyDescent="0.2">
      <c r="A3702" s="16"/>
      <c r="B3702" s="16"/>
      <c r="C3702" s="17"/>
      <c r="D3702" s="17"/>
      <c r="E3702" s="17"/>
      <c r="F3702" s="17"/>
      <c r="G3702" s="17"/>
      <c r="H3702" s="17"/>
    </row>
    <row r="3703" spans="1:8" x14ac:dyDescent="0.2">
      <c r="A3703" s="16"/>
      <c r="B3703" s="16"/>
      <c r="C3703" s="17"/>
      <c r="D3703" s="17"/>
      <c r="E3703" s="17"/>
      <c r="F3703" s="17"/>
      <c r="G3703" s="17"/>
      <c r="H3703" s="17"/>
    </row>
    <row r="3704" spans="1:8" x14ac:dyDescent="0.2">
      <c r="A3704" s="16"/>
      <c r="B3704" s="16"/>
      <c r="C3704" s="17"/>
      <c r="D3704" s="17"/>
      <c r="E3704" s="17"/>
      <c r="F3704" s="17"/>
      <c r="G3704" s="17"/>
      <c r="H3704" s="17"/>
    </row>
    <row r="3705" spans="1:8" x14ac:dyDescent="0.2">
      <c r="A3705" s="16"/>
      <c r="B3705" s="16"/>
      <c r="C3705" s="17"/>
      <c r="D3705" s="17"/>
      <c r="E3705" s="17"/>
      <c r="F3705" s="17"/>
      <c r="G3705" s="17"/>
      <c r="H3705" s="17"/>
    </row>
    <row r="3706" spans="1:8" x14ac:dyDescent="0.2">
      <c r="A3706" s="16"/>
      <c r="B3706" s="16"/>
      <c r="C3706" s="17"/>
      <c r="D3706" s="17"/>
      <c r="E3706" s="17"/>
      <c r="F3706" s="17"/>
      <c r="G3706" s="17"/>
      <c r="H3706" s="17"/>
    </row>
    <row r="3707" spans="1:8" x14ac:dyDescent="0.2">
      <c r="A3707" s="16"/>
      <c r="B3707" s="16"/>
      <c r="C3707" s="17"/>
      <c r="D3707" s="17"/>
      <c r="E3707" s="17"/>
      <c r="F3707" s="17"/>
      <c r="G3707" s="17"/>
      <c r="H3707" s="17"/>
    </row>
    <row r="3708" spans="1:8" x14ac:dyDescent="0.2">
      <c r="A3708" s="16"/>
      <c r="B3708" s="16"/>
      <c r="C3708" s="17"/>
      <c r="D3708" s="17"/>
      <c r="E3708" s="17"/>
      <c r="F3708" s="17"/>
      <c r="G3708" s="17"/>
      <c r="H3708" s="17"/>
    </row>
    <row r="3709" spans="1:8" x14ac:dyDescent="0.2">
      <c r="A3709" s="16"/>
      <c r="B3709" s="16"/>
      <c r="C3709" s="17"/>
      <c r="D3709" s="17"/>
      <c r="E3709" s="17"/>
      <c r="F3709" s="17"/>
      <c r="G3709" s="17"/>
      <c r="H3709" s="17"/>
    </row>
    <row r="3710" spans="1:8" x14ac:dyDescent="0.2">
      <c r="A3710" s="16"/>
      <c r="B3710" s="16"/>
      <c r="C3710" s="17"/>
      <c r="D3710" s="17"/>
      <c r="E3710" s="17"/>
      <c r="F3710" s="17"/>
      <c r="G3710" s="17"/>
      <c r="H3710" s="17"/>
    </row>
    <row r="3711" spans="1:8" x14ac:dyDescent="0.2">
      <c r="A3711" s="16"/>
      <c r="B3711" s="16"/>
      <c r="C3711" s="17"/>
      <c r="D3711" s="17"/>
      <c r="E3711" s="17"/>
      <c r="F3711" s="17"/>
      <c r="G3711" s="17"/>
      <c r="H3711" s="17"/>
    </row>
    <row r="3712" spans="1:8" x14ac:dyDescent="0.2">
      <c r="A3712" s="16"/>
      <c r="B3712" s="16"/>
      <c r="C3712" s="17"/>
      <c r="D3712" s="17"/>
      <c r="E3712" s="17"/>
      <c r="F3712" s="17"/>
      <c r="G3712" s="17"/>
      <c r="H3712" s="17"/>
    </row>
    <row r="3713" spans="1:8" x14ac:dyDescent="0.2">
      <c r="A3713" s="16"/>
      <c r="B3713" s="16"/>
      <c r="C3713" s="17"/>
      <c r="D3713" s="17"/>
      <c r="E3713" s="17"/>
      <c r="F3713" s="17"/>
      <c r="G3713" s="17"/>
      <c r="H3713" s="17"/>
    </row>
    <row r="3714" spans="1:8" x14ac:dyDescent="0.2">
      <c r="A3714" s="16"/>
      <c r="B3714" s="16"/>
      <c r="C3714" s="17"/>
      <c r="D3714" s="17"/>
      <c r="E3714" s="17"/>
      <c r="F3714" s="17"/>
      <c r="G3714" s="17"/>
      <c r="H3714" s="17"/>
    </row>
    <row r="3715" spans="1:8" x14ac:dyDescent="0.2">
      <c r="A3715" s="16"/>
      <c r="B3715" s="16"/>
      <c r="C3715" s="17"/>
      <c r="D3715" s="17"/>
      <c r="E3715" s="17"/>
      <c r="F3715" s="17"/>
      <c r="G3715" s="17"/>
      <c r="H3715" s="17"/>
    </row>
    <row r="3716" spans="1:8" x14ac:dyDescent="0.2">
      <c r="A3716" s="16"/>
      <c r="B3716" s="16"/>
      <c r="C3716" s="17"/>
      <c r="D3716" s="17"/>
      <c r="E3716" s="17"/>
      <c r="F3716" s="17"/>
      <c r="G3716" s="17"/>
      <c r="H3716" s="17"/>
    </row>
    <row r="3717" spans="1:8" x14ac:dyDescent="0.2">
      <c r="A3717" s="16"/>
      <c r="B3717" s="16"/>
      <c r="C3717" s="17"/>
      <c r="D3717" s="17"/>
      <c r="E3717" s="17"/>
      <c r="F3717" s="17"/>
      <c r="G3717" s="17"/>
      <c r="H3717" s="17"/>
    </row>
    <row r="3718" spans="1:8" x14ac:dyDescent="0.2">
      <c r="A3718" s="16"/>
      <c r="B3718" s="16"/>
      <c r="C3718" s="17"/>
      <c r="D3718" s="17"/>
      <c r="E3718" s="17"/>
      <c r="F3718" s="17"/>
      <c r="G3718" s="17"/>
      <c r="H3718" s="17"/>
    </row>
    <row r="3719" spans="1:8" x14ac:dyDescent="0.2">
      <c r="A3719" s="16"/>
      <c r="B3719" s="16"/>
      <c r="C3719" s="17"/>
      <c r="D3719" s="17"/>
      <c r="E3719" s="17"/>
      <c r="F3719" s="17"/>
      <c r="G3719" s="17"/>
      <c r="H3719" s="17"/>
    </row>
    <row r="3720" spans="1:8" x14ac:dyDescent="0.2">
      <c r="A3720" s="16"/>
      <c r="B3720" s="16"/>
      <c r="C3720" s="17"/>
      <c r="D3720" s="17"/>
      <c r="E3720" s="17"/>
      <c r="F3720" s="17"/>
      <c r="G3720" s="17"/>
      <c r="H3720" s="17"/>
    </row>
    <row r="3721" spans="1:8" x14ac:dyDescent="0.2">
      <c r="A3721" s="16"/>
      <c r="B3721" s="16"/>
      <c r="C3721" s="17"/>
      <c r="D3721" s="17"/>
      <c r="E3721" s="17"/>
      <c r="F3721" s="17"/>
      <c r="G3721" s="17"/>
      <c r="H3721" s="17"/>
    </row>
    <row r="3722" spans="1:8" x14ac:dyDescent="0.2">
      <c r="A3722" s="16"/>
      <c r="B3722" s="16"/>
      <c r="C3722" s="17"/>
      <c r="D3722" s="17"/>
      <c r="E3722" s="17"/>
      <c r="F3722" s="17"/>
      <c r="G3722" s="17"/>
      <c r="H3722" s="17"/>
    </row>
    <row r="3723" spans="1:8" x14ac:dyDescent="0.2">
      <c r="A3723" s="16"/>
      <c r="B3723" s="16"/>
      <c r="C3723" s="17"/>
      <c r="D3723" s="17"/>
      <c r="E3723" s="17"/>
      <c r="F3723" s="17"/>
      <c r="G3723" s="17"/>
      <c r="H3723" s="17"/>
    </row>
    <row r="3724" spans="1:8" x14ac:dyDescent="0.2">
      <c r="A3724" s="16"/>
      <c r="B3724" s="16"/>
      <c r="C3724" s="17"/>
      <c r="D3724" s="17"/>
      <c r="E3724" s="17"/>
      <c r="F3724" s="17"/>
      <c r="G3724" s="17"/>
      <c r="H3724" s="17"/>
    </row>
    <row r="3725" spans="1:8" x14ac:dyDescent="0.2">
      <c r="A3725" s="16"/>
      <c r="B3725" s="16"/>
      <c r="C3725" s="17"/>
      <c r="D3725" s="17"/>
      <c r="E3725" s="17"/>
      <c r="F3725" s="17"/>
      <c r="G3725" s="17"/>
      <c r="H3725" s="17"/>
    </row>
    <row r="3726" spans="1:8" x14ac:dyDescent="0.2">
      <c r="A3726" s="16"/>
      <c r="B3726" s="16"/>
      <c r="C3726" s="17"/>
      <c r="D3726" s="17"/>
      <c r="E3726" s="17"/>
      <c r="F3726" s="17"/>
      <c r="G3726" s="17"/>
      <c r="H3726" s="17"/>
    </row>
    <row r="3727" spans="1:8" x14ac:dyDescent="0.2">
      <c r="A3727" s="16"/>
      <c r="B3727" s="16"/>
      <c r="C3727" s="17"/>
      <c r="D3727" s="17"/>
      <c r="E3727" s="17"/>
      <c r="F3727" s="17"/>
      <c r="G3727" s="17"/>
      <c r="H3727" s="17"/>
    </row>
    <row r="3728" spans="1:8" x14ac:dyDescent="0.2">
      <c r="A3728" s="16"/>
      <c r="B3728" s="16"/>
      <c r="C3728" s="17"/>
      <c r="D3728" s="17"/>
      <c r="E3728" s="17"/>
      <c r="F3728" s="17"/>
      <c r="G3728" s="17"/>
      <c r="H3728" s="17"/>
    </row>
    <row r="3729" spans="1:8" x14ac:dyDescent="0.2">
      <c r="A3729" s="16"/>
      <c r="B3729" s="16"/>
      <c r="C3729" s="17"/>
      <c r="D3729" s="17"/>
      <c r="E3729" s="17"/>
      <c r="F3729" s="17"/>
      <c r="G3729" s="17"/>
      <c r="H3729" s="17"/>
    </row>
    <row r="3730" spans="1:8" x14ac:dyDescent="0.2">
      <c r="A3730" s="16"/>
      <c r="B3730" s="16"/>
      <c r="C3730" s="17"/>
      <c r="D3730" s="17"/>
      <c r="E3730" s="17"/>
      <c r="F3730" s="17"/>
      <c r="G3730" s="17"/>
      <c r="H3730" s="17"/>
    </row>
    <row r="3731" spans="1:8" x14ac:dyDescent="0.2">
      <c r="A3731" s="16"/>
      <c r="B3731" s="16"/>
      <c r="C3731" s="17"/>
      <c r="D3731" s="17"/>
      <c r="E3731" s="17"/>
      <c r="F3731" s="17"/>
      <c r="G3731" s="17"/>
      <c r="H3731" s="17"/>
    </row>
    <row r="3732" spans="1:8" x14ac:dyDescent="0.2">
      <c r="A3732" s="16"/>
      <c r="B3732" s="16"/>
      <c r="C3732" s="17"/>
      <c r="D3732" s="17"/>
      <c r="E3732" s="17"/>
      <c r="F3732" s="17"/>
      <c r="G3732" s="17"/>
      <c r="H3732" s="17"/>
    </row>
    <row r="3733" spans="1:8" x14ac:dyDescent="0.2">
      <c r="A3733" s="16"/>
      <c r="B3733" s="16"/>
      <c r="C3733" s="17"/>
      <c r="D3733" s="17"/>
      <c r="E3733" s="17"/>
      <c r="F3733" s="17"/>
      <c r="G3733" s="17"/>
      <c r="H3733" s="17"/>
    </row>
    <row r="3734" spans="1:8" x14ac:dyDescent="0.2">
      <c r="A3734" s="16"/>
      <c r="B3734" s="16"/>
      <c r="C3734" s="17"/>
      <c r="D3734" s="17"/>
      <c r="E3734" s="17"/>
      <c r="F3734" s="17"/>
      <c r="G3734" s="17"/>
      <c r="H3734" s="17"/>
    </row>
    <row r="3735" spans="1:8" x14ac:dyDescent="0.2">
      <c r="A3735" s="16"/>
      <c r="B3735" s="16"/>
      <c r="C3735" s="17"/>
      <c r="D3735" s="17"/>
      <c r="E3735" s="17"/>
      <c r="F3735" s="17"/>
      <c r="G3735" s="17"/>
      <c r="H3735" s="17"/>
    </row>
    <row r="3736" spans="1:8" x14ac:dyDescent="0.2">
      <c r="A3736" s="16"/>
      <c r="B3736" s="16"/>
      <c r="C3736" s="17"/>
      <c r="D3736" s="17"/>
      <c r="E3736" s="17"/>
      <c r="F3736" s="17"/>
      <c r="G3736" s="17"/>
      <c r="H3736" s="17"/>
    </row>
    <row r="3737" spans="1:8" x14ac:dyDescent="0.2">
      <c r="A3737" s="16"/>
      <c r="B3737" s="16"/>
      <c r="C3737" s="17"/>
      <c r="D3737" s="17"/>
      <c r="E3737" s="17"/>
      <c r="F3737" s="17"/>
      <c r="G3737" s="17"/>
      <c r="H3737" s="17"/>
    </row>
    <row r="3738" spans="1:8" x14ac:dyDescent="0.2">
      <c r="A3738" s="16"/>
      <c r="B3738" s="16"/>
      <c r="C3738" s="17"/>
      <c r="D3738" s="17"/>
      <c r="E3738" s="17"/>
      <c r="F3738" s="17"/>
      <c r="G3738" s="17"/>
      <c r="H3738" s="17"/>
    </row>
    <row r="3739" spans="1:8" x14ac:dyDescent="0.2">
      <c r="A3739" s="16"/>
      <c r="B3739" s="16"/>
      <c r="C3739" s="17"/>
      <c r="D3739" s="17"/>
      <c r="E3739" s="17"/>
      <c r="F3739" s="17"/>
      <c r="G3739" s="17"/>
      <c r="H3739" s="17"/>
    </row>
    <row r="3740" spans="1:8" x14ac:dyDescent="0.2">
      <c r="A3740" s="16"/>
      <c r="B3740" s="16"/>
      <c r="C3740" s="17"/>
      <c r="D3740" s="17"/>
      <c r="E3740" s="17"/>
      <c r="F3740" s="17"/>
      <c r="G3740" s="17"/>
      <c r="H3740" s="17"/>
    </row>
    <row r="3741" spans="1:8" x14ac:dyDescent="0.2">
      <c r="A3741" s="16"/>
      <c r="B3741" s="16"/>
      <c r="C3741" s="17"/>
      <c r="D3741" s="17"/>
      <c r="E3741" s="17"/>
      <c r="F3741" s="17"/>
      <c r="G3741" s="17"/>
      <c r="H3741" s="17"/>
    </row>
    <row r="3742" spans="1:8" x14ac:dyDescent="0.2">
      <c r="A3742" s="16"/>
      <c r="B3742" s="16"/>
      <c r="C3742" s="17"/>
      <c r="D3742" s="17"/>
      <c r="E3742" s="17"/>
      <c r="F3742" s="17"/>
      <c r="G3742" s="17"/>
      <c r="H3742" s="17"/>
    </row>
    <row r="3743" spans="1:8" x14ac:dyDescent="0.2">
      <c r="A3743" s="16"/>
      <c r="B3743" s="16"/>
      <c r="C3743" s="17"/>
      <c r="D3743" s="17"/>
      <c r="E3743" s="17"/>
      <c r="F3743" s="17"/>
      <c r="G3743" s="17"/>
      <c r="H3743" s="17"/>
    </row>
    <row r="3744" spans="1:8" x14ac:dyDescent="0.2">
      <c r="A3744" s="16"/>
      <c r="B3744" s="16"/>
      <c r="C3744" s="17"/>
      <c r="D3744" s="17"/>
      <c r="E3744" s="17"/>
      <c r="F3744" s="17"/>
      <c r="G3744" s="17"/>
      <c r="H3744" s="17"/>
    </row>
    <row r="3745" spans="1:8" x14ac:dyDescent="0.2">
      <c r="A3745" s="16"/>
      <c r="B3745" s="16"/>
      <c r="C3745" s="17"/>
      <c r="D3745" s="17"/>
      <c r="E3745" s="17"/>
      <c r="F3745" s="17"/>
      <c r="G3745" s="17"/>
      <c r="H3745" s="17"/>
    </row>
    <row r="3746" spans="1:8" x14ac:dyDescent="0.2">
      <c r="A3746" s="16"/>
      <c r="B3746" s="16"/>
      <c r="C3746" s="17"/>
      <c r="D3746" s="17"/>
      <c r="E3746" s="17"/>
      <c r="F3746" s="17"/>
      <c r="G3746" s="17"/>
      <c r="H3746" s="17"/>
    </row>
    <row r="3747" spans="1:8" x14ac:dyDescent="0.2">
      <c r="A3747" s="16"/>
      <c r="B3747" s="16"/>
      <c r="C3747" s="17"/>
      <c r="D3747" s="17"/>
      <c r="E3747" s="17"/>
      <c r="F3747" s="17"/>
      <c r="G3747" s="17"/>
      <c r="H3747" s="17"/>
    </row>
    <row r="3748" spans="1:8" x14ac:dyDescent="0.2">
      <c r="A3748" s="16"/>
      <c r="B3748" s="16"/>
      <c r="C3748" s="17"/>
      <c r="D3748" s="17"/>
      <c r="E3748" s="17"/>
      <c r="F3748" s="17"/>
      <c r="G3748" s="17"/>
      <c r="H3748" s="17"/>
    </row>
    <row r="3749" spans="1:8" x14ac:dyDescent="0.2">
      <c r="A3749" s="16"/>
      <c r="B3749" s="16"/>
      <c r="C3749" s="17"/>
      <c r="D3749" s="17"/>
      <c r="E3749" s="17"/>
      <c r="F3749" s="17"/>
      <c r="G3749" s="17"/>
      <c r="H3749" s="17"/>
    </row>
    <row r="3750" spans="1:8" x14ac:dyDescent="0.2">
      <c r="A3750" s="16"/>
      <c r="B3750" s="16"/>
      <c r="C3750" s="17"/>
      <c r="D3750" s="17"/>
      <c r="E3750" s="17"/>
      <c r="F3750" s="17"/>
      <c r="G3750" s="17"/>
      <c r="H3750" s="17"/>
    </row>
    <row r="3751" spans="1:8" x14ac:dyDescent="0.2">
      <c r="A3751" s="16"/>
      <c r="B3751" s="16"/>
      <c r="C3751" s="17"/>
      <c r="D3751" s="17"/>
      <c r="E3751" s="17"/>
      <c r="F3751" s="17"/>
      <c r="G3751" s="17"/>
      <c r="H3751" s="17"/>
    </row>
    <row r="3752" spans="1:8" x14ac:dyDescent="0.2">
      <c r="A3752" s="16"/>
      <c r="B3752" s="16"/>
      <c r="C3752" s="17"/>
      <c r="D3752" s="17"/>
      <c r="E3752" s="17"/>
      <c r="F3752" s="17"/>
      <c r="G3752" s="17"/>
      <c r="H3752" s="17"/>
    </row>
    <row r="3753" spans="1:8" x14ac:dyDescent="0.2">
      <c r="A3753" s="16"/>
      <c r="B3753" s="16"/>
      <c r="C3753" s="17"/>
      <c r="D3753" s="17"/>
      <c r="E3753" s="17"/>
      <c r="F3753" s="17"/>
      <c r="G3753" s="17"/>
      <c r="H3753" s="17"/>
    </row>
    <row r="3754" spans="1:8" x14ac:dyDescent="0.2">
      <c r="A3754" s="16"/>
      <c r="B3754" s="16"/>
      <c r="C3754" s="17"/>
      <c r="D3754" s="17"/>
      <c r="E3754" s="17"/>
      <c r="F3754" s="17"/>
      <c r="G3754" s="17"/>
      <c r="H3754" s="17"/>
    </row>
    <row r="3755" spans="1:8" x14ac:dyDescent="0.2">
      <c r="A3755" s="16"/>
      <c r="B3755" s="16"/>
      <c r="C3755" s="17"/>
      <c r="D3755" s="17"/>
      <c r="E3755" s="17"/>
      <c r="F3755" s="17"/>
      <c r="G3755" s="17"/>
      <c r="H3755" s="17"/>
    </row>
    <row r="3756" spans="1:8" x14ac:dyDescent="0.2">
      <c r="A3756" s="16"/>
      <c r="B3756" s="16"/>
      <c r="C3756" s="17"/>
      <c r="D3756" s="17"/>
      <c r="E3756" s="17"/>
      <c r="F3756" s="17"/>
      <c r="G3756" s="17"/>
      <c r="H3756" s="17"/>
    </row>
    <row r="3757" spans="1:8" x14ac:dyDescent="0.2">
      <c r="A3757" s="16"/>
      <c r="B3757" s="16"/>
      <c r="C3757" s="17"/>
      <c r="D3757" s="17"/>
      <c r="E3757" s="17"/>
      <c r="F3757" s="17"/>
      <c r="G3757" s="17"/>
      <c r="H3757" s="17"/>
    </row>
    <row r="3758" spans="1:8" x14ac:dyDescent="0.2">
      <c r="A3758" s="16"/>
      <c r="B3758" s="16"/>
      <c r="C3758" s="17"/>
      <c r="D3758" s="17"/>
      <c r="E3758" s="17"/>
      <c r="F3758" s="17"/>
      <c r="G3758" s="17"/>
      <c r="H3758" s="17"/>
    </row>
    <row r="3759" spans="1:8" x14ac:dyDescent="0.2">
      <c r="A3759" s="16"/>
      <c r="B3759" s="16"/>
      <c r="C3759" s="17"/>
      <c r="D3759" s="17"/>
      <c r="E3759" s="17"/>
      <c r="F3759" s="17"/>
      <c r="G3759" s="17"/>
      <c r="H3759" s="17"/>
    </row>
    <row r="3760" spans="1:8" x14ac:dyDescent="0.2">
      <c r="A3760" s="16"/>
      <c r="B3760" s="16"/>
      <c r="C3760" s="17"/>
      <c r="D3760" s="17"/>
      <c r="E3760" s="17"/>
      <c r="F3760" s="17"/>
      <c r="G3760" s="17"/>
      <c r="H3760" s="17"/>
    </row>
    <row r="3761" spans="1:8" x14ac:dyDescent="0.2">
      <c r="A3761" s="16"/>
      <c r="B3761" s="16"/>
      <c r="C3761" s="17"/>
      <c r="D3761" s="17"/>
      <c r="E3761" s="17"/>
      <c r="F3761" s="17"/>
      <c r="G3761" s="17"/>
      <c r="H3761" s="17"/>
    </row>
    <row r="3762" spans="1:8" x14ac:dyDescent="0.2">
      <c r="A3762" s="16"/>
      <c r="B3762" s="16"/>
      <c r="C3762" s="17"/>
      <c r="D3762" s="17"/>
      <c r="E3762" s="17"/>
      <c r="F3762" s="17"/>
      <c r="G3762" s="17"/>
      <c r="H3762" s="17"/>
    </row>
    <row r="3763" spans="1:8" x14ac:dyDescent="0.2">
      <c r="A3763" s="16"/>
      <c r="B3763" s="16"/>
      <c r="C3763" s="17"/>
      <c r="D3763" s="17"/>
      <c r="E3763" s="17"/>
      <c r="F3763" s="17"/>
      <c r="G3763" s="17"/>
      <c r="H3763" s="17"/>
    </row>
    <row r="3764" spans="1:8" x14ac:dyDescent="0.2">
      <c r="A3764" s="16"/>
      <c r="B3764" s="16"/>
      <c r="C3764" s="17"/>
      <c r="D3764" s="17"/>
      <c r="E3764" s="17"/>
      <c r="F3764" s="17"/>
      <c r="G3764" s="17"/>
      <c r="H3764" s="17"/>
    </row>
    <row r="3765" spans="1:8" x14ac:dyDescent="0.2">
      <c r="A3765" s="16"/>
      <c r="B3765" s="16"/>
      <c r="C3765" s="17"/>
      <c r="D3765" s="17"/>
      <c r="E3765" s="17"/>
      <c r="F3765" s="17"/>
      <c r="G3765" s="17"/>
      <c r="H3765" s="17"/>
    </row>
    <row r="3766" spans="1:8" x14ac:dyDescent="0.2">
      <c r="A3766" s="16"/>
      <c r="B3766" s="16"/>
      <c r="C3766" s="17"/>
      <c r="D3766" s="17"/>
      <c r="E3766" s="17"/>
      <c r="F3766" s="17"/>
      <c r="G3766" s="17"/>
      <c r="H3766" s="17"/>
    </row>
    <row r="3767" spans="1:8" x14ac:dyDescent="0.2">
      <c r="A3767" s="16"/>
      <c r="B3767" s="16"/>
      <c r="C3767" s="17"/>
      <c r="D3767" s="17"/>
      <c r="E3767" s="17"/>
      <c r="F3767" s="17"/>
      <c r="G3767" s="17"/>
      <c r="H3767" s="17"/>
    </row>
    <row r="3768" spans="1:8" x14ac:dyDescent="0.2">
      <c r="A3768" s="16"/>
      <c r="B3768" s="16"/>
      <c r="C3768" s="17"/>
      <c r="D3768" s="17"/>
      <c r="E3768" s="17"/>
      <c r="F3768" s="17"/>
      <c r="G3768" s="17"/>
      <c r="H3768" s="17"/>
    </row>
    <row r="3769" spans="1:8" x14ac:dyDescent="0.2">
      <c r="A3769" s="16"/>
      <c r="B3769" s="16"/>
      <c r="C3769" s="17"/>
      <c r="D3769" s="17"/>
      <c r="E3769" s="17"/>
      <c r="F3769" s="17"/>
      <c r="G3769" s="17"/>
      <c r="H3769" s="17"/>
    </row>
    <row r="3770" spans="1:8" x14ac:dyDescent="0.2">
      <c r="A3770" s="16"/>
      <c r="B3770" s="16"/>
      <c r="C3770" s="17"/>
      <c r="D3770" s="17"/>
      <c r="E3770" s="17"/>
      <c r="F3770" s="17"/>
      <c r="G3770" s="17"/>
      <c r="H3770" s="17"/>
    </row>
    <row r="3771" spans="1:8" x14ac:dyDescent="0.2">
      <c r="A3771" s="16"/>
      <c r="B3771" s="16"/>
      <c r="C3771" s="17"/>
      <c r="D3771" s="17"/>
      <c r="E3771" s="17"/>
      <c r="F3771" s="17"/>
      <c r="G3771" s="17"/>
      <c r="H3771" s="17"/>
    </row>
    <row r="3772" spans="1:8" x14ac:dyDescent="0.2">
      <c r="A3772" s="16"/>
      <c r="B3772" s="16"/>
      <c r="C3772" s="17"/>
      <c r="D3772" s="17"/>
      <c r="E3772" s="17"/>
      <c r="F3772" s="17"/>
      <c r="G3772" s="17"/>
      <c r="H3772" s="17"/>
    </row>
    <row r="3773" spans="1:8" x14ac:dyDescent="0.2">
      <c r="A3773" s="16"/>
      <c r="B3773" s="16"/>
      <c r="C3773" s="17"/>
      <c r="D3773" s="17"/>
      <c r="E3773" s="17"/>
      <c r="F3773" s="17"/>
      <c r="G3773" s="17"/>
      <c r="H3773" s="17"/>
    </row>
    <row r="3774" spans="1:8" x14ac:dyDescent="0.2">
      <c r="A3774" s="16"/>
      <c r="B3774" s="16"/>
      <c r="C3774" s="17"/>
      <c r="D3774" s="17"/>
      <c r="E3774" s="17"/>
      <c r="F3774" s="17"/>
      <c r="G3774" s="17"/>
      <c r="H3774" s="17"/>
    </row>
    <row r="3775" spans="1:8" x14ac:dyDescent="0.2">
      <c r="A3775" s="16"/>
      <c r="B3775" s="16"/>
      <c r="C3775" s="17"/>
      <c r="D3775" s="17"/>
      <c r="E3775" s="17"/>
      <c r="F3775" s="17"/>
      <c r="G3775" s="17"/>
      <c r="H3775" s="17"/>
    </row>
    <row r="3776" spans="1:8" x14ac:dyDescent="0.2">
      <c r="A3776" s="16"/>
      <c r="B3776" s="16"/>
      <c r="C3776" s="17"/>
      <c r="D3776" s="17"/>
      <c r="E3776" s="17"/>
      <c r="F3776" s="17"/>
      <c r="G3776" s="17"/>
      <c r="H3776" s="17"/>
    </row>
    <row r="3777" spans="1:8" x14ac:dyDescent="0.2">
      <c r="A3777" s="16"/>
      <c r="B3777" s="16"/>
      <c r="C3777" s="17"/>
      <c r="D3777" s="17"/>
      <c r="E3777" s="17"/>
      <c r="F3777" s="17"/>
      <c r="G3777" s="17"/>
      <c r="H3777" s="17"/>
    </row>
    <row r="3778" spans="1:8" x14ac:dyDescent="0.2">
      <c r="A3778" s="16"/>
      <c r="B3778" s="16"/>
      <c r="C3778" s="17"/>
      <c r="D3778" s="17"/>
      <c r="E3778" s="17"/>
      <c r="F3778" s="17"/>
      <c r="G3778" s="17"/>
      <c r="H3778" s="17"/>
    </row>
    <row r="3779" spans="1:8" x14ac:dyDescent="0.2">
      <c r="A3779" s="16"/>
      <c r="B3779" s="16"/>
      <c r="C3779" s="17"/>
      <c r="D3779" s="17"/>
      <c r="E3779" s="17"/>
      <c r="F3779" s="17"/>
      <c r="G3779" s="17"/>
      <c r="H3779" s="17"/>
    </row>
    <row r="3780" spans="1:8" x14ac:dyDescent="0.2">
      <c r="A3780" s="16"/>
      <c r="B3780" s="16"/>
      <c r="C3780" s="17"/>
      <c r="D3780" s="17"/>
      <c r="E3780" s="17"/>
      <c r="F3780" s="17"/>
      <c r="G3780" s="17"/>
      <c r="H3780" s="17"/>
    </row>
    <row r="3781" spans="1:8" x14ac:dyDescent="0.2">
      <c r="A3781" s="16"/>
      <c r="B3781" s="16"/>
      <c r="C3781" s="17"/>
      <c r="D3781" s="17"/>
      <c r="E3781" s="17"/>
      <c r="F3781" s="17"/>
      <c r="G3781" s="17"/>
      <c r="H3781" s="17"/>
    </row>
    <row r="3782" spans="1:8" x14ac:dyDescent="0.2">
      <c r="A3782" s="16"/>
      <c r="B3782" s="16"/>
      <c r="C3782" s="17"/>
      <c r="D3782" s="17"/>
      <c r="E3782" s="17"/>
      <c r="F3782" s="17"/>
      <c r="G3782" s="17"/>
      <c r="H3782" s="17"/>
    </row>
    <row r="3783" spans="1:8" x14ac:dyDescent="0.2">
      <c r="A3783" s="16"/>
      <c r="B3783" s="16"/>
      <c r="C3783" s="17"/>
      <c r="D3783" s="17"/>
      <c r="E3783" s="17"/>
      <c r="F3783" s="17"/>
      <c r="G3783" s="17"/>
      <c r="H3783" s="17"/>
    </row>
    <row r="3784" spans="1:8" x14ac:dyDescent="0.2">
      <c r="A3784" s="16"/>
      <c r="B3784" s="16"/>
      <c r="C3784" s="17"/>
      <c r="D3784" s="17"/>
      <c r="E3784" s="17"/>
      <c r="F3784" s="17"/>
      <c r="G3784" s="17"/>
      <c r="H3784" s="17"/>
    </row>
    <row r="3785" spans="1:8" x14ac:dyDescent="0.2">
      <c r="A3785" s="16"/>
      <c r="B3785" s="16"/>
      <c r="C3785" s="17"/>
      <c r="D3785" s="17"/>
      <c r="E3785" s="17"/>
      <c r="F3785" s="17"/>
      <c r="G3785" s="17"/>
      <c r="H3785" s="17"/>
    </row>
    <row r="3786" spans="1:8" x14ac:dyDescent="0.2">
      <c r="A3786" s="16"/>
      <c r="B3786" s="16"/>
      <c r="C3786" s="17"/>
      <c r="D3786" s="17"/>
      <c r="E3786" s="17"/>
      <c r="F3786" s="17"/>
      <c r="G3786" s="17"/>
      <c r="H3786" s="17"/>
    </row>
    <row r="3787" spans="1:8" x14ac:dyDescent="0.2">
      <c r="A3787" s="16"/>
      <c r="B3787" s="16"/>
      <c r="C3787" s="17"/>
      <c r="D3787" s="17"/>
      <c r="E3787" s="17"/>
      <c r="F3787" s="17"/>
      <c r="G3787" s="17"/>
      <c r="H3787" s="17"/>
    </row>
    <row r="3788" spans="1:8" x14ac:dyDescent="0.2">
      <c r="A3788" s="16"/>
      <c r="B3788" s="16"/>
      <c r="C3788" s="17"/>
      <c r="D3788" s="17"/>
      <c r="E3788" s="17"/>
      <c r="F3788" s="17"/>
      <c r="G3788" s="17"/>
      <c r="H3788" s="17"/>
    </row>
    <row r="3789" spans="1:8" x14ac:dyDescent="0.2">
      <c r="A3789" s="16"/>
      <c r="B3789" s="16"/>
      <c r="C3789" s="17"/>
      <c r="D3789" s="17"/>
      <c r="E3789" s="17"/>
      <c r="F3789" s="17"/>
      <c r="G3789" s="17"/>
      <c r="H3789" s="17"/>
    </row>
    <row r="3790" spans="1:8" x14ac:dyDescent="0.2">
      <c r="A3790" s="16"/>
      <c r="B3790" s="16"/>
      <c r="C3790" s="17"/>
      <c r="D3790" s="17"/>
      <c r="E3790" s="17"/>
      <c r="F3790" s="17"/>
      <c r="G3790" s="17"/>
      <c r="H3790" s="17"/>
    </row>
    <row r="3791" spans="1:8" x14ac:dyDescent="0.2">
      <c r="A3791" s="16"/>
      <c r="B3791" s="16"/>
      <c r="C3791" s="17"/>
      <c r="D3791" s="17"/>
      <c r="E3791" s="17"/>
      <c r="F3791" s="17"/>
      <c r="G3791" s="17"/>
      <c r="H3791" s="17"/>
    </row>
    <row r="3792" spans="1:8" x14ac:dyDescent="0.2">
      <c r="A3792" s="16"/>
      <c r="B3792" s="16"/>
      <c r="C3792" s="17"/>
      <c r="D3792" s="17"/>
      <c r="E3792" s="17"/>
      <c r="F3792" s="17"/>
      <c r="G3792" s="17"/>
      <c r="H3792" s="17"/>
    </row>
    <row r="3793" spans="1:8" x14ac:dyDescent="0.2">
      <c r="A3793" s="16"/>
      <c r="B3793" s="16"/>
      <c r="C3793" s="17"/>
      <c r="D3793" s="17"/>
      <c r="E3793" s="17"/>
      <c r="F3793" s="17"/>
      <c r="G3793" s="17"/>
      <c r="H3793" s="17"/>
    </row>
    <row r="3794" spans="1:8" x14ac:dyDescent="0.2">
      <c r="A3794" s="16"/>
      <c r="B3794" s="16"/>
      <c r="C3794" s="17"/>
      <c r="D3794" s="17"/>
      <c r="E3794" s="17"/>
      <c r="F3794" s="17"/>
      <c r="G3794" s="17"/>
      <c r="H3794" s="17"/>
    </row>
    <row r="3795" spans="1:8" x14ac:dyDescent="0.2">
      <c r="A3795" s="16"/>
      <c r="B3795" s="16"/>
      <c r="C3795" s="17"/>
      <c r="D3795" s="17"/>
      <c r="E3795" s="17"/>
      <c r="F3795" s="17"/>
      <c r="G3795" s="17"/>
      <c r="H3795" s="17"/>
    </row>
    <row r="3796" spans="1:8" x14ac:dyDescent="0.2">
      <c r="A3796" s="16"/>
      <c r="B3796" s="16"/>
      <c r="C3796" s="17"/>
      <c r="D3796" s="17"/>
      <c r="E3796" s="17"/>
      <c r="F3796" s="17"/>
      <c r="G3796" s="17"/>
      <c r="H3796" s="17"/>
    </row>
    <row r="3797" spans="1:8" x14ac:dyDescent="0.2">
      <c r="A3797" s="16"/>
      <c r="B3797" s="16"/>
      <c r="C3797" s="17"/>
      <c r="D3797" s="17"/>
      <c r="E3797" s="17"/>
      <c r="F3797" s="17"/>
      <c r="G3797" s="17"/>
      <c r="H3797" s="17"/>
    </row>
    <row r="3798" spans="1:8" x14ac:dyDescent="0.2">
      <c r="A3798" s="16"/>
      <c r="B3798" s="16"/>
      <c r="C3798" s="17"/>
      <c r="D3798" s="17"/>
      <c r="E3798" s="17"/>
      <c r="F3798" s="17"/>
      <c r="G3798" s="17"/>
      <c r="H3798" s="17"/>
    </row>
    <row r="3799" spans="1:8" x14ac:dyDescent="0.2">
      <c r="A3799" s="16"/>
      <c r="B3799" s="16"/>
      <c r="C3799" s="17"/>
      <c r="D3799" s="17"/>
      <c r="E3799" s="17"/>
      <c r="F3799" s="17"/>
      <c r="G3799" s="17"/>
      <c r="H3799" s="17"/>
    </row>
    <row r="3800" spans="1:8" x14ac:dyDescent="0.2">
      <c r="A3800" s="16"/>
      <c r="B3800" s="16"/>
      <c r="C3800" s="17"/>
      <c r="D3800" s="17"/>
      <c r="E3800" s="17"/>
      <c r="F3800" s="17"/>
      <c r="G3800" s="17"/>
      <c r="H3800" s="17"/>
    </row>
    <row r="3801" spans="1:8" x14ac:dyDescent="0.2">
      <c r="A3801" s="16"/>
      <c r="B3801" s="16"/>
      <c r="C3801" s="17"/>
      <c r="D3801" s="17"/>
      <c r="E3801" s="17"/>
      <c r="F3801" s="17"/>
      <c r="G3801" s="17"/>
      <c r="H3801" s="17"/>
    </row>
    <row r="3802" spans="1:8" x14ac:dyDescent="0.2">
      <c r="A3802" s="16"/>
      <c r="B3802" s="16"/>
      <c r="C3802" s="17"/>
      <c r="D3802" s="17"/>
      <c r="E3802" s="17"/>
      <c r="F3802" s="17"/>
      <c r="G3802" s="17"/>
      <c r="H3802" s="17"/>
    </row>
    <row r="3803" spans="1:8" x14ac:dyDescent="0.2">
      <c r="A3803" s="16"/>
      <c r="B3803" s="16"/>
      <c r="C3803" s="17"/>
      <c r="D3803" s="17"/>
      <c r="E3803" s="17"/>
      <c r="F3803" s="17"/>
      <c r="G3803" s="17"/>
      <c r="H3803" s="17"/>
    </row>
    <row r="3804" spans="1:8" x14ac:dyDescent="0.2">
      <c r="A3804" s="16"/>
      <c r="B3804" s="16"/>
      <c r="C3804" s="17"/>
      <c r="D3804" s="17"/>
      <c r="E3804" s="17"/>
      <c r="F3804" s="17"/>
      <c r="G3804" s="17"/>
      <c r="H3804" s="17"/>
    </row>
    <row r="3805" spans="1:8" x14ac:dyDescent="0.2">
      <c r="A3805" s="16"/>
      <c r="B3805" s="16"/>
      <c r="C3805" s="17"/>
      <c r="D3805" s="17"/>
      <c r="E3805" s="17"/>
      <c r="F3805" s="17"/>
      <c r="G3805" s="17"/>
      <c r="H3805" s="17"/>
    </row>
    <row r="3806" spans="1:8" x14ac:dyDescent="0.2">
      <c r="A3806" s="16"/>
      <c r="B3806" s="16"/>
      <c r="C3806" s="17"/>
      <c r="D3806" s="17"/>
      <c r="E3806" s="17"/>
      <c r="F3806" s="17"/>
      <c r="G3806" s="17"/>
      <c r="H3806" s="17"/>
    </row>
    <row r="3807" spans="1:8" x14ac:dyDescent="0.2">
      <c r="A3807" s="16"/>
      <c r="B3807" s="16"/>
      <c r="C3807" s="17"/>
      <c r="D3807" s="17"/>
      <c r="E3807" s="17"/>
      <c r="F3807" s="17"/>
      <c r="G3807" s="17"/>
      <c r="H3807" s="17"/>
    </row>
    <row r="3808" spans="1:8" x14ac:dyDescent="0.2">
      <c r="A3808" s="16"/>
      <c r="B3808" s="16"/>
      <c r="C3808" s="17"/>
      <c r="D3808" s="17"/>
      <c r="E3808" s="17"/>
      <c r="F3808" s="17"/>
      <c r="G3808" s="17"/>
      <c r="H3808" s="17"/>
    </row>
    <row r="3809" spans="1:8" x14ac:dyDescent="0.2">
      <c r="A3809" s="16"/>
      <c r="B3809" s="16"/>
      <c r="C3809" s="17"/>
      <c r="D3809" s="17"/>
      <c r="E3809" s="17"/>
      <c r="F3809" s="17"/>
      <c r="G3809" s="17"/>
      <c r="H3809" s="17"/>
    </row>
    <row r="3810" spans="1:8" x14ac:dyDescent="0.2">
      <c r="A3810" s="16"/>
      <c r="B3810" s="16"/>
      <c r="C3810" s="17"/>
      <c r="D3810" s="17"/>
      <c r="E3810" s="17"/>
      <c r="F3810" s="17"/>
      <c r="G3810" s="17"/>
      <c r="H3810" s="17"/>
    </row>
    <row r="3811" spans="1:8" x14ac:dyDescent="0.2">
      <c r="A3811" s="16"/>
      <c r="B3811" s="16"/>
      <c r="C3811" s="17"/>
      <c r="D3811" s="17"/>
      <c r="E3811" s="17"/>
      <c r="F3811" s="17"/>
      <c r="G3811" s="17"/>
      <c r="H3811" s="17"/>
    </row>
    <row r="3812" spans="1:8" x14ac:dyDescent="0.2">
      <c r="A3812" s="16"/>
      <c r="B3812" s="16"/>
      <c r="C3812" s="17"/>
      <c r="D3812" s="17"/>
      <c r="E3812" s="17"/>
      <c r="F3812" s="17"/>
      <c r="G3812" s="17"/>
      <c r="H3812" s="17"/>
    </row>
    <row r="3813" spans="1:8" x14ac:dyDescent="0.2">
      <c r="A3813" s="16"/>
      <c r="B3813" s="16"/>
      <c r="C3813" s="17"/>
      <c r="D3813" s="17"/>
      <c r="E3813" s="17"/>
      <c r="F3813" s="17"/>
      <c r="G3813" s="17"/>
      <c r="H3813" s="17"/>
    </row>
    <row r="3814" spans="1:8" x14ac:dyDescent="0.2">
      <c r="A3814" s="16"/>
      <c r="B3814" s="16"/>
      <c r="C3814" s="17"/>
      <c r="D3814" s="17"/>
      <c r="E3814" s="17"/>
      <c r="F3814" s="17"/>
      <c r="G3814" s="17"/>
      <c r="H3814" s="17"/>
    </row>
    <row r="3815" spans="1:8" x14ac:dyDescent="0.2">
      <c r="A3815" s="16"/>
      <c r="B3815" s="16"/>
      <c r="C3815" s="17"/>
      <c r="D3815" s="17"/>
      <c r="E3815" s="17"/>
      <c r="F3815" s="17"/>
      <c r="G3815" s="17"/>
      <c r="H3815" s="17"/>
    </row>
    <row r="3816" spans="1:8" x14ac:dyDescent="0.2">
      <c r="A3816" s="16"/>
      <c r="B3816" s="16"/>
      <c r="C3816" s="17"/>
      <c r="D3816" s="17"/>
      <c r="E3816" s="17"/>
      <c r="F3816" s="17"/>
      <c r="G3816" s="17"/>
      <c r="H3816" s="17"/>
    </row>
    <row r="3817" spans="1:8" x14ac:dyDescent="0.2">
      <c r="A3817" s="16"/>
      <c r="B3817" s="16"/>
      <c r="C3817" s="17"/>
      <c r="D3817" s="17"/>
      <c r="E3817" s="17"/>
      <c r="F3817" s="17"/>
      <c r="G3817" s="17"/>
      <c r="H3817" s="17"/>
    </row>
    <row r="3818" spans="1:8" x14ac:dyDescent="0.2">
      <c r="A3818" s="16"/>
      <c r="B3818" s="16"/>
      <c r="C3818" s="17"/>
      <c r="D3818" s="17"/>
      <c r="E3818" s="17"/>
      <c r="F3818" s="17"/>
      <c r="G3818" s="17"/>
      <c r="H3818" s="17"/>
    </row>
    <row r="3819" spans="1:8" x14ac:dyDescent="0.2">
      <c r="A3819" s="16"/>
      <c r="B3819" s="16"/>
      <c r="C3819" s="17"/>
      <c r="D3819" s="17"/>
      <c r="E3819" s="17"/>
      <c r="F3819" s="17"/>
      <c r="G3819" s="17"/>
      <c r="H3819" s="17"/>
    </row>
    <row r="3820" spans="1:8" x14ac:dyDescent="0.2">
      <c r="A3820" s="16"/>
      <c r="B3820" s="16"/>
      <c r="C3820" s="17"/>
      <c r="D3820" s="17"/>
      <c r="E3820" s="17"/>
      <c r="F3820" s="17"/>
      <c r="G3820" s="17"/>
      <c r="H3820" s="17"/>
    </row>
    <row r="3821" spans="1:8" x14ac:dyDescent="0.2">
      <c r="A3821" s="16"/>
      <c r="B3821" s="16"/>
      <c r="C3821" s="17"/>
      <c r="D3821" s="17"/>
      <c r="E3821" s="17"/>
      <c r="F3821" s="17"/>
      <c r="G3821" s="17"/>
      <c r="H3821" s="17"/>
    </row>
    <row r="3822" spans="1:8" x14ac:dyDescent="0.2">
      <c r="A3822" s="16"/>
      <c r="B3822" s="16"/>
      <c r="C3822" s="17"/>
      <c r="D3822" s="17"/>
      <c r="E3822" s="17"/>
      <c r="F3822" s="17"/>
      <c r="G3822" s="17"/>
      <c r="H3822" s="17"/>
    </row>
    <row r="3823" spans="1:8" x14ac:dyDescent="0.2">
      <c r="A3823" s="16"/>
      <c r="B3823" s="16"/>
      <c r="C3823" s="17"/>
      <c r="D3823" s="17"/>
      <c r="E3823" s="17"/>
      <c r="F3823" s="17"/>
      <c r="G3823" s="17"/>
      <c r="H3823" s="17"/>
    </row>
    <row r="3824" spans="1:8" x14ac:dyDescent="0.2">
      <c r="A3824" s="16"/>
      <c r="B3824" s="16"/>
      <c r="C3824" s="17"/>
      <c r="D3824" s="17"/>
      <c r="E3824" s="17"/>
      <c r="F3824" s="17"/>
      <c r="G3824" s="17"/>
      <c r="H3824" s="17"/>
    </row>
    <row r="3825" spans="1:8" x14ac:dyDescent="0.2">
      <c r="A3825" s="16"/>
      <c r="B3825" s="16"/>
      <c r="C3825" s="17"/>
      <c r="D3825" s="17"/>
      <c r="E3825" s="17"/>
      <c r="F3825" s="17"/>
      <c r="G3825" s="17"/>
      <c r="H3825" s="17"/>
    </row>
    <row r="3826" spans="1:8" x14ac:dyDescent="0.2">
      <c r="A3826" s="16"/>
      <c r="B3826" s="16"/>
      <c r="C3826" s="17"/>
      <c r="D3826" s="17"/>
      <c r="E3826" s="17"/>
      <c r="F3826" s="17"/>
      <c r="G3826" s="17"/>
      <c r="H3826" s="17"/>
    </row>
    <row r="3827" spans="1:8" x14ac:dyDescent="0.2">
      <c r="A3827" s="16"/>
      <c r="B3827" s="16"/>
      <c r="C3827" s="17"/>
      <c r="D3827" s="17"/>
      <c r="E3827" s="17"/>
      <c r="F3827" s="17"/>
      <c r="G3827" s="17"/>
      <c r="H3827" s="17"/>
    </row>
    <row r="3828" spans="1:8" x14ac:dyDescent="0.2">
      <c r="A3828" s="16"/>
      <c r="B3828" s="16"/>
      <c r="C3828" s="17"/>
      <c r="D3828" s="17"/>
      <c r="E3828" s="17"/>
      <c r="F3828" s="17"/>
      <c r="G3828" s="17"/>
      <c r="H3828" s="17"/>
    </row>
    <row r="3829" spans="1:8" x14ac:dyDescent="0.2">
      <c r="A3829" s="16"/>
      <c r="B3829" s="16"/>
      <c r="C3829" s="17"/>
      <c r="D3829" s="17"/>
      <c r="E3829" s="17"/>
      <c r="F3829" s="17"/>
      <c r="G3829" s="17"/>
      <c r="H3829" s="17"/>
    </row>
    <row r="3830" spans="1:8" x14ac:dyDescent="0.2">
      <c r="A3830" s="16"/>
      <c r="B3830" s="16"/>
      <c r="C3830" s="17"/>
      <c r="D3830" s="17"/>
      <c r="E3830" s="17"/>
      <c r="F3830" s="17"/>
      <c r="G3830" s="17"/>
      <c r="H3830" s="17"/>
    </row>
    <row r="3831" spans="1:8" x14ac:dyDescent="0.2">
      <c r="A3831" s="16"/>
      <c r="B3831" s="16"/>
      <c r="C3831" s="17"/>
      <c r="D3831" s="17"/>
      <c r="E3831" s="17"/>
      <c r="F3831" s="17"/>
      <c r="G3831" s="17"/>
      <c r="H3831" s="17"/>
    </row>
    <row r="3832" spans="1:8" x14ac:dyDescent="0.2">
      <c r="A3832" s="16"/>
      <c r="B3832" s="16"/>
      <c r="C3832" s="17"/>
      <c r="D3832" s="17"/>
      <c r="E3832" s="17"/>
      <c r="F3832" s="17"/>
      <c r="G3832" s="17"/>
      <c r="H3832" s="17"/>
    </row>
    <row r="3833" spans="1:8" x14ac:dyDescent="0.2">
      <c r="A3833" s="16"/>
      <c r="B3833" s="16"/>
      <c r="C3833" s="17"/>
      <c r="D3833" s="17"/>
      <c r="E3833" s="17"/>
      <c r="F3833" s="17"/>
      <c r="G3833" s="17"/>
      <c r="H3833" s="17"/>
    </row>
    <row r="3834" spans="1:8" x14ac:dyDescent="0.2">
      <c r="A3834" s="16"/>
      <c r="B3834" s="16"/>
      <c r="C3834" s="17"/>
      <c r="D3834" s="17"/>
      <c r="E3834" s="17"/>
      <c r="F3834" s="17"/>
      <c r="G3834" s="17"/>
      <c r="H3834" s="17"/>
    </row>
    <row r="3835" spans="1:8" x14ac:dyDescent="0.2">
      <c r="A3835" s="16"/>
      <c r="B3835" s="16"/>
      <c r="C3835" s="17"/>
      <c r="D3835" s="17"/>
      <c r="E3835" s="17"/>
      <c r="F3835" s="17"/>
      <c r="G3835" s="17"/>
      <c r="H3835" s="17"/>
    </row>
    <row r="3836" spans="1:8" x14ac:dyDescent="0.2">
      <c r="A3836" s="16"/>
      <c r="B3836" s="16"/>
      <c r="C3836" s="17"/>
      <c r="D3836" s="17"/>
      <c r="E3836" s="17"/>
      <c r="F3836" s="17"/>
      <c r="G3836" s="17"/>
      <c r="H3836" s="17"/>
    </row>
    <row r="3837" spans="1:8" x14ac:dyDescent="0.2">
      <c r="A3837" s="16"/>
      <c r="B3837" s="16"/>
      <c r="C3837" s="17"/>
      <c r="D3837" s="17"/>
      <c r="E3837" s="17"/>
      <c r="F3837" s="17"/>
      <c r="G3837" s="17"/>
      <c r="H3837" s="17"/>
    </row>
    <row r="3838" spans="1:8" x14ac:dyDescent="0.2">
      <c r="A3838" s="16"/>
      <c r="B3838" s="16"/>
      <c r="C3838" s="17"/>
      <c r="D3838" s="17"/>
      <c r="E3838" s="17"/>
      <c r="F3838" s="17"/>
      <c r="G3838" s="17"/>
      <c r="H3838" s="17"/>
    </row>
    <row r="3839" spans="1:8" x14ac:dyDescent="0.2">
      <c r="A3839" s="16"/>
      <c r="B3839" s="16"/>
      <c r="C3839" s="17"/>
      <c r="D3839" s="17"/>
      <c r="E3839" s="17"/>
      <c r="F3839" s="17"/>
      <c r="G3839" s="17"/>
      <c r="H3839" s="17"/>
    </row>
    <row r="3840" spans="1:8" x14ac:dyDescent="0.2">
      <c r="A3840" s="16"/>
      <c r="B3840" s="16"/>
      <c r="C3840" s="17"/>
      <c r="D3840" s="17"/>
      <c r="E3840" s="17"/>
      <c r="F3840" s="17"/>
      <c r="G3840" s="17"/>
      <c r="H3840" s="17"/>
    </row>
    <row r="3841" spans="1:8" x14ac:dyDescent="0.2">
      <c r="A3841" s="16"/>
      <c r="B3841" s="16"/>
      <c r="C3841" s="17"/>
      <c r="D3841" s="17"/>
      <c r="E3841" s="17"/>
      <c r="F3841" s="17"/>
      <c r="G3841" s="17"/>
      <c r="H3841" s="17"/>
    </row>
    <row r="3842" spans="1:8" x14ac:dyDescent="0.2">
      <c r="A3842" s="16"/>
      <c r="B3842" s="16"/>
      <c r="C3842" s="17"/>
      <c r="D3842" s="17"/>
      <c r="E3842" s="17"/>
      <c r="F3842" s="17"/>
      <c r="G3842" s="17"/>
      <c r="H3842" s="17"/>
    </row>
    <row r="3843" spans="1:8" x14ac:dyDescent="0.2">
      <c r="A3843" s="16"/>
      <c r="B3843" s="16"/>
      <c r="C3843" s="17"/>
      <c r="D3843" s="17"/>
      <c r="E3843" s="17"/>
      <c r="F3843" s="17"/>
      <c r="G3843" s="17"/>
      <c r="H3843" s="17"/>
    </row>
    <row r="3844" spans="1:8" x14ac:dyDescent="0.2">
      <c r="A3844" s="16"/>
      <c r="B3844" s="16"/>
      <c r="C3844" s="17"/>
      <c r="D3844" s="17"/>
      <c r="E3844" s="17"/>
      <c r="F3844" s="17"/>
      <c r="G3844" s="17"/>
      <c r="H3844" s="17"/>
    </row>
    <row r="3845" spans="1:8" x14ac:dyDescent="0.2">
      <c r="A3845" s="16"/>
      <c r="B3845" s="16"/>
      <c r="C3845" s="17"/>
      <c r="D3845" s="17"/>
      <c r="E3845" s="17"/>
      <c r="F3845" s="17"/>
      <c r="G3845" s="17"/>
      <c r="H3845" s="17"/>
    </row>
    <row r="3846" spans="1:8" x14ac:dyDescent="0.2">
      <c r="A3846" s="16"/>
      <c r="B3846" s="16"/>
      <c r="C3846" s="17"/>
      <c r="D3846" s="17"/>
      <c r="E3846" s="17"/>
      <c r="F3846" s="17"/>
      <c r="G3846" s="17"/>
      <c r="H3846" s="17"/>
    </row>
    <row r="3847" spans="1:8" x14ac:dyDescent="0.2">
      <c r="A3847" s="16"/>
      <c r="B3847" s="16"/>
      <c r="C3847" s="17"/>
      <c r="D3847" s="17"/>
      <c r="E3847" s="17"/>
      <c r="F3847" s="17"/>
      <c r="G3847" s="17"/>
      <c r="H3847" s="17"/>
    </row>
    <row r="3848" spans="1:8" x14ac:dyDescent="0.2">
      <c r="A3848" s="16"/>
      <c r="B3848" s="16"/>
      <c r="C3848" s="17"/>
      <c r="D3848" s="17"/>
      <c r="E3848" s="17"/>
      <c r="F3848" s="17"/>
      <c r="G3848" s="17"/>
      <c r="H3848" s="17"/>
    </row>
    <row r="3849" spans="1:8" x14ac:dyDescent="0.2">
      <c r="A3849" s="16"/>
      <c r="B3849" s="16"/>
      <c r="C3849" s="17"/>
      <c r="D3849" s="17"/>
      <c r="E3849" s="17"/>
      <c r="F3849" s="17"/>
      <c r="G3849" s="17"/>
      <c r="H3849" s="17"/>
    </row>
    <row r="3850" spans="1:8" x14ac:dyDescent="0.2">
      <c r="A3850" s="16"/>
      <c r="B3850" s="16"/>
      <c r="C3850" s="17"/>
      <c r="D3850" s="17"/>
      <c r="E3850" s="17"/>
      <c r="F3850" s="17"/>
      <c r="G3850" s="17"/>
      <c r="H3850" s="17"/>
    </row>
    <row r="3851" spans="1:8" x14ac:dyDescent="0.2">
      <c r="A3851" s="16"/>
      <c r="B3851" s="16"/>
      <c r="C3851" s="17"/>
      <c r="D3851" s="17"/>
      <c r="E3851" s="17"/>
      <c r="F3851" s="17"/>
      <c r="G3851" s="17"/>
      <c r="H3851" s="17"/>
    </row>
    <row r="3852" spans="1:8" x14ac:dyDescent="0.2">
      <c r="A3852" s="16"/>
      <c r="B3852" s="16"/>
      <c r="C3852" s="17"/>
      <c r="D3852" s="17"/>
      <c r="E3852" s="17"/>
      <c r="F3852" s="17"/>
      <c r="G3852" s="17"/>
      <c r="H3852" s="17"/>
    </row>
    <row r="3853" spans="1:8" x14ac:dyDescent="0.2">
      <c r="A3853" s="16"/>
      <c r="B3853" s="16"/>
      <c r="C3853" s="17"/>
      <c r="D3853" s="17"/>
      <c r="E3853" s="17"/>
      <c r="F3853" s="17"/>
      <c r="G3853" s="17"/>
      <c r="H3853" s="17"/>
    </row>
    <row r="3854" spans="1:8" x14ac:dyDescent="0.2">
      <c r="A3854" s="16"/>
      <c r="B3854" s="16"/>
      <c r="C3854" s="17"/>
      <c r="D3854" s="17"/>
      <c r="E3854" s="17"/>
      <c r="F3854" s="17"/>
      <c r="G3854" s="17"/>
      <c r="H3854" s="17"/>
    </row>
    <row r="3855" spans="1:8" x14ac:dyDescent="0.2">
      <c r="A3855" s="16"/>
      <c r="B3855" s="16"/>
      <c r="C3855" s="17"/>
      <c r="D3855" s="17"/>
      <c r="E3855" s="17"/>
      <c r="F3855" s="17"/>
      <c r="G3855" s="17"/>
      <c r="H3855" s="17"/>
    </row>
    <row r="3856" spans="1:8" x14ac:dyDescent="0.2">
      <c r="A3856" s="16"/>
      <c r="B3856" s="16"/>
      <c r="C3856" s="17"/>
      <c r="D3856" s="17"/>
      <c r="E3856" s="17"/>
      <c r="F3856" s="17"/>
      <c r="G3856" s="17"/>
      <c r="H3856" s="17"/>
    </row>
    <row r="3857" spans="1:8" x14ac:dyDescent="0.2">
      <c r="A3857" s="16"/>
      <c r="B3857" s="16"/>
      <c r="C3857" s="17"/>
      <c r="D3857" s="17"/>
      <c r="E3857" s="17"/>
      <c r="F3857" s="17"/>
      <c r="G3857" s="17"/>
      <c r="H3857" s="17"/>
    </row>
    <row r="3858" spans="1:8" x14ac:dyDescent="0.2">
      <c r="A3858" s="16"/>
      <c r="B3858" s="16"/>
      <c r="C3858" s="17"/>
      <c r="D3858" s="17"/>
      <c r="E3858" s="17"/>
      <c r="F3858" s="17"/>
      <c r="G3858" s="17"/>
      <c r="H3858" s="17"/>
    </row>
    <row r="3859" spans="1:8" x14ac:dyDescent="0.2">
      <c r="A3859" s="16"/>
      <c r="B3859" s="16"/>
      <c r="C3859" s="17"/>
      <c r="D3859" s="17"/>
      <c r="E3859" s="17"/>
      <c r="F3859" s="17"/>
      <c r="G3859" s="17"/>
      <c r="H3859" s="17"/>
    </row>
    <row r="3860" spans="1:8" x14ac:dyDescent="0.2">
      <c r="A3860" s="16"/>
      <c r="B3860" s="16"/>
      <c r="C3860" s="17"/>
      <c r="D3860" s="17"/>
      <c r="E3860" s="17"/>
      <c r="F3860" s="17"/>
      <c r="G3860" s="17"/>
      <c r="H3860" s="17"/>
    </row>
    <row r="3861" spans="1:8" x14ac:dyDescent="0.2">
      <c r="A3861" s="16"/>
      <c r="B3861" s="16"/>
      <c r="C3861" s="17"/>
      <c r="D3861" s="17"/>
      <c r="E3861" s="17"/>
      <c r="F3861" s="17"/>
      <c r="G3861" s="17"/>
      <c r="H3861" s="17"/>
    </row>
    <row r="3862" spans="1:8" x14ac:dyDescent="0.2">
      <c r="A3862" s="16"/>
      <c r="B3862" s="16"/>
      <c r="C3862" s="17"/>
      <c r="D3862" s="17"/>
      <c r="E3862" s="17"/>
      <c r="F3862" s="17"/>
      <c r="G3862" s="17"/>
      <c r="H3862" s="17"/>
    </row>
    <row r="3863" spans="1:8" x14ac:dyDescent="0.2">
      <c r="A3863" s="16"/>
      <c r="B3863" s="16"/>
      <c r="C3863" s="17"/>
      <c r="D3863" s="17"/>
      <c r="E3863" s="17"/>
      <c r="F3863" s="17"/>
      <c r="G3863" s="17"/>
      <c r="H3863" s="17"/>
    </row>
    <row r="3864" spans="1:8" x14ac:dyDescent="0.2">
      <c r="A3864" s="16"/>
      <c r="B3864" s="16"/>
      <c r="C3864" s="17"/>
      <c r="D3864" s="17"/>
      <c r="E3864" s="17"/>
      <c r="F3864" s="17"/>
      <c r="G3864" s="17"/>
      <c r="H3864" s="17"/>
    </row>
    <row r="3865" spans="1:8" x14ac:dyDescent="0.2">
      <c r="A3865" s="16"/>
      <c r="B3865" s="16"/>
      <c r="C3865" s="17"/>
      <c r="D3865" s="17"/>
      <c r="E3865" s="17"/>
      <c r="F3865" s="17"/>
      <c r="G3865" s="17"/>
      <c r="H3865" s="17"/>
    </row>
    <row r="3866" spans="1:8" x14ac:dyDescent="0.2">
      <c r="A3866" s="16"/>
      <c r="B3866" s="16"/>
      <c r="C3866" s="17"/>
      <c r="D3866" s="17"/>
      <c r="E3866" s="17"/>
      <c r="F3866" s="17"/>
      <c r="G3866" s="17"/>
      <c r="H3866" s="17"/>
    </row>
    <row r="3867" spans="1:8" x14ac:dyDescent="0.2">
      <c r="A3867" s="16"/>
      <c r="B3867" s="16"/>
      <c r="C3867" s="17"/>
      <c r="D3867" s="17"/>
      <c r="E3867" s="17"/>
      <c r="F3867" s="17"/>
      <c r="G3867" s="17"/>
      <c r="H3867" s="17"/>
    </row>
    <row r="3868" spans="1:8" x14ac:dyDescent="0.2">
      <c r="A3868" s="16"/>
      <c r="B3868" s="16"/>
      <c r="C3868" s="17"/>
      <c r="D3868" s="17"/>
      <c r="E3868" s="17"/>
      <c r="F3868" s="17"/>
      <c r="G3868" s="17"/>
      <c r="H3868" s="17"/>
    </row>
    <row r="3869" spans="1:8" x14ac:dyDescent="0.2">
      <c r="A3869" s="16"/>
      <c r="B3869" s="16"/>
      <c r="C3869" s="17"/>
      <c r="D3869" s="17"/>
      <c r="E3869" s="17"/>
      <c r="F3869" s="17"/>
      <c r="G3869" s="17"/>
      <c r="H3869" s="17"/>
    </row>
    <row r="3870" spans="1:8" x14ac:dyDescent="0.2">
      <c r="A3870" s="16"/>
      <c r="B3870" s="16"/>
      <c r="C3870" s="17"/>
      <c r="D3870" s="17"/>
      <c r="E3870" s="17"/>
      <c r="F3870" s="17"/>
      <c r="G3870" s="17"/>
      <c r="H3870" s="17"/>
    </row>
    <row r="3871" spans="1:8" x14ac:dyDescent="0.2">
      <c r="A3871" s="16"/>
      <c r="B3871" s="16"/>
      <c r="C3871" s="17"/>
      <c r="D3871" s="17"/>
      <c r="E3871" s="17"/>
      <c r="F3871" s="17"/>
      <c r="G3871" s="17"/>
      <c r="H3871" s="17"/>
    </row>
    <row r="3872" spans="1:8" x14ac:dyDescent="0.2">
      <c r="A3872" s="16"/>
      <c r="B3872" s="16"/>
      <c r="C3872" s="17"/>
      <c r="D3872" s="17"/>
      <c r="E3872" s="17"/>
      <c r="F3872" s="17"/>
      <c r="G3872" s="17"/>
      <c r="H3872" s="17"/>
    </row>
    <row r="3873" spans="1:8" x14ac:dyDescent="0.2">
      <c r="A3873" s="16"/>
      <c r="B3873" s="16"/>
      <c r="C3873" s="17"/>
      <c r="D3873" s="17"/>
      <c r="E3873" s="17"/>
      <c r="F3873" s="17"/>
      <c r="G3873" s="17"/>
      <c r="H3873" s="17"/>
    </row>
    <row r="3874" spans="1:8" x14ac:dyDescent="0.2">
      <c r="A3874" s="16"/>
      <c r="B3874" s="16"/>
      <c r="C3874" s="17"/>
      <c r="D3874" s="17"/>
      <c r="E3874" s="17"/>
      <c r="F3874" s="17"/>
      <c r="G3874" s="17"/>
      <c r="H3874" s="17"/>
    </row>
    <row r="3875" spans="1:8" x14ac:dyDescent="0.2">
      <c r="A3875" s="16"/>
      <c r="B3875" s="16"/>
      <c r="C3875" s="17"/>
      <c r="D3875" s="17"/>
      <c r="E3875" s="17"/>
      <c r="F3875" s="17"/>
      <c r="G3875" s="17"/>
      <c r="H3875" s="17"/>
    </row>
    <row r="3876" spans="1:8" x14ac:dyDescent="0.2">
      <c r="A3876" s="16"/>
      <c r="B3876" s="16"/>
      <c r="C3876" s="17"/>
      <c r="D3876" s="17"/>
      <c r="E3876" s="17"/>
      <c r="F3876" s="17"/>
      <c r="G3876" s="17"/>
      <c r="H3876" s="17"/>
    </row>
    <row r="3877" spans="1:8" x14ac:dyDescent="0.2">
      <c r="A3877" s="16"/>
      <c r="B3877" s="16"/>
      <c r="C3877" s="17"/>
      <c r="D3877" s="17"/>
      <c r="E3877" s="17"/>
      <c r="F3877" s="17"/>
      <c r="G3877" s="17"/>
      <c r="H3877" s="17"/>
    </row>
    <row r="3878" spans="1:8" x14ac:dyDescent="0.2">
      <c r="A3878" s="16"/>
      <c r="B3878" s="16"/>
      <c r="C3878" s="17"/>
      <c r="D3878" s="17"/>
      <c r="E3878" s="17"/>
      <c r="F3878" s="17"/>
      <c r="G3878" s="17"/>
      <c r="H3878" s="17"/>
    </row>
    <row r="3879" spans="1:8" x14ac:dyDescent="0.2">
      <c r="A3879" s="16"/>
      <c r="B3879" s="16"/>
      <c r="C3879" s="17"/>
      <c r="D3879" s="17"/>
      <c r="E3879" s="17"/>
      <c r="F3879" s="17"/>
      <c r="G3879" s="17"/>
      <c r="H3879" s="17"/>
    </row>
    <row r="3880" spans="1:8" x14ac:dyDescent="0.2">
      <c r="A3880" s="16"/>
      <c r="B3880" s="16"/>
      <c r="C3880" s="17"/>
      <c r="D3880" s="17"/>
      <c r="E3880" s="17"/>
      <c r="F3880" s="17"/>
      <c r="G3880" s="17"/>
      <c r="H3880" s="17"/>
    </row>
    <row r="3881" spans="1:8" x14ac:dyDescent="0.2">
      <c r="A3881" s="16"/>
      <c r="B3881" s="16"/>
      <c r="C3881" s="17"/>
      <c r="D3881" s="17"/>
      <c r="E3881" s="17"/>
      <c r="F3881" s="17"/>
      <c r="G3881" s="17"/>
      <c r="H3881" s="17"/>
    </row>
    <row r="3882" spans="1:8" x14ac:dyDescent="0.2">
      <c r="A3882" s="16"/>
      <c r="B3882" s="16"/>
      <c r="C3882" s="17"/>
      <c r="D3882" s="17"/>
      <c r="E3882" s="17"/>
      <c r="F3882" s="17"/>
      <c r="G3882" s="17"/>
      <c r="H3882" s="17"/>
    </row>
    <row r="3883" spans="1:8" x14ac:dyDescent="0.2">
      <c r="A3883" s="16"/>
      <c r="B3883" s="16"/>
      <c r="C3883" s="17"/>
      <c r="D3883" s="17"/>
      <c r="E3883" s="17"/>
      <c r="F3883" s="17"/>
      <c r="G3883" s="17"/>
      <c r="H3883" s="17"/>
    </row>
    <row r="3884" spans="1:8" x14ac:dyDescent="0.2">
      <c r="A3884" s="16"/>
      <c r="B3884" s="16"/>
      <c r="C3884" s="17"/>
      <c r="D3884" s="17"/>
      <c r="E3884" s="17"/>
      <c r="F3884" s="17"/>
      <c r="G3884" s="17"/>
      <c r="H3884" s="17"/>
    </row>
    <row r="3885" spans="1:8" x14ac:dyDescent="0.2">
      <c r="A3885" s="16"/>
      <c r="B3885" s="16"/>
      <c r="C3885" s="17"/>
      <c r="D3885" s="17"/>
      <c r="E3885" s="17"/>
      <c r="F3885" s="17"/>
      <c r="G3885" s="17"/>
      <c r="H3885" s="17"/>
    </row>
    <row r="3886" spans="1:8" x14ac:dyDescent="0.2">
      <c r="A3886" s="16"/>
      <c r="B3886" s="16"/>
      <c r="C3886" s="17"/>
      <c r="D3886" s="17"/>
      <c r="E3886" s="17"/>
      <c r="F3886" s="17"/>
      <c r="G3886" s="17"/>
      <c r="H3886" s="17"/>
    </row>
    <row r="3887" spans="1:8" x14ac:dyDescent="0.2">
      <c r="A3887" s="16"/>
      <c r="B3887" s="16"/>
      <c r="C3887" s="17"/>
      <c r="D3887" s="17"/>
      <c r="E3887" s="17"/>
      <c r="F3887" s="17"/>
      <c r="G3887" s="17"/>
      <c r="H3887" s="17"/>
    </row>
    <row r="3888" spans="1:8" x14ac:dyDescent="0.2">
      <c r="A3888" s="16"/>
      <c r="B3888" s="16"/>
      <c r="C3888" s="17"/>
      <c r="D3888" s="17"/>
      <c r="E3888" s="17"/>
      <c r="F3888" s="17"/>
      <c r="G3888" s="17"/>
      <c r="H3888" s="17"/>
    </row>
    <row r="3889" spans="1:8" x14ac:dyDescent="0.2">
      <c r="A3889" s="16"/>
      <c r="B3889" s="16"/>
      <c r="C3889" s="17"/>
      <c r="D3889" s="17"/>
      <c r="E3889" s="17"/>
      <c r="F3889" s="17"/>
      <c r="G3889" s="17"/>
      <c r="H3889" s="17"/>
    </row>
    <row r="3890" spans="1:8" x14ac:dyDescent="0.2">
      <c r="A3890" s="16"/>
      <c r="B3890" s="16"/>
      <c r="C3890" s="17"/>
      <c r="D3890" s="17"/>
      <c r="E3890" s="17"/>
      <c r="F3890" s="17"/>
      <c r="G3890" s="17"/>
      <c r="H3890" s="17"/>
    </row>
    <row r="3891" spans="1:8" x14ac:dyDescent="0.2">
      <c r="A3891" s="16"/>
      <c r="B3891" s="16"/>
      <c r="C3891" s="17"/>
      <c r="D3891" s="17"/>
      <c r="E3891" s="17"/>
      <c r="F3891" s="17"/>
      <c r="G3891" s="17"/>
      <c r="H3891" s="17"/>
    </row>
    <row r="3892" spans="1:8" x14ac:dyDescent="0.2">
      <c r="A3892" s="16"/>
      <c r="B3892" s="16"/>
      <c r="C3892" s="17"/>
      <c r="D3892" s="17"/>
      <c r="E3892" s="17"/>
      <c r="F3892" s="17"/>
      <c r="G3892" s="17"/>
      <c r="H3892" s="17"/>
    </row>
    <row r="3893" spans="1:8" x14ac:dyDescent="0.2">
      <c r="A3893" s="16"/>
      <c r="B3893" s="16"/>
      <c r="C3893" s="17"/>
      <c r="D3893" s="17"/>
      <c r="E3893" s="17"/>
      <c r="F3893" s="17"/>
      <c r="G3893" s="17"/>
      <c r="H3893" s="17"/>
    </row>
    <row r="3894" spans="1:8" x14ac:dyDescent="0.2">
      <c r="A3894" s="16"/>
      <c r="B3894" s="16"/>
      <c r="C3894" s="17"/>
      <c r="D3894" s="17"/>
      <c r="E3894" s="17"/>
      <c r="F3894" s="17"/>
      <c r="G3894" s="17"/>
      <c r="H3894" s="17"/>
    </row>
    <row r="3895" spans="1:8" x14ac:dyDescent="0.2">
      <c r="A3895" s="16"/>
      <c r="B3895" s="16"/>
      <c r="C3895" s="17"/>
      <c r="D3895" s="17"/>
      <c r="E3895" s="17"/>
      <c r="F3895" s="17"/>
      <c r="G3895" s="17"/>
      <c r="H3895" s="17"/>
    </row>
    <row r="3896" spans="1:8" x14ac:dyDescent="0.2">
      <c r="A3896" s="16"/>
      <c r="B3896" s="16"/>
      <c r="C3896" s="17"/>
      <c r="D3896" s="17"/>
      <c r="E3896" s="17"/>
      <c r="F3896" s="17"/>
      <c r="G3896" s="17"/>
      <c r="H3896" s="17"/>
    </row>
    <row r="3897" spans="1:8" x14ac:dyDescent="0.2">
      <c r="A3897" s="16"/>
      <c r="B3897" s="16"/>
      <c r="C3897" s="17"/>
      <c r="D3897" s="17"/>
      <c r="E3897" s="17"/>
      <c r="F3897" s="17"/>
      <c r="G3897" s="17"/>
      <c r="H3897" s="17"/>
    </row>
    <row r="3898" spans="1:8" x14ac:dyDescent="0.2">
      <c r="A3898" s="16"/>
      <c r="B3898" s="16"/>
      <c r="C3898" s="17"/>
      <c r="D3898" s="17"/>
      <c r="E3898" s="17"/>
      <c r="F3898" s="17"/>
      <c r="G3898" s="17"/>
      <c r="H3898" s="17"/>
    </row>
    <row r="3899" spans="1:8" x14ac:dyDescent="0.2">
      <c r="A3899" s="16"/>
      <c r="B3899" s="16"/>
      <c r="C3899" s="17"/>
      <c r="D3899" s="17"/>
      <c r="E3899" s="17"/>
      <c r="F3899" s="17"/>
      <c r="G3899" s="17"/>
      <c r="H3899" s="17"/>
    </row>
    <row r="3900" spans="1:8" x14ac:dyDescent="0.2">
      <c r="A3900" s="16"/>
      <c r="B3900" s="16"/>
      <c r="C3900" s="17"/>
      <c r="D3900" s="17"/>
      <c r="E3900" s="17"/>
      <c r="F3900" s="17"/>
      <c r="G3900" s="17"/>
      <c r="H3900" s="17"/>
    </row>
    <row r="3901" spans="1:8" x14ac:dyDescent="0.2">
      <c r="A3901" s="16"/>
      <c r="B3901" s="16"/>
      <c r="C3901" s="17"/>
      <c r="D3901" s="17"/>
      <c r="E3901" s="17"/>
      <c r="F3901" s="17"/>
      <c r="G3901" s="17"/>
      <c r="H3901" s="17"/>
    </row>
    <row r="3902" spans="1:8" x14ac:dyDescent="0.2">
      <c r="A3902" s="16"/>
      <c r="B3902" s="16"/>
      <c r="C3902" s="17"/>
      <c r="D3902" s="17"/>
      <c r="E3902" s="17"/>
      <c r="F3902" s="17"/>
      <c r="G3902" s="17"/>
      <c r="H3902" s="17"/>
    </row>
    <row r="3903" spans="1:8" x14ac:dyDescent="0.2">
      <c r="A3903" s="16"/>
      <c r="B3903" s="16"/>
      <c r="C3903" s="17"/>
      <c r="D3903" s="17"/>
      <c r="E3903" s="17"/>
      <c r="F3903" s="17"/>
      <c r="G3903" s="17"/>
      <c r="H3903" s="17"/>
    </row>
    <row r="3904" spans="1:8" x14ac:dyDescent="0.2">
      <c r="A3904" s="16"/>
      <c r="B3904" s="16"/>
      <c r="C3904" s="17"/>
      <c r="D3904" s="17"/>
      <c r="E3904" s="17"/>
      <c r="F3904" s="17"/>
      <c r="G3904" s="17"/>
      <c r="H3904" s="17"/>
    </row>
    <row r="3905" spans="1:8" x14ac:dyDescent="0.2">
      <c r="A3905" s="16"/>
      <c r="B3905" s="16"/>
      <c r="C3905" s="17"/>
      <c r="D3905" s="17"/>
      <c r="E3905" s="17"/>
      <c r="F3905" s="17"/>
      <c r="G3905" s="17"/>
      <c r="H3905" s="17"/>
    </row>
    <row r="3906" spans="1:8" x14ac:dyDescent="0.2">
      <c r="A3906" s="16"/>
      <c r="B3906" s="16"/>
      <c r="C3906" s="17"/>
      <c r="D3906" s="17"/>
      <c r="E3906" s="17"/>
      <c r="F3906" s="17"/>
      <c r="G3906" s="17"/>
      <c r="H3906" s="17"/>
    </row>
    <row r="3907" spans="1:8" x14ac:dyDescent="0.2">
      <c r="A3907" s="16"/>
      <c r="B3907" s="16"/>
      <c r="C3907" s="17"/>
      <c r="D3907" s="17"/>
      <c r="E3907" s="17"/>
      <c r="F3907" s="17"/>
      <c r="G3907" s="17"/>
      <c r="H3907" s="17"/>
    </row>
    <row r="3908" spans="1:8" x14ac:dyDescent="0.2">
      <c r="A3908" s="16"/>
      <c r="B3908" s="16"/>
      <c r="C3908" s="17"/>
      <c r="D3908" s="17"/>
      <c r="E3908" s="17"/>
      <c r="F3908" s="17"/>
      <c r="G3908" s="17"/>
      <c r="H3908" s="17"/>
    </row>
    <row r="3909" spans="1:8" x14ac:dyDescent="0.2">
      <c r="A3909" s="16"/>
      <c r="B3909" s="16"/>
      <c r="C3909" s="17"/>
      <c r="D3909" s="17"/>
      <c r="E3909" s="17"/>
      <c r="F3909" s="17"/>
      <c r="G3909" s="17"/>
      <c r="H3909" s="17"/>
    </row>
    <row r="3910" spans="1:8" x14ac:dyDescent="0.2">
      <c r="A3910" s="16"/>
      <c r="B3910" s="16"/>
      <c r="C3910" s="17"/>
      <c r="D3910" s="17"/>
      <c r="E3910" s="17"/>
      <c r="F3910" s="17"/>
      <c r="G3910" s="17"/>
      <c r="H3910" s="17"/>
    </row>
    <row r="3911" spans="1:8" x14ac:dyDescent="0.2">
      <c r="A3911" s="16"/>
      <c r="B3911" s="16"/>
      <c r="C3911" s="17"/>
      <c r="D3911" s="17"/>
      <c r="E3911" s="17"/>
      <c r="F3911" s="17"/>
      <c r="G3911" s="17"/>
      <c r="H3911" s="17"/>
    </row>
    <row r="3912" spans="1:8" x14ac:dyDescent="0.2">
      <c r="A3912" s="16"/>
      <c r="B3912" s="16"/>
      <c r="C3912" s="17"/>
      <c r="D3912" s="17"/>
      <c r="E3912" s="17"/>
      <c r="F3912" s="17"/>
      <c r="G3912" s="17"/>
      <c r="H3912" s="17"/>
    </row>
    <row r="3913" spans="1:8" x14ac:dyDescent="0.2">
      <c r="A3913" s="16"/>
      <c r="B3913" s="16"/>
      <c r="C3913" s="17"/>
      <c r="D3913" s="17"/>
      <c r="E3913" s="17"/>
      <c r="F3913" s="17"/>
      <c r="G3913" s="17"/>
      <c r="H3913" s="17"/>
    </row>
    <row r="3914" spans="1:8" x14ac:dyDescent="0.2">
      <c r="A3914" s="16"/>
      <c r="B3914" s="16"/>
      <c r="C3914" s="17"/>
      <c r="D3914" s="17"/>
      <c r="E3914" s="17"/>
      <c r="F3914" s="17"/>
      <c r="G3914" s="17"/>
      <c r="H3914" s="17"/>
    </row>
    <row r="3915" spans="1:8" x14ac:dyDescent="0.2">
      <c r="A3915" s="16"/>
      <c r="B3915" s="16"/>
      <c r="C3915" s="17"/>
      <c r="D3915" s="17"/>
      <c r="E3915" s="17"/>
      <c r="F3915" s="17"/>
      <c r="G3915" s="17"/>
      <c r="H3915" s="17"/>
    </row>
    <row r="3916" spans="1:8" x14ac:dyDescent="0.2">
      <c r="A3916" s="16"/>
      <c r="B3916" s="16"/>
      <c r="C3916" s="17"/>
      <c r="D3916" s="17"/>
      <c r="E3916" s="17"/>
      <c r="F3916" s="17"/>
      <c r="G3916" s="17"/>
      <c r="H3916" s="17"/>
    </row>
    <row r="3917" spans="1:8" x14ac:dyDescent="0.2">
      <c r="A3917" s="16"/>
      <c r="B3917" s="16"/>
      <c r="C3917" s="17"/>
      <c r="D3917" s="17"/>
      <c r="E3917" s="17"/>
      <c r="F3917" s="17"/>
      <c r="G3917" s="17"/>
      <c r="H3917" s="17"/>
    </row>
    <row r="3918" spans="1:8" x14ac:dyDescent="0.2">
      <c r="A3918" s="16"/>
      <c r="B3918" s="16"/>
      <c r="C3918" s="17"/>
      <c r="D3918" s="17"/>
      <c r="E3918" s="17"/>
      <c r="F3918" s="17"/>
      <c r="G3918" s="17"/>
      <c r="H3918" s="17"/>
    </row>
    <row r="3919" spans="1:8" x14ac:dyDescent="0.2">
      <c r="A3919" s="16"/>
      <c r="B3919" s="16"/>
      <c r="C3919" s="17"/>
      <c r="D3919" s="17"/>
      <c r="E3919" s="17"/>
      <c r="F3919" s="17"/>
      <c r="G3919" s="17"/>
      <c r="H3919" s="17"/>
    </row>
    <row r="3920" spans="1:8" x14ac:dyDescent="0.2">
      <c r="A3920" s="16"/>
      <c r="B3920" s="16"/>
      <c r="C3920" s="17"/>
      <c r="D3920" s="17"/>
      <c r="E3920" s="17"/>
      <c r="F3920" s="17"/>
      <c r="G3920" s="17"/>
      <c r="H3920" s="17"/>
    </row>
    <row r="3921" spans="1:8" x14ac:dyDescent="0.2">
      <c r="A3921" s="16"/>
      <c r="B3921" s="16"/>
      <c r="C3921" s="17"/>
      <c r="D3921" s="17"/>
      <c r="E3921" s="17"/>
      <c r="F3921" s="17"/>
      <c r="G3921" s="17"/>
      <c r="H3921" s="17"/>
    </row>
    <row r="3922" spans="1:8" x14ac:dyDescent="0.2">
      <c r="A3922" s="16"/>
      <c r="B3922" s="16"/>
      <c r="C3922" s="17"/>
      <c r="D3922" s="17"/>
      <c r="E3922" s="17"/>
      <c r="F3922" s="17"/>
      <c r="G3922" s="17"/>
      <c r="H3922" s="17"/>
    </row>
    <row r="3923" spans="1:8" x14ac:dyDescent="0.2">
      <c r="A3923" s="16"/>
      <c r="B3923" s="16"/>
      <c r="C3923" s="17"/>
      <c r="D3923" s="17"/>
      <c r="E3923" s="17"/>
      <c r="F3923" s="17"/>
      <c r="G3923" s="17"/>
      <c r="H3923" s="17"/>
    </row>
    <row r="3924" spans="1:8" x14ac:dyDescent="0.2">
      <c r="A3924" s="16"/>
      <c r="B3924" s="16"/>
      <c r="C3924" s="17"/>
      <c r="D3924" s="17"/>
      <c r="E3924" s="17"/>
      <c r="F3924" s="17"/>
      <c r="G3924" s="17"/>
      <c r="H3924" s="17"/>
    </row>
    <row r="3925" spans="1:8" x14ac:dyDescent="0.2">
      <c r="A3925" s="16"/>
      <c r="B3925" s="16"/>
      <c r="C3925" s="17"/>
      <c r="D3925" s="17"/>
      <c r="E3925" s="17"/>
      <c r="F3925" s="17"/>
      <c r="G3925" s="17"/>
      <c r="H3925" s="17"/>
    </row>
    <row r="3926" spans="1:8" x14ac:dyDescent="0.2">
      <c r="A3926" s="16"/>
      <c r="B3926" s="16"/>
      <c r="C3926" s="17"/>
      <c r="D3926" s="17"/>
      <c r="E3926" s="17"/>
      <c r="F3926" s="17"/>
      <c r="G3926" s="17"/>
      <c r="H3926" s="17"/>
    </row>
    <row r="3927" spans="1:8" x14ac:dyDescent="0.2">
      <c r="A3927" s="16"/>
      <c r="B3927" s="16"/>
      <c r="C3927" s="17"/>
      <c r="D3927" s="17"/>
      <c r="E3927" s="17"/>
      <c r="F3927" s="17"/>
      <c r="G3927" s="17"/>
      <c r="H3927" s="17"/>
    </row>
    <row r="3928" spans="1:8" x14ac:dyDescent="0.2">
      <c r="A3928" s="16"/>
      <c r="B3928" s="16"/>
      <c r="C3928" s="17"/>
      <c r="D3928" s="17"/>
      <c r="E3928" s="17"/>
      <c r="F3928" s="17"/>
      <c r="G3928" s="17"/>
      <c r="H3928" s="17"/>
    </row>
    <row r="3929" spans="1:8" x14ac:dyDescent="0.2">
      <c r="A3929" s="16"/>
      <c r="B3929" s="16"/>
      <c r="C3929" s="17"/>
      <c r="D3929" s="17"/>
      <c r="E3929" s="17"/>
      <c r="F3929" s="17"/>
      <c r="G3929" s="17"/>
      <c r="H3929" s="17"/>
    </row>
    <row r="3930" spans="1:8" x14ac:dyDescent="0.2">
      <c r="A3930" s="16"/>
      <c r="B3930" s="16"/>
      <c r="C3930" s="17"/>
      <c r="D3930" s="17"/>
      <c r="E3930" s="17"/>
      <c r="F3930" s="17"/>
      <c r="G3930" s="17"/>
      <c r="H3930" s="17"/>
    </row>
    <row r="3931" spans="1:8" x14ac:dyDescent="0.2">
      <c r="A3931" s="16"/>
      <c r="B3931" s="16"/>
      <c r="C3931" s="17"/>
      <c r="D3931" s="17"/>
      <c r="E3931" s="17"/>
      <c r="F3931" s="17"/>
      <c r="G3931" s="17"/>
      <c r="H3931" s="17"/>
    </row>
    <row r="3932" spans="1:8" x14ac:dyDescent="0.2">
      <c r="A3932" s="16"/>
      <c r="B3932" s="16"/>
      <c r="C3932" s="17"/>
      <c r="D3932" s="17"/>
      <c r="E3932" s="17"/>
      <c r="F3932" s="17"/>
      <c r="G3932" s="17"/>
      <c r="H3932" s="17"/>
    </row>
    <row r="3933" spans="1:8" x14ac:dyDescent="0.2">
      <c r="A3933" s="16"/>
      <c r="B3933" s="16"/>
      <c r="C3933" s="17"/>
      <c r="D3933" s="17"/>
      <c r="E3933" s="17"/>
      <c r="F3933" s="17"/>
      <c r="G3933" s="17"/>
      <c r="H3933" s="17"/>
    </row>
    <row r="3934" spans="1:8" x14ac:dyDescent="0.2">
      <c r="A3934" s="16"/>
      <c r="B3934" s="16"/>
      <c r="C3934" s="17"/>
      <c r="D3934" s="17"/>
      <c r="E3934" s="17"/>
      <c r="F3934" s="17"/>
      <c r="G3934" s="17"/>
      <c r="H3934" s="17"/>
    </row>
    <row r="3935" spans="1:8" x14ac:dyDescent="0.2">
      <c r="A3935" s="16"/>
      <c r="B3935" s="16"/>
      <c r="C3935" s="17"/>
      <c r="D3935" s="17"/>
      <c r="E3935" s="17"/>
      <c r="F3935" s="17"/>
      <c r="G3935" s="17"/>
      <c r="H3935" s="17"/>
    </row>
    <row r="3936" spans="1:8" x14ac:dyDescent="0.2">
      <c r="A3936" s="16"/>
      <c r="B3936" s="16"/>
      <c r="C3936" s="17"/>
      <c r="D3936" s="17"/>
      <c r="E3936" s="17"/>
      <c r="F3936" s="17"/>
      <c r="G3936" s="17"/>
      <c r="H3936" s="17"/>
    </row>
    <row r="3937" spans="1:8" x14ac:dyDescent="0.2">
      <c r="A3937" s="16"/>
      <c r="B3937" s="16"/>
      <c r="C3937" s="17"/>
      <c r="D3937" s="17"/>
      <c r="E3937" s="17"/>
      <c r="F3937" s="17"/>
      <c r="G3937" s="17"/>
      <c r="H3937" s="17"/>
    </row>
    <row r="3938" spans="1:8" x14ac:dyDescent="0.2">
      <c r="A3938" s="16"/>
      <c r="B3938" s="16"/>
      <c r="C3938" s="17"/>
      <c r="D3938" s="17"/>
      <c r="E3938" s="17"/>
      <c r="F3938" s="17"/>
      <c r="G3938" s="17"/>
      <c r="H3938" s="17"/>
    </row>
    <row r="3939" spans="1:8" x14ac:dyDescent="0.2">
      <c r="A3939" s="16"/>
      <c r="B3939" s="16"/>
      <c r="C3939" s="17"/>
      <c r="D3939" s="17"/>
      <c r="E3939" s="17"/>
      <c r="F3939" s="17"/>
      <c r="G3939" s="17"/>
      <c r="H3939" s="17"/>
    </row>
    <row r="3940" spans="1:8" x14ac:dyDescent="0.2">
      <c r="A3940" s="16"/>
      <c r="B3940" s="16"/>
      <c r="C3940" s="17"/>
      <c r="D3940" s="17"/>
      <c r="E3940" s="17"/>
      <c r="F3940" s="17"/>
      <c r="G3940" s="17"/>
      <c r="H3940" s="17"/>
    </row>
    <row r="3941" spans="1:8" x14ac:dyDescent="0.2">
      <c r="A3941" s="16"/>
      <c r="B3941" s="16"/>
      <c r="C3941" s="17"/>
      <c r="D3941" s="17"/>
      <c r="E3941" s="17"/>
      <c r="F3941" s="17"/>
      <c r="G3941" s="17"/>
      <c r="H3941" s="17"/>
    </row>
    <row r="3942" spans="1:8" x14ac:dyDescent="0.2">
      <c r="A3942" s="16"/>
      <c r="B3942" s="16"/>
      <c r="C3942" s="17"/>
      <c r="D3942" s="17"/>
      <c r="E3942" s="17"/>
      <c r="F3942" s="17"/>
      <c r="G3942" s="17"/>
      <c r="H3942" s="17"/>
    </row>
    <row r="3943" spans="1:8" x14ac:dyDescent="0.2">
      <c r="A3943" s="16"/>
      <c r="B3943" s="16"/>
      <c r="C3943" s="17"/>
      <c r="D3943" s="17"/>
      <c r="E3943" s="17"/>
      <c r="F3943" s="17"/>
      <c r="G3943" s="17"/>
      <c r="H3943" s="17"/>
    </row>
    <row r="3944" spans="1:8" x14ac:dyDescent="0.2">
      <c r="A3944" s="16"/>
      <c r="B3944" s="16"/>
      <c r="C3944" s="17"/>
      <c r="D3944" s="17"/>
      <c r="E3944" s="17"/>
      <c r="F3944" s="17"/>
      <c r="G3944" s="17"/>
      <c r="H3944" s="17"/>
    </row>
    <row r="3945" spans="1:8" x14ac:dyDescent="0.2">
      <c r="A3945" s="16"/>
      <c r="B3945" s="16"/>
      <c r="C3945" s="17"/>
      <c r="D3945" s="17"/>
      <c r="E3945" s="17"/>
      <c r="F3945" s="17"/>
      <c r="G3945" s="17"/>
      <c r="H3945" s="17"/>
    </row>
    <row r="3946" spans="1:8" x14ac:dyDescent="0.2">
      <c r="A3946" s="16"/>
      <c r="B3946" s="16"/>
      <c r="C3946" s="17"/>
      <c r="D3946" s="17"/>
      <c r="E3946" s="17"/>
      <c r="F3946" s="17"/>
      <c r="G3946" s="17"/>
      <c r="H3946" s="17"/>
    </row>
    <row r="3947" spans="1:8" x14ac:dyDescent="0.2">
      <c r="A3947" s="16"/>
      <c r="B3947" s="16"/>
      <c r="C3947" s="17"/>
      <c r="D3947" s="17"/>
      <c r="E3947" s="17"/>
      <c r="F3947" s="17"/>
      <c r="G3947" s="17"/>
      <c r="H3947" s="17"/>
    </row>
    <row r="3948" spans="1:8" x14ac:dyDescent="0.2">
      <c r="A3948" s="16"/>
      <c r="B3948" s="16"/>
      <c r="C3948" s="17"/>
      <c r="D3948" s="17"/>
      <c r="E3948" s="17"/>
      <c r="F3948" s="17"/>
      <c r="G3948" s="17"/>
      <c r="H3948" s="17"/>
    </row>
    <row r="3949" spans="1:8" x14ac:dyDescent="0.2">
      <c r="A3949" s="16"/>
      <c r="B3949" s="16"/>
      <c r="C3949" s="17"/>
      <c r="D3949" s="17"/>
      <c r="E3949" s="17"/>
      <c r="F3949" s="17"/>
      <c r="G3949" s="17"/>
      <c r="H3949" s="17"/>
    </row>
    <row r="3950" spans="1:8" x14ac:dyDescent="0.2">
      <c r="A3950" s="16"/>
      <c r="B3950" s="16"/>
      <c r="C3950" s="17"/>
      <c r="D3950" s="17"/>
      <c r="E3950" s="17"/>
      <c r="F3950" s="17"/>
      <c r="G3950" s="17"/>
      <c r="H3950" s="17"/>
    </row>
    <row r="3951" spans="1:8" x14ac:dyDescent="0.2">
      <c r="A3951" s="16"/>
      <c r="B3951" s="16"/>
      <c r="C3951" s="17"/>
      <c r="D3951" s="17"/>
      <c r="E3951" s="17"/>
      <c r="F3951" s="17"/>
      <c r="G3951" s="17"/>
      <c r="H3951" s="17"/>
    </row>
    <row r="3952" spans="1:8" x14ac:dyDescent="0.2">
      <c r="A3952" s="16"/>
      <c r="B3952" s="16"/>
      <c r="C3952" s="17"/>
      <c r="D3952" s="17"/>
      <c r="E3952" s="17"/>
      <c r="F3952" s="17"/>
      <c r="G3952" s="17"/>
      <c r="H3952" s="17"/>
    </row>
    <row r="3953" spans="1:8" x14ac:dyDescent="0.2">
      <c r="A3953" s="16"/>
      <c r="B3953" s="16"/>
      <c r="C3953" s="17"/>
      <c r="D3953" s="17"/>
      <c r="E3953" s="17"/>
      <c r="F3953" s="17"/>
      <c r="G3953" s="17"/>
      <c r="H3953" s="17"/>
    </row>
    <row r="3954" spans="1:8" x14ac:dyDescent="0.2">
      <c r="A3954" s="16"/>
      <c r="B3954" s="16"/>
      <c r="C3954" s="17"/>
      <c r="D3954" s="17"/>
      <c r="E3954" s="17"/>
      <c r="F3954" s="17"/>
      <c r="G3954" s="17"/>
      <c r="H3954" s="17"/>
    </row>
    <row r="3955" spans="1:8" x14ac:dyDescent="0.2">
      <c r="A3955" s="16"/>
      <c r="B3955" s="16"/>
      <c r="C3955" s="17"/>
      <c r="D3955" s="17"/>
      <c r="E3955" s="17"/>
      <c r="F3955" s="17"/>
      <c r="G3955" s="17"/>
      <c r="H3955" s="17"/>
    </row>
    <row r="3956" spans="1:8" x14ac:dyDescent="0.2">
      <c r="A3956" s="16"/>
      <c r="B3956" s="16"/>
      <c r="C3956" s="17"/>
      <c r="D3956" s="17"/>
      <c r="E3956" s="17"/>
      <c r="F3956" s="17"/>
      <c r="G3956" s="17"/>
      <c r="H3956" s="17"/>
    </row>
    <row r="3957" spans="1:8" x14ac:dyDescent="0.2">
      <c r="A3957" s="16"/>
      <c r="B3957" s="16"/>
      <c r="C3957" s="17"/>
      <c r="D3957" s="17"/>
      <c r="E3957" s="17"/>
      <c r="F3957" s="17"/>
      <c r="G3957" s="17"/>
      <c r="H3957" s="17"/>
    </row>
    <row r="3958" spans="1:8" x14ac:dyDescent="0.2">
      <c r="A3958" s="16"/>
      <c r="B3958" s="16"/>
      <c r="C3958" s="17"/>
      <c r="D3958" s="17"/>
      <c r="E3958" s="17"/>
      <c r="F3958" s="17"/>
      <c r="G3958" s="17"/>
      <c r="H3958" s="17"/>
    </row>
    <row r="3959" spans="1:8" x14ac:dyDescent="0.2">
      <c r="A3959" s="16"/>
      <c r="B3959" s="16"/>
      <c r="C3959" s="17"/>
      <c r="D3959" s="17"/>
      <c r="E3959" s="17"/>
      <c r="F3959" s="17"/>
      <c r="G3959" s="17"/>
      <c r="H3959" s="17"/>
    </row>
    <row r="3960" spans="1:8" x14ac:dyDescent="0.2">
      <c r="A3960" s="16"/>
      <c r="B3960" s="16"/>
      <c r="C3960" s="17"/>
      <c r="D3960" s="17"/>
      <c r="E3960" s="17"/>
      <c r="F3960" s="17"/>
      <c r="G3960" s="17"/>
      <c r="H3960" s="17"/>
    </row>
    <row r="3961" spans="1:8" x14ac:dyDescent="0.2">
      <c r="A3961" s="16"/>
      <c r="B3961" s="16"/>
      <c r="C3961" s="17"/>
      <c r="D3961" s="17"/>
      <c r="E3961" s="17"/>
      <c r="F3961" s="17"/>
      <c r="G3961" s="17"/>
      <c r="H3961" s="17"/>
    </row>
    <row r="3962" spans="1:8" x14ac:dyDescent="0.2">
      <c r="A3962" s="16"/>
      <c r="B3962" s="16"/>
      <c r="C3962" s="17"/>
      <c r="D3962" s="17"/>
      <c r="E3962" s="17"/>
      <c r="F3962" s="17"/>
      <c r="G3962" s="17"/>
      <c r="H3962" s="17"/>
    </row>
    <row r="3963" spans="1:8" x14ac:dyDescent="0.2">
      <c r="A3963" s="16"/>
      <c r="B3963" s="16"/>
      <c r="C3963" s="17"/>
      <c r="D3963" s="17"/>
      <c r="E3963" s="17"/>
      <c r="F3963" s="17"/>
      <c r="G3963" s="17"/>
      <c r="H3963" s="17"/>
    </row>
    <row r="3964" spans="1:8" x14ac:dyDescent="0.2">
      <c r="A3964" s="16"/>
      <c r="B3964" s="16"/>
      <c r="C3964" s="17"/>
      <c r="D3964" s="17"/>
      <c r="E3964" s="17"/>
      <c r="F3964" s="17"/>
      <c r="G3964" s="17"/>
      <c r="H3964" s="17"/>
    </row>
    <row r="3965" spans="1:8" x14ac:dyDescent="0.2">
      <c r="A3965" s="16"/>
      <c r="B3965" s="16"/>
      <c r="C3965" s="17"/>
      <c r="D3965" s="17"/>
      <c r="E3965" s="17"/>
      <c r="F3965" s="17"/>
      <c r="G3965" s="17"/>
      <c r="H3965" s="17"/>
    </row>
    <row r="3966" spans="1:8" x14ac:dyDescent="0.2">
      <c r="A3966" s="16"/>
      <c r="B3966" s="16"/>
      <c r="C3966" s="17"/>
      <c r="D3966" s="17"/>
      <c r="E3966" s="17"/>
      <c r="F3966" s="17"/>
      <c r="G3966" s="17"/>
      <c r="H3966" s="17"/>
    </row>
    <row r="3967" spans="1:8" x14ac:dyDescent="0.2">
      <c r="A3967" s="16"/>
      <c r="B3967" s="16"/>
      <c r="C3967" s="17"/>
      <c r="D3967" s="17"/>
      <c r="E3967" s="17"/>
      <c r="F3967" s="17"/>
      <c r="G3967" s="17"/>
      <c r="H3967" s="17"/>
    </row>
    <row r="3968" spans="1:8" x14ac:dyDescent="0.2">
      <c r="A3968" s="16"/>
      <c r="B3968" s="16"/>
      <c r="C3968" s="17"/>
      <c r="D3968" s="17"/>
      <c r="E3968" s="17"/>
      <c r="F3968" s="17"/>
      <c r="G3968" s="17"/>
      <c r="H3968" s="17"/>
    </row>
    <row r="3969" spans="1:8" x14ac:dyDescent="0.2">
      <c r="A3969" s="16"/>
      <c r="B3969" s="16"/>
      <c r="C3969" s="17"/>
      <c r="D3969" s="17"/>
      <c r="E3969" s="17"/>
      <c r="F3969" s="17"/>
      <c r="G3969" s="17"/>
      <c r="H3969" s="17"/>
    </row>
    <row r="3970" spans="1:8" x14ac:dyDescent="0.2">
      <c r="A3970" s="16"/>
      <c r="B3970" s="16"/>
      <c r="C3970" s="17"/>
      <c r="D3970" s="17"/>
      <c r="E3970" s="17"/>
      <c r="F3970" s="17"/>
      <c r="G3970" s="17"/>
      <c r="H3970" s="17"/>
    </row>
    <row r="3971" spans="1:8" x14ac:dyDescent="0.2">
      <c r="A3971" s="16"/>
      <c r="B3971" s="16"/>
      <c r="C3971" s="17"/>
      <c r="D3971" s="17"/>
      <c r="E3971" s="17"/>
      <c r="F3971" s="17"/>
      <c r="G3971" s="17"/>
      <c r="H3971" s="17"/>
    </row>
    <row r="3972" spans="1:8" x14ac:dyDescent="0.2">
      <c r="A3972" s="16"/>
      <c r="B3972" s="16"/>
      <c r="C3972" s="17"/>
      <c r="D3972" s="17"/>
      <c r="E3972" s="17"/>
      <c r="F3972" s="17"/>
      <c r="G3972" s="17"/>
      <c r="H3972" s="17"/>
    </row>
    <row r="3973" spans="1:8" x14ac:dyDescent="0.2">
      <c r="A3973" s="16"/>
      <c r="B3973" s="16"/>
      <c r="C3973" s="17"/>
      <c r="D3973" s="17"/>
      <c r="E3973" s="17"/>
      <c r="F3973" s="17"/>
      <c r="G3973" s="17"/>
      <c r="H3973" s="17"/>
    </row>
    <row r="3974" spans="1:8" x14ac:dyDescent="0.2">
      <c r="A3974" s="16"/>
      <c r="B3974" s="16"/>
      <c r="C3974" s="17"/>
      <c r="D3974" s="17"/>
      <c r="E3974" s="17"/>
      <c r="F3974" s="17"/>
      <c r="G3974" s="17"/>
      <c r="H3974" s="17"/>
    </row>
    <row r="3975" spans="1:8" x14ac:dyDescent="0.2">
      <c r="A3975" s="16"/>
      <c r="B3975" s="16"/>
      <c r="C3975" s="17"/>
      <c r="D3975" s="17"/>
      <c r="E3975" s="17"/>
      <c r="F3975" s="17"/>
      <c r="G3975" s="17"/>
      <c r="H3975" s="17"/>
    </row>
    <row r="3976" spans="1:8" x14ac:dyDescent="0.2">
      <c r="A3976" s="16"/>
      <c r="B3976" s="16"/>
      <c r="C3976" s="17"/>
      <c r="D3976" s="17"/>
      <c r="E3976" s="17"/>
      <c r="F3976" s="17"/>
      <c r="G3976" s="17"/>
      <c r="H3976" s="17"/>
    </row>
    <row r="3977" spans="1:8" x14ac:dyDescent="0.2">
      <c r="A3977" s="16"/>
      <c r="B3977" s="16"/>
      <c r="C3977" s="17"/>
      <c r="D3977" s="17"/>
      <c r="E3977" s="17"/>
      <c r="F3977" s="17"/>
      <c r="G3977" s="17"/>
      <c r="H3977" s="17"/>
    </row>
    <row r="3978" spans="1:8" x14ac:dyDescent="0.2">
      <c r="A3978" s="16"/>
      <c r="B3978" s="16"/>
      <c r="C3978" s="17"/>
      <c r="D3978" s="17"/>
      <c r="E3978" s="17"/>
      <c r="F3978" s="17"/>
      <c r="G3978" s="17"/>
      <c r="H3978" s="17"/>
    </row>
    <row r="3979" spans="1:8" x14ac:dyDescent="0.2">
      <c r="A3979" s="16"/>
      <c r="B3979" s="16"/>
      <c r="C3979" s="17"/>
      <c r="D3979" s="17"/>
      <c r="E3979" s="17"/>
      <c r="F3979" s="17"/>
      <c r="G3979" s="17"/>
      <c r="H3979" s="17"/>
    </row>
    <row r="3980" spans="1:8" x14ac:dyDescent="0.2">
      <c r="A3980" s="16"/>
      <c r="B3980" s="16"/>
      <c r="C3980" s="17"/>
      <c r="D3980" s="17"/>
      <c r="E3980" s="17"/>
      <c r="F3980" s="17"/>
      <c r="G3980" s="17"/>
      <c r="H3980" s="17"/>
    </row>
    <row r="3981" spans="1:8" x14ac:dyDescent="0.2">
      <c r="A3981" s="16"/>
      <c r="B3981" s="16"/>
      <c r="C3981" s="17"/>
      <c r="D3981" s="17"/>
      <c r="E3981" s="17"/>
      <c r="F3981" s="17"/>
      <c r="G3981" s="17"/>
      <c r="H3981" s="17"/>
    </row>
    <row r="3982" spans="1:8" x14ac:dyDescent="0.2">
      <c r="A3982" s="16"/>
      <c r="B3982" s="16"/>
      <c r="C3982" s="17"/>
      <c r="D3982" s="17"/>
      <c r="E3982" s="17"/>
      <c r="F3982" s="17"/>
      <c r="G3982" s="17"/>
      <c r="H3982" s="17"/>
    </row>
    <row r="3983" spans="1:8" x14ac:dyDescent="0.2">
      <c r="A3983" s="16"/>
      <c r="B3983" s="16"/>
      <c r="C3983" s="17"/>
      <c r="D3983" s="17"/>
      <c r="E3983" s="17"/>
      <c r="F3983" s="17"/>
      <c r="G3983" s="17"/>
      <c r="H3983" s="17"/>
    </row>
    <row r="3984" spans="1:8" x14ac:dyDescent="0.2">
      <c r="A3984" s="16"/>
      <c r="B3984" s="16"/>
      <c r="C3984" s="17"/>
      <c r="D3984" s="17"/>
      <c r="E3984" s="17"/>
      <c r="F3984" s="17"/>
      <c r="G3984" s="17"/>
      <c r="H3984" s="17"/>
    </row>
    <row r="3985" spans="1:8" x14ac:dyDescent="0.2">
      <c r="A3985" s="16"/>
      <c r="B3985" s="16"/>
      <c r="C3985" s="17"/>
      <c r="D3985" s="17"/>
      <c r="E3985" s="17"/>
      <c r="F3985" s="17"/>
      <c r="G3985" s="17"/>
      <c r="H3985" s="17"/>
    </row>
    <row r="3986" spans="1:8" x14ac:dyDescent="0.2">
      <c r="A3986" s="16"/>
      <c r="B3986" s="16"/>
      <c r="C3986" s="17"/>
      <c r="D3986" s="17"/>
      <c r="E3986" s="17"/>
      <c r="F3986" s="17"/>
      <c r="G3986" s="17"/>
      <c r="H3986" s="17"/>
    </row>
    <row r="3987" spans="1:8" x14ac:dyDescent="0.2">
      <c r="A3987" s="16"/>
      <c r="B3987" s="16"/>
      <c r="C3987" s="17"/>
      <c r="D3987" s="17"/>
      <c r="E3987" s="17"/>
      <c r="F3987" s="17"/>
      <c r="G3987" s="17"/>
      <c r="H3987" s="17"/>
    </row>
    <row r="3988" spans="1:8" x14ac:dyDescent="0.2">
      <c r="A3988" s="16"/>
      <c r="B3988" s="16"/>
      <c r="C3988" s="17"/>
      <c r="D3988" s="17"/>
      <c r="E3988" s="17"/>
      <c r="F3988" s="17"/>
      <c r="G3988" s="17"/>
      <c r="H3988" s="17"/>
    </row>
    <row r="3989" spans="1:8" x14ac:dyDescent="0.2">
      <c r="A3989" s="16"/>
      <c r="B3989" s="16"/>
      <c r="C3989" s="17"/>
      <c r="D3989" s="17"/>
      <c r="E3989" s="17"/>
      <c r="F3989" s="17"/>
      <c r="G3989" s="17"/>
      <c r="H3989" s="17"/>
    </row>
    <row r="3990" spans="1:8" x14ac:dyDescent="0.2">
      <c r="A3990" s="16"/>
      <c r="B3990" s="16"/>
      <c r="C3990" s="17"/>
      <c r="D3990" s="17"/>
      <c r="E3990" s="17"/>
      <c r="F3990" s="17"/>
      <c r="G3990" s="17"/>
      <c r="H3990" s="17"/>
    </row>
    <row r="3991" spans="1:8" x14ac:dyDescent="0.2">
      <c r="A3991" s="16"/>
      <c r="B3991" s="16"/>
      <c r="C3991" s="17"/>
      <c r="D3991" s="17"/>
      <c r="E3991" s="17"/>
      <c r="F3991" s="17"/>
      <c r="G3991" s="17"/>
      <c r="H3991" s="17"/>
    </row>
    <row r="3992" spans="1:8" x14ac:dyDescent="0.2">
      <c r="A3992" s="16"/>
      <c r="B3992" s="16"/>
      <c r="C3992" s="17"/>
      <c r="D3992" s="17"/>
      <c r="E3992" s="17"/>
      <c r="F3992" s="17"/>
      <c r="G3992" s="17"/>
      <c r="H3992" s="17"/>
    </row>
    <row r="3993" spans="1:8" x14ac:dyDescent="0.2">
      <c r="A3993" s="16"/>
      <c r="B3993" s="16"/>
      <c r="C3993" s="17"/>
      <c r="D3993" s="17"/>
      <c r="E3993" s="17"/>
      <c r="F3993" s="17"/>
      <c r="G3993" s="17"/>
      <c r="H3993" s="17"/>
    </row>
    <row r="3994" spans="1:8" x14ac:dyDescent="0.2">
      <c r="A3994" s="16"/>
      <c r="B3994" s="16"/>
      <c r="C3994" s="17"/>
      <c r="D3994" s="17"/>
      <c r="E3994" s="17"/>
      <c r="F3994" s="17"/>
      <c r="G3994" s="17"/>
      <c r="H3994" s="17"/>
    </row>
    <row r="3995" spans="1:8" x14ac:dyDescent="0.2">
      <c r="A3995" s="16"/>
      <c r="B3995" s="16"/>
      <c r="C3995" s="17"/>
      <c r="D3995" s="17"/>
      <c r="E3995" s="17"/>
      <c r="F3995" s="17"/>
      <c r="G3995" s="17"/>
      <c r="H3995" s="17"/>
    </row>
    <row r="3996" spans="1:8" x14ac:dyDescent="0.2">
      <c r="A3996" s="16"/>
      <c r="B3996" s="16"/>
      <c r="C3996" s="17"/>
      <c r="D3996" s="17"/>
      <c r="E3996" s="17"/>
      <c r="F3996" s="17"/>
      <c r="G3996" s="17"/>
      <c r="H3996" s="17"/>
    </row>
    <row r="3997" spans="1:8" x14ac:dyDescent="0.2">
      <c r="A3997" s="16"/>
      <c r="B3997" s="16"/>
      <c r="C3997" s="17"/>
      <c r="D3997" s="17"/>
      <c r="E3997" s="17"/>
      <c r="F3997" s="17"/>
      <c r="G3997" s="17"/>
      <c r="H3997" s="17"/>
    </row>
    <row r="3998" spans="1:8" x14ac:dyDescent="0.2">
      <c r="A3998" s="16"/>
      <c r="B3998" s="16"/>
      <c r="C3998" s="17"/>
      <c r="D3998" s="17"/>
      <c r="E3998" s="17"/>
      <c r="F3998" s="17"/>
      <c r="G3998" s="17"/>
      <c r="H3998" s="17"/>
    </row>
    <row r="3999" spans="1:8" x14ac:dyDescent="0.2">
      <c r="A3999" s="16"/>
      <c r="B3999" s="16"/>
      <c r="C3999" s="17"/>
      <c r="D3999" s="17"/>
      <c r="E3999" s="17"/>
      <c r="F3999" s="17"/>
      <c r="G3999" s="17"/>
      <c r="H3999" s="17"/>
    </row>
    <row r="4000" spans="1:8" x14ac:dyDescent="0.2">
      <c r="A4000" s="16"/>
      <c r="B4000" s="16"/>
      <c r="C4000" s="17"/>
      <c r="D4000" s="17"/>
      <c r="E4000" s="17"/>
      <c r="F4000" s="17"/>
      <c r="G4000" s="17"/>
      <c r="H4000" s="17"/>
    </row>
    <row r="4001" spans="1:8" x14ac:dyDescent="0.2">
      <c r="A4001" s="16"/>
      <c r="B4001" s="16"/>
      <c r="C4001" s="17"/>
      <c r="D4001" s="17"/>
      <c r="E4001" s="17"/>
      <c r="F4001" s="17"/>
      <c r="G4001" s="17"/>
      <c r="H4001" s="17"/>
    </row>
    <row r="4002" spans="1:8" x14ac:dyDescent="0.2">
      <c r="A4002" s="16"/>
      <c r="B4002" s="16"/>
      <c r="C4002" s="17"/>
      <c r="D4002" s="17"/>
      <c r="E4002" s="17"/>
      <c r="F4002" s="17"/>
      <c r="G4002" s="17"/>
      <c r="H4002" s="17"/>
    </row>
    <row r="4003" spans="1:8" x14ac:dyDescent="0.2">
      <c r="A4003" s="16"/>
      <c r="B4003" s="16"/>
      <c r="C4003" s="17"/>
      <c r="D4003" s="17"/>
      <c r="E4003" s="17"/>
      <c r="F4003" s="17"/>
      <c r="G4003" s="17"/>
      <c r="H4003" s="17"/>
    </row>
    <row r="4004" spans="1:8" x14ac:dyDescent="0.2">
      <c r="A4004" s="16"/>
      <c r="B4004" s="16"/>
      <c r="C4004" s="17"/>
      <c r="D4004" s="17"/>
      <c r="E4004" s="17"/>
      <c r="F4004" s="17"/>
      <c r="G4004" s="17"/>
      <c r="H4004" s="17"/>
    </row>
    <row r="4005" spans="1:8" x14ac:dyDescent="0.2">
      <c r="A4005" s="16"/>
      <c r="B4005" s="16"/>
      <c r="C4005" s="17"/>
      <c r="D4005" s="17"/>
      <c r="E4005" s="17"/>
      <c r="F4005" s="17"/>
      <c r="G4005" s="17"/>
      <c r="H4005" s="17"/>
    </row>
    <row r="4006" spans="1:8" x14ac:dyDescent="0.2">
      <c r="A4006" s="16"/>
      <c r="B4006" s="16"/>
      <c r="C4006" s="17"/>
      <c r="D4006" s="17"/>
      <c r="E4006" s="17"/>
      <c r="F4006" s="17"/>
      <c r="G4006" s="17"/>
      <c r="H4006" s="17"/>
    </row>
    <row r="4007" spans="1:8" x14ac:dyDescent="0.2">
      <c r="A4007" s="16"/>
      <c r="B4007" s="16"/>
      <c r="C4007" s="17"/>
      <c r="D4007" s="17"/>
      <c r="E4007" s="17"/>
      <c r="F4007" s="17"/>
      <c r="G4007" s="17"/>
      <c r="H4007" s="17"/>
    </row>
    <row r="4008" spans="1:8" x14ac:dyDescent="0.2">
      <c r="A4008" s="16"/>
      <c r="B4008" s="16"/>
      <c r="C4008" s="17"/>
      <c r="D4008" s="17"/>
      <c r="E4008" s="17"/>
      <c r="F4008" s="17"/>
      <c r="G4008" s="17"/>
      <c r="H4008" s="17"/>
    </row>
    <row r="4009" spans="1:8" x14ac:dyDescent="0.2">
      <c r="A4009" s="16"/>
      <c r="B4009" s="16"/>
      <c r="C4009" s="17"/>
      <c r="D4009" s="17"/>
      <c r="E4009" s="17"/>
      <c r="F4009" s="17"/>
      <c r="G4009" s="17"/>
      <c r="H4009" s="17"/>
    </row>
    <row r="4010" spans="1:8" x14ac:dyDescent="0.2">
      <c r="A4010" s="16"/>
      <c r="B4010" s="16"/>
      <c r="C4010" s="17"/>
      <c r="D4010" s="17"/>
      <c r="E4010" s="17"/>
      <c r="F4010" s="17"/>
      <c r="G4010" s="17"/>
      <c r="H4010" s="17"/>
    </row>
    <row r="4011" spans="1:8" x14ac:dyDescent="0.2">
      <c r="A4011" s="16"/>
      <c r="B4011" s="16"/>
      <c r="C4011" s="17"/>
      <c r="D4011" s="17"/>
      <c r="E4011" s="17"/>
      <c r="F4011" s="17"/>
      <c r="G4011" s="17"/>
      <c r="H4011" s="17"/>
    </row>
    <row r="4012" spans="1:8" x14ac:dyDescent="0.2">
      <c r="A4012" s="16"/>
      <c r="B4012" s="16"/>
      <c r="C4012" s="17"/>
      <c r="D4012" s="17"/>
      <c r="E4012" s="17"/>
      <c r="F4012" s="17"/>
      <c r="G4012" s="17"/>
      <c r="H4012" s="17"/>
    </row>
    <row r="4013" spans="1:8" x14ac:dyDescent="0.2">
      <c r="A4013" s="16"/>
      <c r="B4013" s="16"/>
      <c r="C4013" s="17"/>
      <c r="D4013" s="17"/>
      <c r="E4013" s="17"/>
      <c r="F4013" s="17"/>
      <c r="G4013" s="17"/>
      <c r="H4013" s="17"/>
    </row>
    <row r="4014" spans="1:8" x14ac:dyDescent="0.2">
      <c r="A4014" s="16"/>
      <c r="B4014" s="16"/>
      <c r="C4014" s="17"/>
      <c r="D4014" s="17"/>
      <c r="E4014" s="17"/>
      <c r="F4014" s="17"/>
      <c r="G4014" s="17"/>
      <c r="H4014" s="17"/>
    </row>
    <row r="4015" spans="1:8" x14ac:dyDescent="0.2">
      <c r="A4015" s="16"/>
      <c r="B4015" s="16"/>
      <c r="C4015" s="17"/>
      <c r="D4015" s="17"/>
      <c r="E4015" s="17"/>
      <c r="F4015" s="17"/>
      <c r="G4015" s="17"/>
      <c r="H4015" s="17"/>
    </row>
    <row r="4016" spans="1:8" x14ac:dyDescent="0.2">
      <c r="A4016" s="16"/>
      <c r="B4016" s="16"/>
      <c r="C4016" s="17"/>
      <c r="D4016" s="17"/>
      <c r="E4016" s="17"/>
      <c r="F4016" s="17"/>
      <c r="G4016" s="17"/>
      <c r="H4016" s="17"/>
    </row>
    <row r="4017" spans="1:8" x14ac:dyDescent="0.2">
      <c r="A4017" s="16"/>
      <c r="B4017" s="16"/>
      <c r="C4017" s="17"/>
      <c r="D4017" s="17"/>
      <c r="E4017" s="17"/>
      <c r="F4017" s="17"/>
      <c r="G4017" s="17"/>
      <c r="H4017" s="17"/>
    </row>
    <row r="4018" spans="1:8" x14ac:dyDescent="0.2">
      <c r="A4018" s="16"/>
      <c r="B4018" s="16"/>
      <c r="C4018" s="17"/>
      <c r="D4018" s="17"/>
      <c r="E4018" s="17"/>
      <c r="F4018" s="17"/>
      <c r="G4018" s="17"/>
      <c r="H4018" s="17"/>
    </row>
    <row r="4019" spans="1:8" x14ac:dyDescent="0.2">
      <c r="A4019" s="16"/>
      <c r="B4019" s="16"/>
      <c r="C4019" s="17"/>
      <c r="D4019" s="17"/>
      <c r="E4019" s="17"/>
      <c r="F4019" s="17"/>
      <c r="G4019" s="17"/>
      <c r="H4019" s="17"/>
    </row>
    <row r="4020" spans="1:8" x14ac:dyDescent="0.2">
      <c r="A4020" s="16"/>
      <c r="B4020" s="16"/>
      <c r="C4020" s="17"/>
      <c r="D4020" s="17"/>
      <c r="E4020" s="17"/>
      <c r="F4020" s="17"/>
      <c r="G4020" s="17"/>
      <c r="H4020" s="17"/>
    </row>
    <row r="4021" spans="1:8" x14ac:dyDescent="0.2">
      <c r="A4021" s="16"/>
      <c r="B4021" s="16"/>
      <c r="C4021" s="17"/>
      <c r="D4021" s="17"/>
      <c r="E4021" s="17"/>
      <c r="F4021" s="17"/>
      <c r="G4021" s="17"/>
      <c r="H4021" s="17"/>
    </row>
    <row r="4022" spans="1:8" x14ac:dyDescent="0.2">
      <c r="A4022" s="16"/>
      <c r="B4022" s="16"/>
      <c r="C4022" s="17"/>
      <c r="D4022" s="17"/>
      <c r="E4022" s="17"/>
      <c r="F4022" s="17"/>
      <c r="G4022" s="17"/>
      <c r="H4022" s="17"/>
    </row>
    <row r="4023" spans="1:8" x14ac:dyDescent="0.2">
      <c r="A4023" s="16"/>
      <c r="B4023" s="16"/>
      <c r="C4023" s="17"/>
      <c r="D4023" s="17"/>
      <c r="E4023" s="17"/>
      <c r="F4023" s="17"/>
      <c r="G4023" s="17"/>
      <c r="H4023" s="17"/>
    </row>
    <row r="4024" spans="1:8" x14ac:dyDescent="0.2">
      <c r="A4024" s="16"/>
      <c r="B4024" s="16"/>
      <c r="C4024" s="17"/>
      <c r="D4024" s="17"/>
      <c r="E4024" s="17"/>
      <c r="F4024" s="17"/>
      <c r="G4024" s="17"/>
      <c r="H4024" s="17"/>
    </row>
    <row r="4025" spans="1:8" x14ac:dyDescent="0.2">
      <c r="A4025" s="16"/>
      <c r="B4025" s="16"/>
      <c r="C4025" s="17"/>
      <c r="D4025" s="17"/>
      <c r="E4025" s="17"/>
      <c r="F4025" s="17"/>
      <c r="G4025" s="17"/>
      <c r="H4025" s="17"/>
    </row>
    <row r="4026" spans="1:8" x14ac:dyDescent="0.2">
      <c r="A4026" s="16"/>
      <c r="B4026" s="16"/>
      <c r="C4026" s="17"/>
      <c r="D4026" s="17"/>
      <c r="E4026" s="17"/>
      <c r="F4026" s="17"/>
      <c r="G4026" s="17"/>
      <c r="H4026" s="17"/>
    </row>
    <row r="4027" spans="1:8" x14ac:dyDescent="0.2">
      <c r="A4027" s="16"/>
      <c r="B4027" s="16"/>
      <c r="C4027" s="17"/>
      <c r="D4027" s="17"/>
      <c r="E4027" s="17"/>
      <c r="F4027" s="17"/>
      <c r="G4027" s="17"/>
      <c r="H4027" s="17"/>
    </row>
    <row r="4028" spans="1:8" x14ac:dyDescent="0.2">
      <c r="A4028" s="16"/>
      <c r="B4028" s="16"/>
      <c r="C4028" s="17"/>
      <c r="D4028" s="17"/>
      <c r="E4028" s="17"/>
      <c r="F4028" s="17"/>
      <c r="G4028" s="17"/>
      <c r="H4028" s="17"/>
    </row>
    <row r="4029" spans="1:8" x14ac:dyDescent="0.2">
      <c r="A4029" s="16"/>
      <c r="B4029" s="16"/>
      <c r="C4029" s="17"/>
      <c r="D4029" s="17"/>
      <c r="E4029" s="17"/>
      <c r="F4029" s="17"/>
      <c r="G4029" s="17"/>
      <c r="H4029" s="17"/>
    </row>
    <row r="4030" spans="1:8" x14ac:dyDescent="0.2">
      <c r="A4030" s="16"/>
      <c r="B4030" s="16"/>
      <c r="C4030" s="17"/>
      <c r="D4030" s="17"/>
      <c r="E4030" s="17"/>
      <c r="F4030" s="17"/>
      <c r="G4030" s="17"/>
      <c r="H4030" s="17"/>
    </row>
    <row r="4031" spans="1:8" x14ac:dyDescent="0.2">
      <c r="A4031" s="16"/>
      <c r="B4031" s="16"/>
      <c r="C4031" s="17"/>
      <c r="D4031" s="17"/>
      <c r="E4031" s="17"/>
      <c r="F4031" s="17"/>
      <c r="G4031" s="17"/>
      <c r="H4031" s="17"/>
    </row>
    <row r="4032" spans="1:8" x14ac:dyDescent="0.2">
      <c r="A4032" s="16"/>
      <c r="B4032" s="16"/>
      <c r="C4032" s="17"/>
      <c r="D4032" s="17"/>
      <c r="E4032" s="17"/>
      <c r="F4032" s="17"/>
      <c r="G4032" s="17"/>
      <c r="H4032" s="17"/>
    </row>
    <row r="4033" spans="1:8" x14ac:dyDescent="0.2">
      <c r="A4033" s="16"/>
      <c r="B4033" s="16"/>
      <c r="C4033" s="17"/>
      <c r="D4033" s="17"/>
      <c r="E4033" s="17"/>
      <c r="F4033" s="17"/>
      <c r="G4033" s="17"/>
      <c r="H4033" s="17"/>
    </row>
    <row r="4034" spans="1:8" x14ac:dyDescent="0.2">
      <c r="A4034" s="16"/>
      <c r="B4034" s="16"/>
      <c r="C4034" s="17"/>
      <c r="D4034" s="17"/>
      <c r="E4034" s="17"/>
      <c r="F4034" s="17"/>
      <c r="G4034" s="17"/>
      <c r="H4034" s="17"/>
    </row>
    <row r="4035" spans="1:8" x14ac:dyDescent="0.2">
      <c r="A4035" s="16"/>
      <c r="B4035" s="16"/>
      <c r="C4035" s="17"/>
      <c r="D4035" s="17"/>
      <c r="E4035" s="17"/>
      <c r="F4035" s="17"/>
      <c r="G4035" s="17"/>
      <c r="H4035" s="17"/>
    </row>
    <row r="4036" spans="1:8" x14ac:dyDescent="0.2">
      <c r="A4036" s="16"/>
      <c r="B4036" s="16"/>
      <c r="C4036" s="17"/>
      <c r="D4036" s="17"/>
      <c r="E4036" s="17"/>
      <c r="F4036" s="17"/>
      <c r="G4036" s="17"/>
      <c r="H4036" s="17"/>
    </row>
    <row r="4037" spans="1:8" x14ac:dyDescent="0.2">
      <c r="A4037" s="16"/>
      <c r="B4037" s="16"/>
      <c r="C4037" s="17"/>
      <c r="D4037" s="17"/>
      <c r="E4037" s="17"/>
      <c r="F4037" s="17"/>
      <c r="G4037" s="17"/>
      <c r="H4037" s="17"/>
    </row>
    <row r="4038" spans="1:8" x14ac:dyDescent="0.2">
      <c r="A4038" s="16"/>
      <c r="B4038" s="16"/>
      <c r="C4038" s="17"/>
      <c r="D4038" s="17"/>
      <c r="E4038" s="17"/>
      <c r="F4038" s="17"/>
      <c r="G4038" s="17"/>
      <c r="H4038" s="17"/>
    </row>
    <row r="4039" spans="1:8" x14ac:dyDescent="0.2">
      <c r="A4039" s="16"/>
      <c r="B4039" s="16"/>
      <c r="C4039" s="17"/>
      <c r="D4039" s="17"/>
      <c r="E4039" s="17"/>
      <c r="F4039" s="17"/>
      <c r="G4039" s="17"/>
      <c r="H4039" s="17"/>
    </row>
    <row r="4040" spans="1:8" x14ac:dyDescent="0.2">
      <c r="A4040" s="16"/>
      <c r="B4040" s="16"/>
      <c r="C4040" s="17"/>
      <c r="D4040" s="17"/>
      <c r="E4040" s="17"/>
      <c r="F4040" s="17"/>
      <c r="G4040" s="17"/>
      <c r="H4040" s="17"/>
    </row>
    <row r="4041" spans="1:8" x14ac:dyDescent="0.2">
      <c r="A4041" s="16"/>
      <c r="B4041" s="16"/>
      <c r="C4041" s="17"/>
      <c r="D4041" s="17"/>
      <c r="E4041" s="17"/>
      <c r="F4041" s="17"/>
      <c r="G4041" s="17"/>
      <c r="H4041" s="17"/>
    </row>
    <row r="4042" spans="1:8" x14ac:dyDescent="0.2">
      <c r="A4042" s="16"/>
      <c r="B4042" s="16"/>
      <c r="C4042" s="17"/>
      <c r="D4042" s="17"/>
      <c r="E4042" s="17"/>
      <c r="F4042" s="17"/>
      <c r="G4042" s="17"/>
      <c r="H4042" s="17"/>
    </row>
    <row r="4043" spans="1:8" x14ac:dyDescent="0.2">
      <c r="A4043" s="16"/>
      <c r="B4043" s="16"/>
      <c r="C4043" s="17"/>
      <c r="D4043" s="17"/>
      <c r="E4043" s="17"/>
      <c r="F4043" s="17"/>
      <c r="G4043" s="17"/>
      <c r="H4043" s="17"/>
    </row>
    <row r="4044" spans="1:8" x14ac:dyDescent="0.2">
      <c r="A4044" s="16"/>
      <c r="B4044" s="16"/>
      <c r="C4044" s="17"/>
      <c r="D4044" s="17"/>
      <c r="E4044" s="17"/>
      <c r="F4044" s="17"/>
      <c r="G4044" s="17"/>
      <c r="H4044" s="17"/>
    </row>
    <row r="4045" spans="1:8" x14ac:dyDescent="0.2">
      <c r="A4045" s="16"/>
      <c r="B4045" s="16"/>
      <c r="C4045" s="17"/>
      <c r="D4045" s="17"/>
      <c r="E4045" s="17"/>
      <c r="F4045" s="17"/>
      <c r="G4045" s="17"/>
      <c r="H4045" s="17"/>
    </row>
    <row r="4046" spans="1:8" x14ac:dyDescent="0.2">
      <c r="A4046" s="16"/>
      <c r="B4046" s="16"/>
      <c r="C4046" s="17"/>
      <c r="D4046" s="17"/>
      <c r="E4046" s="17"/>
      <c r="F4046" s="17"/>
      <c r="G4046" s="17"/>
      <c r="H4046" s="17"/>
    </row>
    <row r="4047" spans="1:8" x14ac:dyDescent="0.2">
      <c r="A4047" s="16"/>
      <c r="B4047" s="16"/>
      <c r="C4047" s="17"/>
      <c r="D4047" s="17"/>
      <c r="E4047" s="17"/>
      <c r="F4047" s="17"/>
      <c r="G4047" s="17"/>
      <c r="H4047" s="17"/>
    </row>
    <row r="4048" spans="1:8" x14ac:dyDescent="0.2">
      <c r="A4048" s="16"/>
      <c r="B4048" s="16"/>
      <c r="C4048" s="17"/>
      <c r="D4048" s="17"/>
      <c r="E4048" s="17"/>
      <c r="F4048" s="17"/>
      <c r="G4048" s="17"/>
      <c r="H4048" s="17"/>
    </row>
    <row r="4049" spans="1:8" x14ac:dyDescent="0.2">
      <c r="A4049" s="16"/>
      <c r="B4049" s="16"/>
      <c r="C4049" s="17"/>
      <c r="D4049" s="17"/>
      <c r="E4049" s="17"/>
      <c r="F4049" s="17"/>
      <c r="G4049" s="17"/>
      <c r="H4049" s="17"/>
    </row>
    <row r="4050" spans="1:8" x14ac:dyDescent="0.2">
      <c r="A4050" s="16"/>
      <c r="B4050" s="16"/>
      <c r="C4050" s="17"/>
      <c r="D4050" s="17"/>
      <c r="E4050" s="17"/>
      <c r="F4050" s="17"/>
      <c r="G4050" s="17"/>
      <c r="H4050" s="17"/>
    </row>
    <row r="4051" spans="1:8" x14ac:dyDescent="0.2">
      <c r="A4051" s="16"/>
      <c r="B4051" s="16"/>
      <c r="C4051" s="17"/>
      <c r="D4051" s="17"/>
      <c r="E4051" s="17"/>
      <c r="F4051" s="17"/>
      <c r="G4051" s="17"/>
      <c r="H4051" s="17"/>
    </row>
    <row r="4052" spans="1:8" x14ac:dyDescent="0.2">
      <c r="A4052" s="16"/>
      <c r="B4052" s="16"/>
      <c r="C4052" s="17"/>
      <c r="D4052" s="17"/>
      <c r="E4052" s="17"/>
      <c r="F4052" s="17"/>
      <c r="G4052" s="17"/>
      <c r="H4052" s="17"/>
    </row>
    <row r="4053" spans="1:8" x14ac:dyDescent="0.2">
      <c r="A4053" s="16"/>
      <c r="B4053" s="16"/>
      <c r="C4053" s="17"/>
      <c r="D4053" s="17"/>
      <c r="E4053" s="17"/>
      <c r="F4053" s="17"/>
      <c r="G4053" s="17"/>
      <c r="H4053" s="17"/>
    </row>
    <row r="4054" spans="1:8" x14ac:dyDescent="0.2">
      <c r="A4054" s="16"/>
      <c r="B4054" s="16"/>
      <c r="C4054" s="17"/>
      <c r="D4054" s="17"/>
      <c r="E4054" s="17"/>
      <c r="F4054" s="17"/>
      <c r="G4054" s="17"/>
      <c r="H4054" s="17"/>
    </row>
    <row r="4055" spans="1:8" x14ac:dyDescent="0.2">
      <c r="A4055" s="16"/>
      <c r="B4055" s="16"/>
      <c r="C4055" s="17"/>
      <c r="D4055" s="17"/>
      <c r="E4055" s="17"/>
      <c r="F4055" s="17"/>
      <c r="G4055" s="17"/>
      <c r="H4055" s="17"/>
    </row>
    <row r="4056" spans="1:8" x14ac:dyDescent="0.2">
      <c r="A4056" s="16"/>
      <c r="B4056" s="16"/>
      <c r="C4056" s="17"/>
      <c r="D4056" s="17"/>
      <c r="E4056" s="17"/>
      <c r="F4056" s="17"/>
      <c r="G4056" s="17"/>
      <c r="H4056" s="17"/>
    </row>
    <row r="4057" spans="1:8" x14ac:dyDescent="0.2">
      <c r="A4057" s="16"/>
      <c r="B4057" s="16"/>
      <c r="C4057" s="17"/>
      <c r="D4057" s="17"/>
      <c r="E4057" s="17"/>
      <c r="F4057" s="17"/>
      <c r="G4057" s="17"/>
      <c r="H4057" s="17"/>
    </row>
    <row r="4058" spans="1:8" x14ac:dyDescent="0.2">
      <c r="A4058" s="16"/>
      <c r="B4058" s="16"/>
      <c r="C4058" s="17"/>
      <c r="D4058" s="17"/>
      <c r="E4058" s="17"/>
      <c r="F4058" s="17"/>
      <c r="G4058" s="17"/>
      <c r="H4058" s="17"/>
    </row>
    <row r="4059" spans="1:8" x14ac:dyDescent="0.2">
      <c r="A4059" s="16"/>
      <c r="B4059" s="16"/>
      <c r="C4059" s="17"/>
      <c r="D4059" s="17"/>
      <c r="E4059" s="17"/>
      <c r="F4059" s="17"/>
      <c r="G4059" s="17"/>
      <c r="H4059" s="17"/>
    </row>
    <row r="4060" spans="1:8" x14ac:dyDescent="0.2">
      <c r="A4060" s="16"/>
      <c r="B4060" s="16"/>
      <c r="C4060" s="17"/>
      <c r="D4060" s="17"/>
      <c r="E4060" s="17"/>
      <c r="F4060" s="17"/>
      <c r="G4060" s="17"/>
      <c r="H4060" s="17"/>
    </row>
    <row r="4061" spans="1:8" x14ac:dyDescent="0.2">
      <c r="A4061" s="16"/>
      <c r="B4061" s="16"/>
      <c r="C4061" s="17"/>
      <c r="D4061" s="17"/>
      <c r="E4061" s="17"/>
      <c r="F4061" s="17"/>
      <c r="G4061" s="17"/>
      <c r="H4061" s="17"/>
    </row>
    <row r="4062" spans="1:8" x14ac:dyDescent="0.2">
      <c r="A4062" s="16"/>
      <c r="B4062" s="16"/>
      <c r="C4062" s="17"/>
      <c r="D4062" s="17"/>
      <c r="E4062" s="17"/>
      <c r="F4062" s="17"/>
      <c r="G4062" s="17"/>
      <c r="H4062" s="17"/>
    </row>
    <row r="4063" spans="1:8" x14ac:dyDescent="0.2">
      <c r="A4063" s="16"/>
      <c r="B4063" s="16"/>
      <c r="C4063" s="17"/>
      <c r="D4063" s="17"/>
      <c r="E4063" s="17"/>
      <c r="F4063" s="17"/>
      <c r="G4063" s="17"/>
      <c r="H4063" s="17"/>
    </row>
    <row r="4064" spans="1:8" x14ac:dyDescent="0.2">
      <c r="A4064" s="16"/>
      <c r="B4064" s="16"/>
      <c r="C4064" s="17"/>
      <c r="D4064" s="17"/>
      <c r="E4064" s="17"/>
      <c r="F4064" s="17"/>
      <c r="G4064" s="17"/>
      <c r="H4064" s="17"/>
    </row>
    <row r="4065" spans="1:8" x14ac:dyDescent="0.2">
      <c r="A4065" s="16"/>
      <c r="B4065" s="16"/>
      <c r="C4065" s="17"/>
      <c r="D4065" s="17"/>
      <c r="E4065" s="17"/>
      <c r="F4065" s="17"/>
      <c r="G4065" s="17"/>
      <c r="H4065" s="17"/>
    </row>
    <row r="4066" spans="1:8" x14ac:dyDescent="0.2">
      <c r="A4066" s="16"/>
      <c r="B4066" s="16"/>
      <c r="C4066" s="17"/>
      <c r="D4066" s="17"/>
      <c r="E4066" s="17"/>
      <c r="F4066" s="17"/>
      <c r="G4066" s="17"/>
      <c r="H4066" s="17"/>
    </row>
    <row r="4067" spans="1:8" x14ac:dyDescent="0.2">
      <c r="A4067" s="16"/>
      <c r="B4067" s="16"/>
      <c r="C4067" s="17"/>
      <c r="D4067" s="17"/>
      <c r="E4067" s="17"/>
      <c r="F4067" s="17"/>
      <c r="G4067" s="17"/>
      <c r="H4067" s="17"/>
    </row>
    <row r="4068" spans="1:8" x14ac:dyDescent="0.2">
      <c r="A4068" s="16"/>
      <c r="B4068" s="16"/>
      <c r="C4068" s="17"/>
      <c r="D4068" s="17"/>
      <c r="E4068" s="17"/>
      <c r="F4068" s="17"/>
      <c r="G4068" s="17"/>
      <c r="H4068" s="17"/>
    </row>
    <row r="4069" spans="1:8" x14ac:dyDescent="0.2">
      <c r="A4069" s="16"/>
      <c r="B4069" s="16"/>
      <c r="C4069" s="17"/>
      <c r="D4069" s="17"/>
      <c r="E4069" s="17"/>
      <c r="F4069" s="17"/>
      <c r="G4069" s="17"/>
      <c r="H4069" s="17"/>
    </row>
    <row r="4070" spans="1:8" x14ac:dyDescent="0.2">
      <c r="A4070" s="16"/>
      <c r="B4070" s="16"/>
      <c r="C4070" s="17"/>
      <c r="D4070" s="17"/>
      <c r="E4070" s="17"/>
      <c r="F4070" s="17"/>
      <c r="G4070" s="17"/>
      <c r="H4070" s="17"/>
    </row>
    <row r="4071" spans="1:8" x14ac:dyDescent="0.2">
      <c r="A4071" s="16"/>
      <c r="B4071" s="16"/>
      <c r="C4071" s="17"/>
      <c r="D4071" s="17"/>
      <c r="E4071" s="17"/>
      <c r="F4071" s="17"/>
      <c r="G4071" s="17"/>
      <c r="H4071" s="17"/>
    </row>
    <row r="4072" spans="1:8" x14ac:dyDescent="0.2">
      <c r="A4072" s="16"/>
      <c r="B4072" s="16"/>
      <c r="C4072" s="17"/>
      <c r="D4072" s="17"/>
      <c r="E4072" s="17"/>
      <c r="F4072" s="17"/>
      <c r="G4072" s="17"/>
      <c r="H4072" s="17"/>
    </row>
    <row r="4073" spans="1:8" x14ac:dyDescent="0.2">
      <c r="A4073" s="16"/>
      <c r="B4073" s="16"/>
      <c r="C4073" s="17"/>
      <c r="D4073" s="17"/>
      <c r="E4073" s="17"/>
      <c r="F4073" s="17"/>
      <c r="G4073" s="17"/>
      <c r="H4073" s="17"/>
    </row>
    <row r="4074" spans="1:8" x14ac:dyDescent="0.2">
      <c r="A4074" s="16"/>
      <c r="B4074" s="16"/>
      <c r="C4074" s="17"/>
      <c r="D4074" s="17"/>
      <c r="E4074" s="17"/>
      <c r="F4074" s="17"/>
      <c r="G4074" s="17"/>
      <c r="H4074" s="17"/>
    </row>
    <row r="4075" spans="1:8" x14ac:dyDescent="0.2">
      <c r="A4075" s="16"/>
      <c r="B4075" s="16"/>
      <c r="C4075" s="17"/>
      <c r="D4075" s="17"/>
      <c r="E4075" s="17"/>
      <c r="F4075" s="17"/>
      <c r="G4075" s="17"/>
      <c r="H4075" s="17"/>
    </row>
    <row r="4076" spans="1:8" x14ac:dyDescent="0.2">
      <c r="A4076" s="16"/>
      <c r="B4076" s="16"/>
      <c r="C4076" s="17"/>
      <c r="D4076" s="17"/>
      <c r="E4076" s="17"/>
      <c r="F4076" s="17"/>
      <c r="G4076" s="17"/>
      <c r="H4076" s="17"/>
    </row>
    <row r="4077" spans="1:8" x14ac:dyDescent="0.2">
      <c r="A4077" s="16"/>
      <c r="B4077" s="16"/>
      <c r="C4077" s="17"/>
      <c r="D4077" s="17"/>
      <c r="E4077" s="17"/>
      <c r="F4077" s="17"/>
      <c r="G4077" s="17"/>
      <c r="H4077" s="17"/>
    </row>
    <row r="4078" spans="1:8" x14ac:dyDescent="0.2">
      <c r="A4078" s="16"/>
      <c r="B4078" s="16"/>
      <c r="C4078" s="17"/>
      <c r="D4078" s="17"/>
      <c r="E4078" s="17"/>
      <c r="F4078" s="17"/>
      <c r="G4078" s="17"/>
      <c r="H4078" s="17"/>
    </row>
    <row r="4079" spans="1:8" x14ac:dyDescent="0.2">
      <c r="A4079" s="16"/>
      <c r="B4079" s="16"/>
      <c r="C4079" s="17"/>
      <c r="D4079" s="17"/>
      <c r="E4079" s="17"/>
      <c r="F4079" s="17"/>
      <c r="G4079" s="17"/>
      <c r="H4079" s="17"/>
    </row>
    <row r="4080" spans="1:8" x14ac:dyDescent="0.2">
      <c r="A4080" s="16"/>
      <c r="B4080" s="16"/>
      <c r="C4080" s="17"/>
      <c r="D4080" s="17"/>
      <c r="E4080" s="17"/>
      <c r="F4080" s="17"/>
      <c r="G4080" s="17"/>
      <c r="H4080" s="17"/>
    </row>
    <row r="4081" spans="1:8" x14ac:dyDescent="0.2">
      <c r="A4081" s="16"/>
      <c r="B4081" s="16"/>
      <c r="C4081" s="17"/>
      <c r="D4081" s="17"/>
      <c r="E4081" s="17"/>
      <c r="F4081" s="17"/>
      <c r="G4081" s="17"/>
      <c r="H4081" s="17"/>
    </row>
    <row r="4082" spans="1:8" x14ac:dyDescent="0.2">
      <c r="A4082" s="16"/>
      <c r="B4082" s="16"/>
      <c r="C4082" s="17"/>
      <c r="D4082" s="17"/>
      <c r="E4082" s="17"/>
      <c r="F4082" s="17"/>
      <c r="G4082" s="17"/>
      <c r="H4082" s="17"/>
    </row>
    <row r="4083" spans="1:8" x14ac:dyDescent="0.2">
      <c r="A4083" s="16"/>
      <c r="B4083" s="16"/>
      <c r="C4083" s="17"/>
      <c r="D4083" s="17"/>
      <c r="E4083" s="17"/>
      <c r="F4083" s="17"/>
      <c r="G4083" s="17"/>
      <c r="H4083" s="17"/>
    </row>
    <row r="4084" spans="1:8" x14ac:dyDescent="0.2">
      <c r="A4084" s="16"/>
      <c r="B4084" s="16"/>
      <c r="C4084" s="17"/>
      <c r="D4084" s="17"/>
      <c r="E4084" s="17"/>
      <c r="F4084" s="17"/>
      <c r="G4084" s="17"/>
      <c r="H4084" s="17"/>
    </row>
    <row r="4085" spans="1:8" x14ac:dyDescent="0.2">
      <c r="A4085" s="16"/>
      <c r="B4085" s="16"/>
      <c r="C4085" s="17"/>
      <c r="D4085" s="17"/>
      <c r="E4085" s="17"/>
      <c r="F4085" s="17"/>
      <c r="G4085" s="17"/>
      <c r="H4085" s="17"/>
    </row>
    <row r="4086" spans="1:8" x14ac:dyDescent="0.2">
      <c r="A4086" s="16"/>
      <c r="B4086" s="16"/>
      <c r="C4086" s="17"/>
      <c r="D4086" s="17"/>
      <c r="E4086" s="17"/>
      <c r="F4086" s="17"/>
      <c r="G4086" s="17"/>
      <c r="H4086" s="17"/>
    </row>
    <row r="4087" spans="1:8" x14ac:dyDescent="0.2">
      <c r="A4087" s="16"/>
      <c r="B4087" s="16"/>
      <c r="C4087" s="17"/>
      <c r="D4087" s="17"/>
      <c r="E4087" s="17"/>
      <c r="F4087" s="17"/>
      <c r="G4087" s="17"/>
      <c r="H4087" s="17"/>
    </row>
    <row r="4088" spans="1:8" x14ac:dyDescent="0.2">
      <c r="A4088" s="16"/>
      <c r="B4088" s="16"/>
      <c r="C4088" s="17"/>
      <c r="D4088" s="17"/>
      <c r="E4088" s="17"/>
      <c r="F4088" s="17"/>
      <c r="G4088" s="17"/>
      <c r="H4088" s="17"/>
    </row>
    <row r="4089" spans="1:8" x14ac:dyDescent="0.2">
      <c r="A4089" s="16"/>
      <c r="B4089" s="16"/>
      <c r="C4089" s="17"/>
      <c r="D4089" s="17"/>
      <c r="E4089" s="17"/>
      <c r="F4089" s="17"/>
      <c r="G4089" s="17"/>
      <c r="H4089" s="17"/>
    </row>
    <row r="4090" spans="1:8" x14ac:dyDescent="0.2">
      <c r="A4090" s="16"/>
      <c r="B4090" s="16"/>
      <c r="C4090" s="17"/>
      <c r="D4090" s="17"/>
      <c r="E4090" s="17"/>
      <c r="F4090" s="17"/>
      <c r="G4090" s="17"/>
      <c r="H4090" s="17"/>
    </row>
    <row r="4091" spans="1:8" x14ac:dyDescent="0.2">
      <c r="A4091" s="16"/>
      <c r="B4091" s="16"/>
      <c r="C4091" s="17"/>
      <c r="D4091" s="17"/>
      <c r="E4091" s="17"/>
      <c r="F4091" s="17"/>
      <c r="G4091" s="17"/>
      <c r="H4091" s="17"/>
    </row>
    <row r="4092" spans="1:8" x14ac:dyDescent="0.2">
      <c r="A4092" s="16"/>
      <c r="B4092" s="16"/>
      <c r="C4092" s="17"/>
      <c r="D4092" s="17"/>
      <c r="E4092" s="17"/>
      <c r="F4092" s="17"/>
      <c r="G4092" s="17"/>
      <c r="H4092" s="17"/>
    </row>
    <row r="4093" spans="1:8" x14ac:dyDescent="0.2">
      <c r="A4093" s="16"/>
      <c r="B4093" s="16"/>
      <c r="C4093" s="17"/>
      <c r="D4093" s="17"/>
      <c r="E4093" s="17"/>
      <c r="F4093" s="17"/>
      <c r="G4093" s="17"/>
      <c r="H4093" s="17"/>
    </row>
    <row r="4094" spans="1:8" x14ac:dyDescent="0.2">
      <c r="A4094" s="16"/>
      <c r="B4094" s="16"/>
      <c r="C4094" s="17"/>
      <c r="D4094" s="17"/>
      <c r="E4094" s="17"/>
      <c r="F4094" s="17"/>
      <c r="G4094" s="17"/>
      <c r="H4094" s="17"/>
    </row>
    <row r="4095" spans="1:8" x14ac:dyDescent="0.2">
      <c r="A4095" s="16"/>
      <c r="B4095" s="16"/>
      <c r="C4095" s="17"/>
      <c r="D4095" s="17"/>
      <c r="E4095" s="17"/>
      <c r="F4095" s="17"/>
      <c r="G4095" s="17"/>
      <c r="H4095" s="17"/>
    </row>
    <row r="4096" spans="1:8" x14ac:dyDescent="0.2">
      <c r="A4096" s="16"/>
      <c r="B4096" s="16"/>
      <c r="C4096" s="17"/>
      <c r="D4096" s="17"/>
      <c r="E4096" s="17"/>
      <c r="F4096" s="17"/>
      <c r="G4096" s="17"/>
      <c r="H4096" s="17"/>
    </row>
    <row r="4097" spans="1:8" x14ac:dyDescent="0.2">
      <c r="A4097" s="16"/>
      <c r="B4097" s="16"/>
      <c r="C4097" s="17"/>
      <c r="D4097" s="17"/>
      <c r="E4097" s="17"/>
      <c r="F4097" s="17"/>
      <c r="G4097" s="17"/>
      <c r="H4097" s="17"/>
    </row>
    <row r="4098" spans="1:8" x14ac:dyDescent="0.2">
      <c r="A4098" s="16"/>
      <c r="B4098" s="16"/>
      <c r="C4098" s="17"/>
      <c r="D4098" s="17"/>
      <c r="E4098" s="17"/>
      <c r="F4098" s="17"/>
      <c r="G4098" s="17"/>
      <c r="H4098" s="17"/>
    </row>
    <row r="4099" spans="1:8" x14ac:dyDescent="0.2">
      <c r="A4099" s="16"/>
      <c r="B4099" s="16"/>
      <c r="C4099" s="17"/>
      <c r="D4099" s="17"/>
      <c r="E4099" s="17"/>
      <c r="F4099" s="17"/>
      <c r="G4099" s="17"/>
      <c r="H4099" s="17"/>
    </row>
    <row r="4100" spans="1:8" x14ac:dyDescent="0.2">
      <c r="A4100" s="16"/>
      <c r="B4100" s="16"/>
      <c r="C4100" s="17"/>
      <c r="D4100" s="17"/>
      <c r="E4100" s="17"/>
      <c r="F4100" s="17"/>
      <c r="G4100" s="17"/>
      <c r="H4100" s="17"/>
    </row>
    <row r="4101" spans="1:8" x14ac:dyDescent="0.2">
      <c r="A4101" s="16"/>
      <c r="B4101" s="16"/>
      <c r="C4101" s="17"/>
      <c r="D4101" s="17"/>
      <c r="E4101" s="17"/>
      <c r="F4101" s="17"/>
      <c r="G4101" s="17"/>
      <c r="H4101" s="17"/>
    </row>
    <row r="4102" spans="1:8" x14ac:dyDescent="0.2">
      <c r="A4102" s="16"/>
      <c r="B4102" s="16"/>
      <c r="C4102" s="17"/>
      <c r="D4102" s="17"/>
      <c r="E4102" s="17"/>
      <c r="F4102" s="17"/>
      <c r="G4102" s="17"/>
      <c r="H4102" s="17"/>
    </row>
    <row r="4103" spans="1:8" x14ac:dyDescent="0.2">
      <c r="A4103" s="16"/>
      <c r="B4103" s="16"/>
      <c r="C4103" s="17"/>
      <c r="D4103" s="17"/>
      <c r="E4103" s="17"/>
      <c r="F4103" s="17"/>
      <c r="G4103" s="17"/>
      <c r="H4103" s="17"/>
    </row>
    <row r="4104" spans="1:8" x14ac:dyDescent="0.2">
      <c r="A4104" s="16"/>
      <c r="B4104" s="16"/>
      <c r="C4104" s="17"/>
      <c r="D4104" s="17"/>
      <c r="E4104" s="17"/>
      <c r="F4104" s="17"/>
      <c r="G4104" s="17"/>
      <c r="H4104" s="17"/>
    </row>
    <row r="4105" spans="1:8" x14ac:dyDescent="0.2">
      <c r="A4105" s="16"/>
      <c r="B4105" s="16"/>
      <c r="C4105" s="17"/>
      <c r="D4105" s="17"/>
      <c r="E4105" s="17"/>
      <c r="F4105" s="17"/>
      <c r="G4105" s="17"/>
      <c r="H4105" s="17"/>
    </row>
    <row r="4106" spans="1:8" x14ac:dyDescent="0.2">
      <c r="A4106" s="16"/>
      <c r="B4106" s="16"/>
      <c r="C4106" s="17"/>
      <c r="D4106" s="17"/>
      <c r="E4106" s="17"/>
      <c r="F4106" s="17"/>
      <c r="G4106" s="17"/>
      <c r="H4106" s="17"/>
    </row>
    <row r="4107" spans="1:8" x14ac:dyDescent="0.2">
      <c r="A4107" s="16"/>
      <c r="B4107" s="16"/>
      <c r="C4107" s="17"/>
      <c r="D4107" s="17"/>
      <c r="E4107" s="17"/>
      <c r="F4107" s="17"/>
      <c r="G4107" s="17"/>
      <c r="H4107" s="17"/>
    </row>
    <row r="4108" spans="1:8" x14ac:dyDescent="0.2">
      <c r="A4108" s="16"/>
      <c r="B4108" s="16"/>
      <c r="C4108" s="17"/>
      <c r="D4108" s="17"/>
      <c r="E4108" s="17"/>
      <c r="F4108" s="17"/>
      <c r="G4108" s="17"/>
      <c r="H4108" s="17"/>
    </row>
    <row r="4109" spans="1:8" x14ac:dyDescent="0.2">
      <c r="A4109" s="16"/>
      <c r="B4109" s="16"/>
      <c r="C4109" s="17"/>
      <c r="D4109" s="17"/>
      <c r="E4109" s="17"/>
      <c r="F4109" s="17"/>
      <c r="G4109" s="17"/>
      <c r="H4109" s="17"/>
    </row>
    <row r="4110" spans="1:8" x14ac:dyDescent="0.2">
      <c r="A4110" s="16"/>
      <c r="B4110" s="16"/>
      <c r="C4110" s="17"/>
      <c r="D4110" s="17"/>
      <c r="E4110" s="17"/>
      <c r="F4110" s="17"/>
      <c r="G4110" s="17"/>
      <c r="H4110" s="17"/>
    </row>
    <row r="4111" spans="1:8" x14ac:dyDescent="0.2">
      <c r="A4111" s="16"/>
      <c r="B4111" s="16"/>
      <c r="C4111" s="17"/>
      <c r="D4111" s="17"/>
      <c r="E4111" s="17"/>
      <c r="F4111" s="17"/>
      <c r="G4111" s="17"/>
      <c r="H4111" s="17"/>
    </row>
    <row r="4112" spans="1:8" x14ac:dyDescent="0.2">
      <c r="A4112" s="16"/>
      <c r="B4112" s="16"/>
      <c r="C4112" s="17"/>
      <c r="D4112" s="17"/>
      <c r="E4112" s="17"/>
      <c r="F4112" s="17"/>
      <c r="G4112" s="17"/>
      <c r="H4112" s="17"/>
    </row>
    <row r="4113" spans="1:8" x14ac:dyDescent="0.2">
      <c r="A4113" s="16"/>
      <c r="B4113" s="16"/>
      <c r="C4113" s="17"/>
      <c r="D4113" s="17"/>
      <c r="E4113" s="17"/>
      <c r="F4113" s="17"/>
      <c r="G4113" s="17"/>
      <c r="H4113" s="17"/>
    </row>
    <row r="4114" spans="1:8" x14ac:dyDescent="0.2">
      <c r="A4114" s="16"/>
      <c r="B4114" s="16"/>
      <c r="C4114" s="17"/>
      <c r="D4114" s="17"/>
      <c r="E4114" s="17"/>
      <c r="F4114" s="17"/>
      <c r="G4114" s="17"/>
      <c r="H4114" s="17"/>
    </row>
    <row r="4115" spans="1:8" x14ac:dyDescent="0.2">
      <c r="A4115" s="16"/>
      <c r="B4115" s="16"/>
      <c r="C4115" s="17"/>
      <c r="D4115" s="17"/>
      <c r="E4115" s="17"/>
      <c r="F4115" s="17"/>
      <c r="G4115" s="17"/>
      <c r="H4115" s="17"/>
    </row>
    <row r="4116" spans="1:8" x14ac:dyDescent="0.2">
      <c r="A4116" s="16"/>
      <c r="B4116" s="16"/>
      <c r="C4116" s="17"/>
      <c r="D4116" s="17"/>
      <c r="E4116" s="17"/>
      <c r="F4116" s="17"/>
      <c r="G4116" s="17"/>
      <c r="H4116" s="17"/>
    </row>
    <row r="4117" spans="1:8" x14ac:dyDescent="0.2">
      <c r="A4117" s="16"/>
      <c r="B4117" s="16"/>
      <c r="C4117" s="17"/>
      <c r="D4117" s="17"/>
      <c r="E4117" s="17"/>
      <c r="F4117" s="17"/>
      <c r="G4117" s="17"/>
      <c r="H4117" s="17"/>
    </row>
    <row r="4118" spans="1:8" x14ac:dyDescent="0.2">
      <c r="A4118" s="16"/>
      <c r="B4118" s="16"/>
      <c r="C4118" s="17"/>
      <c r="D4118" s="17"/>
      <c r="E4118" s="17"/>
      <c r="F4118" s="17"/>
      <c r="G4118" s="17"/>
      <c r="H4118" s="17"/>
    </row>
    <row r="4119" spans="1:8" x14ac:dyDescent="0.2">
      <c r="A4119" s="16"/>
      <c r="B4119" s="16"/>
      <c r="C4119" s="17"/>
      <c r="D4119" s="17"/>
      <c r="E4119" s="17"/>
      <c r="F4119" s="17"/>
      <c r="G4119" s="17"/>
      <c r="H4119" s="17"/>
    </row>
    <row r="4120" spans="1:8" x14ac:dyDescent="0.2">
      <c r="A4120" s="16"/>
      <c r="B4120" s="16"/>
      <c r="C4120" s="17"/>
      <c r="D4120" s="17"/>
      <c r="E4120" s="17"/>
      <c r="F4120" s="17"/>
      <c r="G4120" s="17"/>
      <c r="H4120" s="17"/>
    </row>
    <row r="4121" spans="1:8" x14ac:dyDescent="0.2">
      <c r="A4121" s="16"/>
      <c r="B4121" s="16"/>
      <c r="C4121" s="17"/>
      <c r="D4121" s="17"/>
      <c r="E4121" s="17"/>
      <c r="F4121" s="17"/>
      <c r="G4121" s="17"/>
      <c r="H4121" s="17"/>
    </row>
    <row r="4122" spans="1:8" x14ac:dyDescent="0.2">
      <c r="A4122" s="16"/>
      <c r="B4122" s="16"/>
      <c r="C4122" s="17"/>
      <c r="D4122" s="17"/>
      <c r="E4122" s="17"/>
      <c r="F4122" s="17"/>
      <c r="G4122" s="17"/>
      <c r="H4122" s="17"/>
    </row>
    <row r="4123" spans="1:8" x14ac:dyDescent="0.2">
      <c r="A4123" s="16"/>
      <c r="B4123" s="16"/>
      <c r="C4123" s="17"/>
      <c r="D4123" s="17"/>
      <c r="E4123" s="17"/>
      <c r="F4123" s="17"/>
      <c r="G4123" s="17"/>
      <c r="H4123" s="17"/>
    </row>
    <row r="4124" spans="1:8" x14ac:dyDescent="0.2">
      <c r="A4124" s="16"/>
      <c r="B4124" s="16"/>
      <c r="C4124" s="17"/>
      <c r="D4124" s="17"/>
      <c r="E4124" s="17"/>
      <c r="F4124" s="17"/>
      <c r="G4124" s="17"/>
      <c r="H4124" s="17"/>
    </row>
    <row r="4125" spans="1:8" x14ac:dyDescent="0.2">
      <c r="A4125" s="16"/>
      <c r="B4125" s="16"/>
      <c r="C4125" s="17"/>
      <c r="D4125" s="17"/>
      <c r="E4125" s="17"/>
      <c r="F4125" s="17"/>
      <c r="G4125" s="17"/>
      <c r="H4125" s="17"/>
    </row>
    <row r="4126" spans="1:8" x14ac:dyDescent="0.2">
      <c r="A4126" s="16"/>
      <c r="B4126" s="16"/>
      <c r="C4126" s="17"/>
      <c r="D4126" s="17"/>
      <c r="E4126" s="17"/>
      <c r="F4126" s="17"/>
      <c r="G4126" s="17"/>
      <c r="H4126" s="17"/>
    </row>
    <row r="4127" spans="1:8" x14ac:dyDescent="0.2">
      <c r="A4127" s="16"/>
      <c r="B4127" s="16"/>
      <c r="C4127" s="17"/>
      <c r="D4127" s="17"/>
      <c r="E4127" s="17"/>
      <c r="F4127" s="17"/>
      <c r="G4127" s="17"/>
      <c r="H4127" s="17"/>
    </row>
    <row r="4128" spans="1:8" x14ac:dyDescent="0.2">
      <c r="A4128" s="16"/>
      <c r="B4128" s="16"/>
      <c r="C4128" s="17"/>
      <c r="D4128" s="17"/>
      <c r="E4128" s="17"/>
      <c r="F4128" s="17"/>
      <c r="G4128" s="17"/>
      <c r="H4128" s="17"/>
    </row>
    <row r="4129" spans="1:8" x14ac:dyDescent="0.2">
      <c r="A4129" s="16"/>
      <c r="B4129" s="16"/>
      <c r="C4129" s="17"/>
      <c r="D4129" s="17"/>
      <c r="E4129" s="17"/>
      <c r="F4129" s="17"/>
      <c r="G4129" s="17"/>
      <c r="H4129" s="17"/>
    </row>
    <row r="4130" spans="1:8" x14ac:dyDescent="0.2">
      <c r="A4130" s="16"/>
      <c r="B4130" s="16"/>
      <c r="C4130" s="17"/>
      <c r="D4130" s="17"/>
      <c r="E4130" s="17"/>
      <c r="F4130" s="17"/>
      <c r="G4130" s="17"/>
      <c r="H4130" s="17"/>
    </row>
    <row r="4131" spans="1:8" x14ac:dyDescent="0.2">
      <c r="A4131" s="16"/>
      <c r="B4131" s="16"/>
      <c r="C4131" s="17"/>
      <c r="D4131" s="17"/>
      <c r="E4131" s="17"/>
      <c r="F4131" s="17"/>
      <c r="G4131" s="17"/>
      <c r="H4131" s="17"/>
    </row>
    <row r="4132" spans="1:8" x14ac:dyDescent="0.2">
      <c r="A4132" s="16"/>
      <c r="B4132" s="16"/>
      <c r="C4132" s="17"/>
      <c r="D4132" s="17"/>
      <c r="E4132" s="17"/>
      <c r="F4132" s="17"/>
      <c r="G4132" s="17"/>
      <c r="H4132" s="17"/>
    </row>
    <row r="4133" spans="1:8" x14ac:dyDescent="0.2">
      <c r="A4133" s="16"/>
      <c r="B4133" s="16"/>
      <c r="C4133" s="17"/>
      <c r="D4133" s="17"/>
      <c r="E4133" s="17"/>
      <c r="F4133" s="17"/>
      <c r="G4133" s="17"/>
      <c r="H4133" s="17"/>
    </row>
    <row r="4134" spans="1:8" x14ac:dyDescent="0.2">
      <c r="A4134" s="16"/>
      <c r="B4134" s="16"/>
      <c r="C4134" s="17"/>
      <c r="D4134" s="17"/>
      <c r="E4134" s="17"/>
      <c r="F4134" s="17"/>
      <c r="G4134" s="17"/>
      <c r="H4134" s="17"/>
    </row>
    <row r="4135" spans="1:8" x14ac:dyDescent="0.2">
      <c r="A4135" s="16"/>
      <c r="B4135" s="16"/>
      <c r="C4135" s="17"/>
      <c r="D4135" s="17"/>
      <c r="E4135" s="17"/>
      <c r="F4135" s="17"/>
      <c r="G4135" s="17"/>
      <c r="H4135" s="17"/>
    </row>
    <row r="4136" spans="1:8" x14ac:dyDescent="0.2">
      <c r="A4136" s="16"/>
      <c r="B4136" s="16"/>
      <c r="C4136" s="17"/>
      <c r="D4136" s="17"/>
      <c r="E4136" s="17"/>
      <c r="F4136" s="17"/>
      <c r="G4136" s="17"/>
      <c r="H4136" s="17"/>
    </row>
    <row r="4137" spans="1:8" x14ac:dyDescent="0.2">
      <c r="A4137" s="16"/>
      <c r="B4137" s="16"/>
      <c r="C4137" s="17"/>
      <c r="D4137" s="17"/>
      <c r="E4137" s="17"/>
      <c r="F4137" s="17"/>
      <c r="G4137" s="17"/>
      <c r="H4137" s="17"/>
    </row>
    <row r="4138" spans="1:8" x14ac:dyDescent="0.2">
      <c r="A4138" s="16"/>
      <c r="B4138" s="16"/>
      <c r="C4138" s="17"/>
      <c r="D4138" s="17"/>
      <c r="E4138" s="17"/>
      <c r="F4138" s="17"/>
      <c r="G4138" s="17"/>
      <c r="H4138" s="17"/>
    </row>
    <row r="4139" spans="1:8" x14ac:dyDescent="0.2">
      <c r="A4139" s="16"/>
      <c r="B4139" s="16"/>
      <c r="C4139" s="17"/>
      <c r="D4139" s="17"/>
      <c r="E4139" s="17"/>
      <c r="F4139" s="17"/>
      <c r="G4139" s="17"/>
      <c r="H4139" s="17"/>
    </row>
    <row r="4140" spans="1:8" x14ac:dyDescent="0.2">
      <c r="A4140" s="16"/>
      <c r="B4140" s="16"/>
      <c r="C4140" s="17"/>
      <c r="D4140" s="17"/>
      <c r="E4140" s="17"/>
      <c r="F4140" s="17"/>
      <c r="G4140" s="17"/>
      <c r="H4140" s="17"/>
    </row>
    <row r="4141" spans="1:8" x14ac:dyDescent="0.2">
      <c r="A4141" s="16"/>
      <c r="B4141" s="16"/>
      <c r="C4141" s="17"/>
      <c r="D4141" s="17"/>
      <c r="E4141" s="17"/>
      <c r="F4141" s="17"/>
      <c r="G4141" s="17"/>
      <c r="H4141" s="17"/>
    </row>
    <row r="4142" spans="1:8" x14ac:dyDescent="0.2">
      <c r="A4142" s="16"/>
      <c r="B4142" s="16"/>
      <c r="C4142" s="17"/>
      <c r="D4142" s="17"/>
      <c r="E4142" s="17"/>
      <c r="F4142" s="17"/>
      <c r="G4142" s="17"/>
      <c r="H4142" s="17"/>
    </row>
    <row r="4143" spans="1:8" x14ac:dyDescent="0.2">
      <c r="A4143" s="16"/>
      <c r="B4143" s="16"/>
      <c r="C4143" s="17"/>
      <c r="D4143" s="17"/>
      <c r="E4143" s="17"/>
      <c r="F4143" s="17"/>
      <c r="G4143" s="17"/>
      <c r="H4143" s="17"/>
    </row>
    <row r="4144" spans="1:8" x14ac:dyDescent="0.2">
      <c r="A4144" s="16"/>
      <c r="B4144" s="16"/>
      <c r="C4144" s="17"/>
      <c r="D4144" s="17"/>
      <c r="E4144" s="17"/>
      <c r="F4144" s="17"/>
      <c r="G4144" s="17"/>
      <c r="H4144" s="17"/>
    </row>
    <row r="4145" spans="1:8" x14ac:dyDescent="0.2">
      <c r="A4145" s="16"/>
      <c r="B4145" s="16"/>
      <c r="C4145" s="17"/>
      <c r="D4145" s="17"/>
      <c r="E4145" s="17"/>
      <c r="F4145" s="17"/>
      <c r="G4145" s="17"/>
      <c r="H4145" s="17"/>
    </row>
    <row r="4146" spans="1:8" x14ac:dyDescent="0.2">
      <c r="A4146" s="16"/>
      <c r="B4146" s="16"/>
      <c r="C4146" s="17"/>
      <c r="D4146" s="17"/>
      <c r="E4146" s="17"/>
      <c r="F4146" s="17"/>
      <c r="G4146" s="17"/>
      <c r="H4146" s="17"/>
    </row>
    <row r="4147" spans="1:8" x14ac:dyDescent="0.2">
      <c r="A4147" s="16"/>
      <c r="B4147" s="16"/>
      <c r="C4147" s="17"/>
      <c r="D4147" s="17"/>
      <c r="E4147" s="17"/>
      <c r="F4147" s="17"/>
      <c r="G4147" s="17"/>
      <c r="H4147" s="17"/>
    </row>
    <row r="4148" spans="1:8" x14ac:dyDescent="0.2">
      <c r="A4148" s="16"/>
      <c r="B4148" s="16"/>
      <c r="C4148" s="17"/>
      <c r="D4148" s="17"/>
      <c r="E4148" s="17"/>
      <c r="F4148" s="17"/>
      <c r="G4148" s="17"/>
      <c r="H4148" s="17"/>
    </row>
    <row r="4149" spans="1:8" x14ac:dyDescent="0.2">
      <c r="A4149" s="16"/>
      <c r="B4149" s="16"/>
      <c r="C4149" s="17"/>
      <c r="D4149" s="17"/>
      <c r="E4149" s="17"/>
      <c r="F4149" s="17"/>
      <c r="G4149" s="17"/>
      <c r="H4149" s="17"/>
    </row>
    <row r="4150" spans="1:8" x14ac:dyDescent="0.2">
      <c r="A4150" s="16"/>
      <c r="B4150" s="16"/>
      <c r="C4150" s="17"/>
      <c r="D4150" s="17"/>
      <c r="E4150" s="17"/>
      <c r="F4150" s="17"/>
      <c r="G4150" s="17"/>
      <c r="H4150" s="17"/>
    </row>
    <row r="4151" spans="1:8" x14ac:dyDescent="0.2">
      <c r="A4151" s="16"/>
      <c r="B4151" s="16"/>
      <c r="C4151" s="17"/>
      <c r="D4151" s="17"/>
      <c r="E4151" s="17"/>
      <c r="F4151" s="17"/>
      <c r="G4151" s="17"/>
      <c r="H4151" s="17"/>
    </row>
    <row r="4152" spans="1:8" x14ac:dyDescent="0.2">
      <c r="A4152" s="16"/>
      <c r="B4152" s="16"/>
      <c r="C4152" s="17"/>
      <c r="D4152" s="17"/>
      <c r="E4152" s="17"/>
      <c r="F4152" s="17"/>
      <c r="G4152" s="17"/>
      <c r="H4152" s="17"/>
    </row>
    <row r="4153" spans="1:8" x14ac:dyDescent="0.2">
      <c r="A4153" s="16"/>
      <c r="B4153" s="16"/>
      <c r="C4153" s="17"/>
      <c r="D4153" s="17"/>
      <c r="E4153" s="17"/>
      <c r="F4153" s="17"/>
      <c r="G4153" s="17"/>
      <c r="H4153" s="17"/>
    </row>
    <row r="4154" spans="1:8" x14ac:dyDescent="0.2">
      <c r="A4154" s="16"/>
      <c r="B4154" s="16"/>
      <c r="C4154" s="17"/>
      <c r="D4154" s="17"/>
      <c r="E4154" s="17"/>
      <c r="F4154" s="17"/>
      <c r="G4154" s="17"/>
      <c r="H4154" s="17"/>
    </row>
    <row r="4155" spans="1:8" x14ac:dyDescent="0.2">
      <c r="A4155" s="16"/>
      <c r="B4155" s="16"/>
      <c r="C4155" s="17"/>
      <c r="D4155" s="17"/>
      <c r="E4155" s="17"/>
      <c r="F4155" s="17"/>
      <c r="G4155" s="17"/>
      <c r="H4155" s="17"/>
    </row>
    <row r="4156" spans="1:8" x14ac:dyDescent="0.2">
      <c r="A4156" s="16"/>
      <c r="B4156" s="16"/>
      <c r="C4156" s="17"/>
      <c r="D4156" s="17"/>
      <c r="E4156" s="17"/>
      <c r="F4156" s="17"/>
      <c r="G4156" s="17"/>
      <c r="H4156" s="17"/>
    </row>
    <row r="4157" spans="1:8" x14ac:dyDescent="0.2">
      <c r="A4157" s="16"/>
      <c r="B4157" s="16"/>
      <c r="C4157" s="17"/>
      <c r="D4157" s="17"/>
      <c r="E4157" s="17"/>
      <c r="F4157" s="17"/>
      <c r="G4157" s="17"/>
      <c r="H4157" s="17"/>
    </row>
    <row r="4158" spans="1:8" x14ac:dyDescent="0.2">
      <c r="A4158" s="16"/>
      <c r="B4158" s="16"/>
      <c r="C4158" s="17"/>
      <c r="D4158" s="17"/>
      <c r="E4158" s="17"/>
      <c r="F4158" s="17"/>
      <c r="G4158" s="17"/>
      <c r="H4158" s="17"/>
    </row>
    <row r="4159" spans="1:8" x14ac:dyDescent="0.2">
      <c r="A4159" s="16"/>
      <c r="B4159" s="16"/>
      <c r="C4159" s="17"/>
      <c r="D4159" s="17"/>
      <c r="E4159" s="17"/>
      <c r="F4159" s="17"/>
      <c r="G4159" s="17"/>
      <c r="H4159" s="17"/>
    </row>
    <row r="4160" spans="1:8" x14ac:dyDescent="0.2">
      <c r="A4160" s="16"/>
      <c r="B4160" s="16"/>
      <c r="C4160" s="17"/>
      <c r="D4160" s="17"/>
      <c r="E4160" s="17"/>
      <c r="F4160" s="17"/>
      <c r="G4160" s="17"/>
      <c r="H4160" s="17"/>
    </row>
    <row r="4161" spans="1:8" x14ac:dyDescent="0.2">
      <c r="A4161" s="16"/>
      <c r="B4161" s="16"/>
      <c r="C4161" s="17"/>
      <c r="D4161" s="17"/>
      <c r="E4161" s="17"/>
      <c r="F4161" s="17"/>
      <c r="G4161" s="17"/>
      <c r="H4161" s="17"/>
    </row>
    <row r="4162" spans="1:8" x14ac:dyDescent="0.2">
      <c r="A4162" s="16"/>
      <c r="B4162" s="16"/>
      <c r="C4162" s="17"/>
      <c r="D4162" s="17"/>
      <c r="E4162" s="17"/>
      <c r="F4162" s="17"/>
      <c r="G4162" s="17"/>
      <c r="H4162" s="17"/>
    </row>
    <row r="4163" spans="1:8" x14ac:dyDescent="0.2">
      <c r="A4163" s="16"/>
      <c r="B4163" s="16"/>
      <c r="C4163" s="17"/>
      <c r="D4163" s="17"/>
      <c r="E4163" s="17"/>
      <c r="F4163" s="17"/>
      <c r="G4163" s="17"/>
      <c r="H4163" s="17"/>
    </row>
    <row r="4164" spans="1:8" x14ac:dyDescent="0.2">
      <c r="A4164" s="16"/>
      <c r="B4164" s="16"/>
      <c r="C4164" s="17"/>
      <c r="D4164" s="17"/>
      <c r="E4164" s="17"/>
      <c r="F4164" s="17"/>
      <c r="G4164" s="17"/>
      <c r="H4164" s="17"/>
    </row>
    <row r="4165" spans="1:8" x14ac:dyDescent="0.2">
      <c r="A4165" s="16"/>
      <c r="B4165" s="16"/>
      <c r="C4165" s="17"/>
      <c r="D4165" s="17"/>
      <c r="E4165" s="17"/>
      <c r="F4165" s="17"/>
      <c r="G4165" s="17"/>
      <c r="H4165" s="17"/>
    </row>
    <row r="4166" spans="1:8" x14ac:dyDescent="0.2">
      <c r="A4166" s="16"/>
      <c r="B4166" s="16"/>
      <c r="C4166" s="17"/>
      <c r="D4166" s="17"/>
      <c r="E4166" s="17"/>
      <c r="F4166" s="17"/>
      <c r="G4166" s="17"/>
      <c r="H4166" s="17"/>
    </row>
    <row r="4167" spans="1:8" x14ac:dyDescent="0.2">
      <c r="A4167" s="16"/>
      <c r="B4167" s="16"/>
      <c r="C4167" s="17"/>
      <c r="D4167" s="17"/>
      <c r="E4167" s="17"/>
      <c r="F4167" s="17"/>
      <c r="G4167" s="17"/>
      <c r="H4167" s="17"/>
    </row>
    <row r="4168" spans="1:8" x14ac:dyDescent="0.2">
      <c r="A4168" s="16"/>
      <c r="B4168" s="16"/>
      <c r="C4168" s="17"/>
      <c r="D4168" s="17"/>
      <c r="E4168" s="17"/>
      <c r="F4168" s="17"/>
      <c r="G4168" s="17"/>
      <c r="H4168" s="17"/>
    </row>
    <row r="4169" spans="1:8" x14ac:dyDescent="0.2">
      <c r="A4169" s="16"/>
      <c r="B4169" s="16"/>
      <c r="C4169" s="17"/>
      <c r="D4169" s="17"/>
      <c r="E4169" s="17"/>
      <c r="F4169" s="17"/>
      <c r="G4169" s="17"/>
      <c r="H4169" s="17"/>
    </row>
    <row r="4170" spans="1:8" x14ac:dyDescent="0.2">
      <c r="A4170" s="16"/>
      <c r="B4170" s="16"/>
      <c r="C4170" s="17"/>
      <c r="D4170" s="17"/>
      <c r="E4170" s="17"/>
      <c r="F4170" s="17"/>
      <c r="G4170" s="17"/>
      <c r="H4170" s="17"/>
    </row>
    <row r="4171" spans="1:8" x14ac:dyDescent="0.2">
      <c r="A4171" s="16"/>
      <c r="B4171" s="16"/>
      <c r="C4171" s="17"/>
      <c r="D4171" s="17"/>
      <c r="E4171" s="17"/>
      <c r="F4171" s="17"/>
      <c r="G4171" s="17"/>
      <c r="H4171" s="17"/>
    </row>
    <row r="4172" spans="1:8" x14ac:dyDescent="0.2">
      <c r="A4172" s="16"/>
      <c r="B4172" s="16"/>
      <c r="C4172" s="17"/>
      <c r="D4172" s="17"/>
      <c r="E4172" s="17"/>
      <c r="F4172" s="17"/>
      <c r="G4172" s="17"/>
      <c r="H4172" s="17"/>
    </row>
    <row r="4173" spans="1:8" x14ac:dyDescent="0.2">
      <c r="A4173" s="16"/>
      <c r="B4173" s="16"/>
      <c r="C4173" s="17"/>
      <c r="D4173" s="17"/>
      <c r="E4173" s="17"/>
      <c r="F4173" s="17"/>
      <c r="G4173" s="17"/>
      <c r="H4173" s="17"/>
    </row>
    <row r="4174" spans="1:8" x14ac:dyDescent="0.2">
      <c r="A4174" s="16"/>
      <c r="B4174" s="16"/>
      <c r="C4174" s="17"/>
      <c r="D4174" s="17"/>
      <c r="E4174" s="17"/>
      <c r="F4174" s="17"/>
      <c r="G4174" s="17"/>
      <c r="H4174" s="17"/>
    </row>
    <row r="4175" spans="1:8" x14ac:dyDescent="0.2">
      <c r="A4175" s="16"/>
      <c r="B4175" s="16"/>
      <c r="C4175" s="17"/>
      <c r="D4175" s="17"/>
      <c r="E4175" s="17"/>
      <c r="F4175" s="17"/>
      <c r="G4175" s="17"/>
      <c r="H4175" s="17"/>
    </row>
    <row r="4176" spans="1:8" x14ac:dyDescent="0.2">
      <c r="A4176" s="16"/>
      <c r="B4176" s="16"/>
      <c r="C4176" s="17"/>
      <c r="D4176" s="17"/>
      <c r="E4176" s="17"/>
      <c r="F4176" s="17"/>
      <c r="G4176" s="17"/>
      <c r="H4176" s="17"/>
    </row>
    <row r="4177" spans="1:8" x14ac:dyDescent="0.2">
      <c r="A4177" s="16"/>
      <c r="B4177" s="16"/>
      <c r="C4177" s="17"/>
      <c r="D4177" s="17"/>
      <c r="E4177" s="17"/>
      <c r="F4177" s="17"/>
      <c r="G4177" s="17"/>
      <c r="H4177" s="17"/>
    </row>
    <row r="4178" spans="1:8" x14ac:dyDescent="0.2">
      <c r="A4178" s="16"/>
      <c r="B4178" s="16"/>
      <c r="C4178" s="17"/>
      <c r="D4178" s="17"/>
      <c r="E4178" s="17"/>
      <c r="F4178" s="17"/>
      <c r="G4178" s="17"/>
      <c r="H4178" s="17"/>
    </row>
    <row r="4179" spans="1:8" x14ac:dyDescent="0.2">
      <c r="A4179" s="16"/>
      <c r="B4179" s="16"/>
      <c r="C4179" s="17"/>
      <c r="D4179" s="17"/>
      <c r="E4179" s="17"/>
      <c r="F4179" s="17"/>
      <c r="G4179" s="17"/>
      <c r="H4179" s="17"/>
    </row>
    <row r="4180" spans="1:8" x14ac:dyDescent="0.2">
      <c r="A4180" s="16"/>
      <c r="B4180" s="16"/>
      <c r="C4180" s="17"/>
      <c r="D4180" s="17"/>
      <c r="E4180" s="17"/>
      <c r="F4180" s="17"/>
      <c r="G4180" s="17"/>
      <c r="H4180" s="17"/>
    </row>
    <row r="4181" spans="1:8" x14ac:dyDescent="0.2">
      <c r="A4181" s="16"/>
      <c r="B4181" s="16"/>
      <c r="C4181" s="17"/>
      <c r="D4181" s="17"/>
      <c r="E4181" s="17"/>
      <c r="F4181" s="17"/>
      <c r="G4181" s="17"/>
      <c r="H4181" s="17"/>
    </row>
    <row r="4182" spans="1:8" x14ac:dyDescent="0.2">
      <c r="A4182" s="16"/>
      <c r="B4182" s="16"/>
      <c r="C4182" s="17"/>
      <c r="D4182" s="17"/>
      <c r="E4182" s="17"/>
      <c r="F4182" s="17"/>
      <c r="G4182" s="17"/>
      <c r="H4182" s="17"/>
    </row>
    <row r="4183" spans="1:8" x14ac:dyDescent="0.2">
      <c r="A4183" s="16"/>
      <c r="B4183" s="16"/>
      <c r="C4183" s="17"/>
      <c r="D4183" s="17"/>
      <c r="E4183" s="17"/>
      <c r="F4183" s="17"/>
      <c r="G4183" s="17"/>
      <c r="H4183" s="17"/>
    </row>
    <row r="4184" spans="1:8" x14ac:dyDescent="0.2">
      <c r="A4184" s="16"/>
      <c r="B4184" s="16"/>
      <c r="C4184" s="17"/>
      <c r="D4184" s="17"/>
      <c r="E4184" s="17"/>
      <c r="F4184" s="17"/>
      <c r="G4184" s="17"/>
      <c r="H4184" s="17"/>
    </row>
    <row r="4185" spans="1:8" x14ac:dyDescent="0.2">
      <c r="A4185" s="16"/>
      <c r="B4185" s="16"/>
      <c r="C4185" s="17"/>
      <c r="D4185" s="17"/>
      <c r="E4185" s="17"/>
      <c r="F4185" s="17"/>
      <c r="G4185" s="17"/>
      <c r="H4185" s="17"/>
    </row>
    <row r="4186" spans="1:8" x14ac:dyDescent="0.2">
      <c r="A4186" s="16"/>
      <c r="B4186" s="16"/>
      <c r="C4186" s="17"/>
      <c r="D4186" s="17"/>
      <c r="E4186" s="17"/>
      <c r="F4186" s="17"/>
      <c r="G4186" s="17"/>
      <c r="H4186" s="17"/>
    </row>
    <row r="4187" spans="1:8" x14ac:dyDescent="0.2">
      <c r="A4187" s="16"/>
      <c r="B4187" s="16"/>
      <c r="C4187" s="17"/>
      <c r="D4187" s="17"/>
      <c r="E4187" s="17"/>
      <c r="F4187" s="17"/>
      <c r="G4187" s="17"/>
      <c r="H4187" s="17"/>
    </row>
    <row r="4188" spans="1:8" x14ac:dyDescent="0.2">
      <c r="A4188" s="16"/>
      <c r="B4188" s="16"/>
      <c r="C4188" s="17"/>
      <c r="D4188" s="17"/>
      <c r="E4188" s="17"/>
      <c r="F4188" s="17"/>
      <c r="G4188" s="17"/>
      <c r="H4188" s="17"/>
    </row>
    <row r="4189" spans="1:8" x14ac:dyDescent="0.2">
      <c r="A4189" s="16"/>
      <c r="B4189" s="16"/>
      <c r="C4189" s="17"/>
      <c r="D4189" s="17"/>
      <c r="E4189" s="17"/>
      <c r="F4189" s="17"/>
      <c r="G4189" s="17"/>
      <c r="H4189" s="17"/>
    </row>
    <row r="4190" spans="1:8" x14ac:dyDescent="0.2">
      <c r="A4190" s="16"/>
      <c r="B4190" s="16"/>
      <c r="C4190" s="17"/>
      <c r="D4190" s="17"/>
      <c r="E4190" s="17"/>
      <c r="F4190" s="17"/>
      <c r="G4190" s="17"/>
      <c r="H4190" s="17"/>
    </row>
    <row r="4191" spans="1:8" x14ac:dyDescent="0.2">
      <c r="A4191" s="16"/>
      <c r="B4191" s="16"/>
      <c r="C4191" s="17"/>
      <c r="D4191" s="17"/>
      <c r="E4191" s="17"/>
      <c r="F4191" s="17"/>
      <c r="G4191" s="17"/>
      <c r="H4191" s="17"/>
    </row>
    <row r="4192" spans="1:8" x14ac:dyDescent="0.2">
      <c r="A4192" s="16"/>
      <c r="B4192" s="16"/>
      <c r="C4192" s="17"/>
      <c r="D4192" s="17"/>
      <c r="E4192" s="17"/>
      <c r="F4192" s="17"/>
      <c r="G4192" s="17"/>
      <c r="H4192" s="17"/>
    </row>
    <row r="4193" spans="1:8" x14ac:dyDescent="0.2">
      <c r="A4193" s="16"/>
      <c r="B4193" s="16"/>
      <c r="C4193" s="17"/>
      <c r="D4193" s="17"/>
      <c r="E4193" s="17"/>
      <c r="F4193" s="17"/>
      <c r="G4193" s="17"/>
      <c r="H4193" s="17"/>
    </row>
    <row r="4194" spans="1:8" x14ac:dyDescent="0.2">
      <c r="A4194" s="16"/>
      <c r="B4194" s="16"/>
      <c r="C4194" s="17"/>
      <c r="D4194" s="17"/>
      <c r="E4194" s="17"/>
      <c r="F4194" s="17"/>
      <c r="G4194" s="17"/>
      <c r="H4194" s="17"/>
    </row>
    <row r="4195" spans="1:8" x14ac:dyDescent="0.2">
      <c r="A4195" s="16"/>
      <c r="B4195" s="16"/>
      <c r="C4195" s="17"/>
      <c r="D4195" s="17"/>
      <c r="E4195" s="17"/>
      <c r="F4195" s="17"/>
      <c r="G4195" s="17"/>
      <c r="H4195" s="17"/>
    </row>
    <row r="4196" spans="1:8" x14ac:dyDescent="0.2">
      <c r="A4196" s="16"/>
      <c r="B4196" s="16"/>
      <c r="C4196" s="17"/>
      <c r="D4196" s="17"/>
      <c r="E4196" s="17"/>
      <c r="F4196" s="17"/>
      <c r="G4196" s="17"/>
      <c r="H4196" s="17"/>
    </row>
    <row r="4197" spans="1:8" x14ac:dyDescent="0.2">
      <c r="A4197" s="16"/>
      <c r="B4197" s="16"/>
      <c r="C4197" s="17"/>
      <c r="D4197" s="17"/>
      <c r="E4197" s="17"/>
      <c r="F4197" s="17"/>
      <c r="G4197" s="17"/>
      <c r="H4197" s="17"/>
    </row>
    <row r="4198" spans="1:8" x14ac:dyDescent="0.2">
      <c r="A4198" s="16"/>
      <c r="B4198" s="16"/>
      <c r="C4198" s="17"/>
      <c r="D4198" s="17"/>
      <c r="E4198" s="17"/>
      <c r="F4198" s="17"/>
      <c r="G4198" s="17"/>
      <c r="H4198" s="17"/>
    </row>
    <row r="4199" spans="1:8" x14ac:dyDescent="0.2">
      <c r="A4199" s="16"/>
      <c r="B4199" s="16"/>
      <c r="C4199" s="17"/>
      <c r="D4199" s="17"/>
      <c r="E4199" s="17"/>
      <c r="F4199" s="17"/>
      <c r="G4199" s="17"/>
      <c r="H4199" s="17"/>
    </row>
    <row r="4200" spans="1:8" x14ac:dyDescent="0.2">
      <c r="A4200" s="16"/>
      <c r="B4200" s="16"/>
      <c r="C4200" s="17"/>
      <c r="D4200" s="17"/>
      <c r="E4200" s="17"/>
      <c r="F4200" s="17"/>
      <c r="G4200" s="17"/>
      <c r="H4200" s="17"/>
    </row>
    <row r="4201" spans="1:8" x14ac:dyDescent="0.2">
      <c r="A4201" s="16"/>
      <c r="B4201" s="16"/>
      <c r="C4201" s="17"/>
      <c r="D4201" s="17"/>
      <c r="E4201" s="17"/>
      <c r="F4201" s="17"/>
      <c r="G4201" s="17"/>
      <c r="H4201" s="17"/>
    </row>
    <row r="4202" spans="1:8" x14ac:dyDescent="0.2">
      <c r="A4202" s="16"/>
      <c r="B4202" s="16"/>
      <c r="C4202" s="17"/>
      <c r="D4202" s="17"/>
      <c r="E4202" s="17"/>
      <c r="F4202" s="17"/>
      <c r="G4202" s="17"/>
      <c r="H4202" s="17"/>
    </row>
    <row r="4203" spans="1:8" x14ac:dyDescent="0.2">
      <c r="A4203" s="16"/>
      <c r="B4203" s="16"/>
      <c r="C4203" s="17"/>
      <c r="D4203" s="17"/>
      <c r="E4203" s="17"/>
      <c r="F4203" s="17"/>
      <c r="G4203" s="17"/>
      <c r="H4203" s="17"/>
    </row>
    <row r="4204" spans="1:8" x14ac:dyDescent="0.2">
      <c r="A4204" s="16"/>
      <c r="B4204" s="16"/>
      <c r="C4204" s="17"/>
      <c r="D4204" s="17"/>
      <c r="E4204" s="17"/>
      <c r="F4204" s="17"/>
      <c r="G4204" s="17"/>
      <c r="H4204" s="17"/>
    </row>
    <row r="4205" spans="1:8" x14ac:dyDescent="0.2">
      <c r="A4205" s="16"/>
      <c r="B4205" s="16"/>
      <c r="C4205" s="17"/>
      <c r="D4205" s="17"/>
      <c r="E4205" s="17"/>
      <c r="F4205" s="17"/>
      <c r="G4205" s="17"/>
      <c r="H4205" s="17"/>
    </row>
    <row r="4206" spans="1:8" x14ac:dyDescent="0.2">
      <c r="A4206" s="16"/>
      <c r="B4206" s="16"/>
      <c r="C4206" s="17"/>
      <c r="D4206" s="17"/>
      <c r="E4206" s="17"/>
      <c r="F4206" s="17"/>
      <c r="G4206" s="17"/>
      <c r="H4206" s="17"/>
    </row>
    <row r="4207" spans="1:8" x14ac:dyDescent="0.2">
      <c r="A4207" s="16"/>
      <c r="B4207" s="16"/>
      <c r="C4207" s="17"/>
      <c r="D4207" s="17"/>
      <c r="E4207" s="17"/>
      <c r="F4207" s="17"/>
      <c r="G4207" s="17"/>
      <c r="H4207" s="17"/>
    </row>
    <row r="4208" spans="1:8" x14ac:dyDescent="0.2">
      <c r="A4208" s="16"/>
      <c r="B4208" s="16"/>
      <c r="C4208" s="17"/>
      <c r="D4208" s="17"/>
      <c r="E4208" s="17"/>
      <c r="F4208" s="17"/>
      <c r="G4208" s="17"/>
      <c r="H4208" s="17"/>
    </row>
    <row r="4209" spans="1:8" x14ac:dyDescent="0.2">
      <c r="A4209" s="16"/>
      <c r="B4209" s="16"/>
      <c r="C4209" s="17"/>
      <c r="D4209" s="17"/>
      <c r="E4209" s="17"/>
      <c r="F4209" s="17"/>
      <c r="G4209" s="17"/>
      <c r="H4209" s="17"/>
    </row>
    <row r="4210" spans="1:8" x14ac:dyDescent="0.2">
      <c r="A4210" s="16"/>
      <c r="B4210" s="16"/>
      <c r="C4210" s="17"/>
      <c r="D4210" s="17"/>
      <c r="E4210" s="17"/>
      <c r="F4210" s="17"/>
      <c r="G4210" s="17"/>
      <c r="H4210" s="17"/>
    </row>
    <row r="4211" spans="1:8" x14ac:dyDescent="0.2">
      <c r="A4211" s="16"/>
      <c r="B4211" s="16"/>
      <c r="C4211" s="17"/>
      <c r="D4211" s="17"/>
      <c r="E4211" s="17"/>
      <c r="F4211" s="17"/>
      <c r="G4211" s="17"/>
      <c r="H4211" s="17"/>
    </row>
    <row r="4212" spans="1:8" x14ac:dyDescent="0.2">
      <c r="A4212" s="16"/>
      <c r="B4212" s="16"/>
      <c r="C4212" s="17"/>
      <c r="D4212" s="17"/>
      <c r="E4212" s="17"/>
      <c r="F4212" s="17"/>
      <c r="G4212" s="17"/>
      <c r="H4212" s="17"/>
    </row>
    <row r="4213" spans="1:8" x14ac:dyDescent="0.2">
      <c r="A4213" s="16"/>
      <c r="B4213" s="16"/>
      <c r="C4213" s="17"/>
      <c r="D4213" s="17"/>
      <c r="E4213" s="17"/>
      <c r="F4213" s="17"/>
      <c r="G4213" s="17"/>
      <c r="H4213" s="17"/>
    </row>
    <row r="4214" spans="1:8" x14ac:dyDescent="0.2">
      <c r="A4214" s="16"/>
      <c r="B4214" s="16"/>
      <c r="C4214" s="17"/>
      <c r="D4214" s="17"/>
      <c r="E4214" s="17"/>
      <c r="F4214" s="17"/>
      <c r="G4214" s="17"/>
      <c r="H4214" s="17"/>
    </row>
    <row r="4215" spans="1:8" x14ac:dyDescent="0.2">
      <c r="A4215" s="16"/>
      <c r="B4215" s="16"/>
      <c r="C4215" s="17"/>
      <c r="D4215" s="17"/>
      <c r="E4215" s="17"/>
      <c r="F4215" s="17"/>
      <c r="G4215" s="17"/>
      <c r="H4215" s="17"/>
    </row>
    <row r="4216" spans="1:8" x14ac:dyDescent="0.2">
      <c r="A4216" s="16"/>
      <c r="B4216" s="16"/>
      <c r="C4216" s="17"/>
      <c r="D4216" s="17"/>
      <c r="E4216" s="17"/>
      <c r="F4216" s="17"/>
      <c r="G4216" s="17"/>
      <c r="H4216" s="17"/>
    </row>
    <row r="4217" spans="1:8" x14ac:dyDescent="0.2">
      <c r="A4217" s="16"/>
      <c r="B4217" s="16"/>
      <c r="C4217" s="17"/>
      <c r="D4217" s="17"/>
      <c r="E4217" s="17"/>
      <c r="F4217" s="17"/>
      <c r="G4217" s="17"/>
      <c r="H4217" s="17"/>
    </row>
    <row r="4218" spans="1:8" x14ac:dyDescent="0.2">
      <c r="A4218" s="16"/>
      <c r="B4218" s="16"/>
      <c r="C4218" s="17"/>
      <c r="D4218" s="17"/>
      <c r="E4218" s="17"/>
      <c r="F4218" s="17"/>
      <c r="G4218" s="17"/>
      <c r="H4218" s="17"/>
    </row>
    <row r="4219" spans="1:8" x14ac:dyDescent="0.2">
      <c r="A4219" s="16"/>
      <c r="B4219" s="16"/>
      <c r="C4219" s="17"/>
      <c r="D4219" s="17"/>
      <c r="E4219" s="17"/>
      <c r="F4219" s="17"/>
      <c r="G4219" s="17"/>
      <c r="H4219" s="17"/>
    </row>
    <row r="4220" spans="1:8" x14ac:dyDescent="0.2">
      <c r="A4220" s="16"/>
      <c r="B4220" s="16"/>
      <c r="C4220" s="17"/>
      <c r="D4220" s="17"/>
      <c r="E4220" s="17"/>
      <c r="F4220" s="17"/>
      <c r="G4220" s="17"/>
      <c r="H4220" s="17"/>
    </row>
    <row r="4221" spans="1:8" x14ac:dyDescent="0.2">
      <c r="A4221" s="16"/>
      <c r="B4221" s="16"/>
      <c r="C4221" s="17"/>
      <c r="D4221" s="17"/>
      <c r="E4221" s="17"/>
      <c r="F4221" s="17"/>
      <c r="G4221" s="17"/>
      <c r="H4221" s="17"/>
    </row>
    <row r="4222" spans="1:8" x14ac:dyDescent="0.2">
      <c r="A4222" s="16"/>
      <c r="B4222" s="16"/>
      <c r="C4222" s="17"/>
      <c r="D4222" s="17"/>
      <c r="E4222" s="17"/>
      <c r="F4222" s="17"/>
      <c r="G4222" s="17"/>
      <c r="H4222" s="17"/>
    </row>
    <row r="4223" spans="1:8" x14ac:dyDescent="0.2">
      <c r="A4223" s="16"/>
      <c r="B4223" s="16"/>
      <c r="C4223" s="17"/>
      <c r="D4223" s="17"/>
      <c r="E4223" s="17"/>
      <c r="F4223" s="17"/>
      <c r="G4223" s="17"/>
      <c r="H4223" s="17"/>
    </row>
    <row r="4224" spans="1:8" x14ac:dyDescent="0.2">
      <c r="A4224" s="16"/>
      <c r="B4224" s="16"/>
      <c r="C4224" s="17"/>
      <c r="D4224" s="17"/>
      <c r="E4224" s="17"/>
      <c r="F4224" s="17"/>
      <c r="G4224" s="17"/>
      <c r="H4224" s="17"/>
    </row>
    <row r="4225" spans="1:8" x14ac:dyDescent="0.2">
      <c r="A4225" s="16"/>
      <c r="B4225" s="16"/>
      <c r="C4225" s="17"/>
      <c r="D4225" s="17"/>
      <c r="E4225" s="17"/>
      <c r="F4225" s="17"/>
      <c r="G4225" s="17"/>
      <c r="H4225" s="17"/>
    </row>
    <row r="4226" spans="1:8" x14ac:dyDescent="0.2">
      <c r="A4226" s="16"/>
      <c r="B4226" s="16"/>
      <c r="C4226" s="17"/>
      <c r="D4226" s="17"/>
      <c r="E4226" s="17"/>
      <c r="F4226" s="17"/>
      <c r="G4226" s="17"/>
      <c r="H4226" s="17"/>
    </row>
    <row r="4227" spans="1:8" x14ac:dyDescent="0.2">
      <c r="A4227" s="16"/>
      <c r="B4227" s="16"/>
      <c r="C4227" s="17"/>
      <c r="D4227" s="17"/>
      <c r="E4227" s="17"/>
      <c r="F4227" s="17"/>
      <c r="G4227" s="17"/>
      <c r="H4227" s="17"/>
    </row>
    <row r="4228" spans="1:8" x14ac:dyDescent="0.2">
      <c r="A4228" s="16"/>
      <c r="B4228" s="16"/>
      <c r="C4228" s="17"/>
      <c r="D4228" s="17"/>
      <c r="E4228" s="17"/>
      <c r="F4228" s="17"/>
      <c r="G4228" s="17"/>
      <c r="H4228" s="17"/>
    </row>
    <row r="4229" spans="1:8" x14ac:dyDescent="0.2">
      <c r="A4229" s="16"/>
      <c r="B4229" s="16"/>
      <c r="C4229" s="17"/>
      <c r="D4229" s="17"/>
      <c r="E4229" s="17"/>
      <c r="F4229" s="17"/>
      <c r="G4229" s="17"/>
      <c r="H4229" s="17"/>
    </row>
    <row r="4230" spans="1:8" x14ac:dyDescent="0.2">
      <c r="A4230" s="16"/>
      <c r="B4230" s="16"/>
      <c r="C4230" s="17"/>
      <c r="D4230" s="17"/>
      <c r="E4230" s="17"/>
      <c r="F4230" s="17"/>
      <c r="G4230" s="17"/>
      <c r="H4230" s="17"/>
    </row>
    <row r="4231" spans="1:8" x14ac:dyDescent="0.2">
      <c r="A4231" s="16"/>
      <c r="B4231" s="16"/>
      <c r="C4231" s="17"/>
      <c r="D4231" s="17"/>
      <c r="E4231" s="17"/>
      <c r="F4231" s="17"/>
      <c r="G4231" s="17"/>
      <c r="H4231" s="17"/>
    </row>
    <row r="4232" spans="1:8" x14ac:dyDescent="0.2">
      <c r="A4232" s="16"/>
      <c r="B4232" s="16"/>
      <c r="C4232" s="17"/>
      <c r="D4232" s="17"/>
      <c r="E4232" s="17"/>
      <c r="F4232" s="17"/>
      <c r="G4232" s="17"/>
      <c r="H4232" s="17"/>
    </row>
    <row r="4233" spans="1:8" x14ac:dyDescent="0.2">
      <c r="A4233" s="16"/>
      <c r="B4233" s="16"/>
      <c r="C4233" s="17"/>
      <c r="D4233" s="17"/>
      <c r="E4233" s="17"/>
      <c r="F4233" s="17"/>
      <c r="G4233" s="17"/>
      <c r="H4233" s="17"/>
    </row>
    <row r="4234" spans="1:8" x14ac:dyDescent="0.2">
      <c r="A4234" s="16"/>
      <c r="B4234" s="16"/>
      <c r="C4234" s="17"/>
      <c r="D4234" s="17"/>
      <c r="E4234" s="17"/>
      <c r="F4234" s="17"/>
      <c r="G4234" s="17"/>
      <c r="H4234" s="17"/>
    </row>
    <row r="4235" spans="1:8" x14ac:dyDescent="0.2">
      <c r="A4235" s="16"/>
      <c r="B4235" s="16"/>
      <c r="C4235" s="17"/>
      <c r="D4235" s="17"/>
      <c r="E4235" s="17"/>
      <c r="F4235" s="17"/>
      <c r="G4235" s="17"/>
      <c r="H4235" s="17"/>
    </row>
    <row r="4236" spans="1:8" x14ac:dyDescent="0.2">
      <c r="A4236" s="16"/>
      <c r="B4236" s="16"/>
      <c r="C4236" s="17"/>
      <c r="D4236" s="17"/>
      <c r="E4236" s="17"/>
      <c r="F4236" s="17"/>
      <c r="G4236" s="17"/>
      <c r="H4236" s="17"/>
    </row>
    <row r="4237" spans="1:8" x14ac:dyDescent="0.2">
      <c r="A4237" s="16"/>
      <c r="B4237" s="16"/>
      <c r="C4237" s="17"/>
      <c r="D4237" s="17"/>
      <c r="E4237" s="17"/>
      <c r="F4237" s="17"/>
      <c r="G4237" s="17"/>
      <c r="H4237" s="17"/>
    </row>
    <row r="4238" spans="1:8" x14ac:dyDescent="0.2">
      <c r="A4238" s="16"/>
      <c r="B4238" s="16"/>
      <c r="C4238" s="17"/>
      <c r="D4238" s="17"/>
      <c r="E4238" s="17"/>
      <c r="F4238" s="17"/>
      <c r="G4238" s="17"/>
      <c r="H4238" s="17"/>
    </row>
    <row r="4239" spans="1:8" x14ac:dyDescent="0.2">
      <c r="A4239" s="16"/>
      <c r="B4239" s="16"/>
      <c r="C4239" s="17"/>
      <c r="D4239" s="17"/>
      <c r="E4239" s="17"/>
      <c r="F4239" s="17"/>
      <c r="G4239" s="17"/>
      <c r="H4239" s="17"/>
    </row>
    <row r="4240" spans="1:8" x14ac:dyDescent="0.2">
      <c r="A4240" s="16"/>
      <c r="B4240" s="16"/>
      <c r="C4240" s="17"/>
      <c r="D4240" s="17"/>
      <c r="E4240" s="17"/>
      <c r="F4240" s="17"/>
      <c r="G4240" s="17"/>
      <c r="H4240" s="17"/>
    </row>
    <row r="4241" spans="1:8" x14ac:dyDescent="0.2">
      <c r="A4241" s="16"/>
      <c r="B4241" s="16"/>
      <c r="C4241" s="17"/>
      <c r="D4241" s="17"/>
      <c r="E4241" s="17"/>
      <c r="F4241" s="17"/>
      <c r="G4241" s="17"/>
      <c r="H4241" s="17"/>
    </row>
    <row r="4242" spans="1:8" x14ac:dyDescent="0.2">
      <c r="A4242" s="16"/>
      <c r="B4242" s="16"/>
      <c r="C4242" s="17"/>
      <c r="D4242" s="17"/>
      <c r="E4242" s="17"/>
      <c r="F4242" s="17"/>
      <c r="G4242" s="17"/>
      <c r="H4242" s="17"/>
    </row>
    <row r="4243" spans="1:8" x14ac:dyDescent="0.2">
      <c r="A4243" s="16"/>
      <c r="B4243" s="16"/>
      <c r="C4243" s="17"/>
      <c r="D4243" s="17"/>
      <c r="E4243" s="17"/>
      <c r="F4243" s="17"/>
      <c r="G4243" s="17"/>
      <c r="H4243" s="17"/>
    </row>
    <row r="4244" spans="1:8" x14ac:dyDescent="0.2">
      <c r="A4244" s="16"/>
      <c r="B4244" s="16"/>
      <c r="C4244" s="17"/>
      <c r="D4244" s="17"/>
      <c r="E4244" s="17"/>
      <c r="F4244" s="17"/>
      <c r="G4244" s="17"/>
      <c r="H4244" s="17"/>
    </row>
    <row r="4245" spans="1:8" x14ac:dyDescent="0.2">
      <c r="A4245" s="16"/>
      <c r="B4245" s="16"/>
      <c r="C4245" s="17"/>
      <c r="D4245" s="17"/>
      <c r="E4245" s="17"/>
      <c r="F4245" s="17"/>
      <c r="G4245" s="17"/>
      <c r="H4245" s="17"/>
    </row>
    <row r="4246" spans="1:8" x14ac:dyDescent="0.2">
      <c r="A4246" s="16"/>
      <c r="B4246" s="16"/>
      <c r="C4246" s="17"/>
      <c r="D4246" s="17"/>
      <c r="E4246" s="17"/>
      <c r="F4246" s="17"/>
      <c r="G4246" s="17"/>
      <c r="H4246" s="17"/>
    </row>
    <row r="4247" spans="1:8" x14ac:dyDescent="0.2">
      <c r="A4247" s="16"/>
      <c r="B4247" s="16"/>
      <c r="C4247" s="17"/>
      <c r="D4247" s="17"/>
      <c r="E4247" s="17"/>
      <c r="F4247" s="17"/>
      <c r="G4247" s="17"/>
      <c r="H4247" s="17"/>
    </row>
    <row r="4248" spans="1:8" x14ac:dyDescent="0.2">
      <c r="A4248" s="16"/>
      <c r="B4248" s="16"/>
      <c r="C4248" s="17"/>
      <c r="D4248" s="17"/>
      <c r="E4248" s="17"/>
      <c r="F4248" s="17"/>
      <c r="G4248" s="17"/>
      <c r="H4248" s="17"/>
    </row>
    <row r="4249" spans="1:8" x14ac:dyDescent="0.2">
      <c r="A4249" s="16"/>
      <c r="B4249" s="16"/>
      <c r="C4249" s="17"/>
      <c r="D4249" s="17"/>
      <c r="E4249" s="17"/>
      <c r="F4249" s="17"/>
      <c r="G4249" s="17"/>
      <c r="H4249" s="17"/>
    </row>
    <row r="4250" spans="1:8" x14ac:dyDescent="0.2">
      <c r="A4250" s="16"/>
      <c r="B4250" s="16"/>
      <c r="C4250" s="17"/>
      <c r="D4250" s="17"/>
      <c r="E4250" s="17"/>
      <c r="F4250" s="17"/>
      <c r="G4250" s="17"/>
      <c r="H4250" s="17"/>
    </row>
    <row r="4251" spans="1:8" x14ac:dyDescent="0.2">
      <c r="A4251" s="16"/>
      <c r="B4251" s="16"/>
      <c r="C4251" s="17"/>
      <c r="D4251" s="17"/>
      <c r="E4251" s="17"/>
      <c r="F4251" s="17"/>
      <c r="G4251" s="17"/>
      <c r="H4251" s="17"/>
    </row>
  </sheetData>
  <phoneticPr fontId="6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</sheetPr>
  <dimension ref="A6:AP74"/>
  <sheetViews>
    <sheetView view="pageBreakPreview" zoomScaleNormal="115" zoomScaleSheetLayoutView="100" workbookViewId="0">
      <pane xSplit="2" ySplit="7" topLeftCell="C8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2.75" x14ac:dyDescent="0.2"/>
  <cols>
    <col min="1" max="1" width="12.42578125" style="204" bestFit="1" customWidth="1"/>
    <col min="2" max="2" width="52.42578125" style="204" bestFit="1" customWidth="1"/>
    <col min="3" max="5" width="9.85546875" style="204" bestFit="1" customWidth="1"/>
    <col min="6" max="8" width="9" style="204" bestFit="1" customWidth="1"/>
    <col min="9" max="14" width="9.85546875" style="204" bestFit="1" customWidth="1"/>
    <col min="15" max="15" width="12.42578125" style="459" bestFit="1" customWidth="1"/>
    <col min="16" max="18" width="9.85546875" style="204" bestFit="1" customWidth="1"/>
    <col min="19" max="19" width="12.42578125" style="459" bestFit="1" customWidth="1"/>
    <col min="20" max="21" width="9.85546875" style="210" bestFit="1" customWidth="1"/>
    <col min="22" max="30" width="9.85546875" style="34" bestFit="1" customWidth="1"/>
    <col min="31" max="31" width="11.42578125" style="34" bestFit="1" customWidth="1"/>
    <col min="32" max="32" width="12.85546875" style="454" bestFit="1" customWidth="1"/>
    <col min="33" max="33" width="10.5703125" style="204" bestFit="1" customWidth="1"/>
    <col min="34" max="34" width="11.140625" style="204" bestFit="1" customWidth="1"/>
    <col min="35" max="38" width="10.5703125" style="204" bestFit="1" customWidth="1"/>
    <col min="39" max="16384" width="9.140625" style="204"/>
  </cols>
  <sheetData>
    <row r="6" spans="1:42" x14ac:dyDescent="0.2">
      <c r="L6" s="443"/>
      <c r="M6" s="443"/>
      <c r="N6" s="443"/>
      <c r="O6" s="444"/>
      <c r="P6" s="443"/>
      <c r="Q6" s="443"/>
      <c r="R6" s="443"/>
      <c r="S6" s="444"/>
      <c r="T6" s="445"/>
      <c r="U6" s="445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7"/>
      <c r="AG6" s="714" t="s">
        <v>552</v>
      </c>
      <c r="AH6" s="714"/>
      <c r="AI6" s="714"/>
      <c r="AJ6" s="714"/>
      <c r="AK6" s="714"/>
      <c r="AL6" s="714"/>
    </row>
    <row r="7" spans="1:42" x14ac:dyDescent="0.2">
      <c r="C7" s="449">
        <f t="shared" ref="C7" si="0">EOMONTH(D7,-1)</f>
        <v>42094</v>
      </c>
      <c r="D7" s="449">
        <f t="shared" ref="D7" si="1">EOMONTH(E7,-1)</f>
        <v>42124</v>
      </c>
      <c r="E7" s="449">
        <f t="shared" ref="E7" si="2">EOMONTH(F7,-1)</f>
        <v>42155</v>
      </c>
      <c r="F7" s="449">
        <f t="shared" ref="F7:P7" si="3">EOMONTH(G7,-1)</f>
        <v>42185</v>
      </c>
      <c r="G7" s="449">
        <f t="shared" si="3"/>
        <v>42216</v>
      </c>
      <c r="H7" s="449">
        <f t="shared" si="3"/>
        <v>42247</v>
      </c>
      <c r="I7" s="449">
        <f t="shared" si="3"/>
        <v>42277</v>
      </c>
      <c r="J7" s="449">
        <f t="shared" si="3"/>
        <v>42308</v>
      </c>
      <c r="K7" s="449">
        <f t="shared" si="3"/>
        <v>42338</v>
      </c>
      <c r="L7" s="449">
        <f t="shared" si="3"/>
        <v>42369</v>
      </c>
      <c r="M7" s="449">
        <f t="shared" si="3"/>
        <v>42400</v>
      </c>
      <c r="N7" s="449">
        <f>EOMONTH(P7,-1)</f>
        <v>42429</v>
      </c>
      <c r="O7" s="450" t="s">
        <v>621</v>
      </c>
      <c r="P7" s="449">
        <f t="shared" si="3"/>
        <v>42460</v>
      </c>
      <c r="Q7" s="449">
        <f>EOMONTH(R7,-1)</f>
        <v>42490</v>
      </c>
      <c r="R7" s="449">
        <f>EOMONTH(T7,-1)</f>
        <v>42521</v>
      </c>
      <c r="S7" s="450"/>
      <c r="T7" s="461">
        <v>42551</v>
      </c>
      <c r="U7" s="449">
        <f>EOMONTH(T7,1)</f>
        <v>42582</v>
      </c>
      <c r="V7" s="449">
        <f t="shared" ref="V7:AE7" si="4">EOMONTH(U7,1)</f>
        <v>42613</v>
      </c>
      <c r="W7" s="449">
        <f t="shared" si="4"/>
        <v>42643</v>
      </c>
      <c r="X7" s="449">
        <f t="shared" si="4"/>
        <v>42674</v>
      </c>
      <c r="Y7" s="449">
        <f t="shared" si="4"/>
        <v>42704</v>
      </c>
      <c r="Z7" s="449">
        <f t="shared" si="4"/>
        <v>42735</v>
      </c>
      <c r="AA7" s="449">
        <f t="shared" si="4"/>
        <v>42766</v>
      </c>
      <c r="AB7" s="449">
        <f t="shared" si="4"/>
        <v>42794</v>
      </c>
      <c r="AC7" s="449">
        <f t="shared" si="4"/>
        <v>42825</v>
      </c>
      <c r="AD7" s="449">
        <f t="shared" si="4"/>
        <v>42855</v>
      </c>
      <c r="AE7" s="449">
        <f t="shared" si="4"/>
        <v>42886</v>
      </c>
      <c r="AF7" s="451" t="s">
        <v>337</v>
      </c>
      <c r="AG7" s="452">
        <v>2015</v>
      </c>
      <c r="AH7" s="452">
        <f>AG7+1</f>
        <v>2016</v>
      </c>
      <c r="AI7" s="452">
        <f>+AH7+1</f>
        <v>2017</v>
      </c>
      <c r="AJ7" s="452">
        <f>+AI7+1</f>
        <v>2018</v>
      </c>
      <c r="AK7" s="452">
        <f t="shared" ref="AK7:AL7" si="5">+AJ7+1</f>
        <v>2019</v>
      </c>
      <c r="AL7" s="452">
        <f t="shared" si="5"/>
        <v>2020</v>
      </c>
    </row>
    <row r="8" spans="1:42" x14ac:dyDescent="0.2">
      <c r="B8" s="210"/>
      <c r="C8" s="210"/>
      <c r="D8" s="210"/>
      <c r="E8" s="210"/>
      <c r="F8" s="210"/>
      <c r="G8" s="210"/>
      <c r="H8" s="210"/>
      <c r="I8" s="210"/>
      <c r="J8" s="210"/>
      <c r="K8" s="210"/>
    </row>
    <row r="9" spans="1:42" ht="15.75" x14ac:dyDescent="0.25">
      <c r="A9" s="462"/>
      <c r="B9" s="463" t="s">
        <v>326</v>
      </c>
      <c r="C9" s="463"/>
      <c r="D9" s="463"/>
      <c r="E9" s="463"/>
      <c r="F9" s="463"/>
      <c r="G9" s="463"/>
      <c r="H9" s="463"/>
      <c r="I9" s="463"/>
      <c r="J9" s="463"/>
      <c r="K9" s="463"/>
    </row>
    <row r="10" spans="1:42" ht="15.75" x14ac:dyDescent="0.25">
      <c r="A10" s="464"/>
      <c r="B10" s="463" t="s">
        <v>327</v>
      </c>
      <c r="C10" s="463"/>
      <c r="D10" s="463"/>
      <c r="E10" s="463"/>
      <c r="F10" s="463"/>
      <c r="G10" s="463"/>
      <c r="H10" s="463"/>
      <c r="I10" s="463"/>
      <c r="J10" s="463"/>
      <c r="K10" s="463"/>
      <c r="L10" s="357"/>
      <c r="M10" s="357"/>
      <c r="N10" s="357"/>
      <c r="O10" s="454"/>
      <c r="P10" s="385"/>
      <c r="Q10" s="385"/>
      <c r="R10" s="385"/>
      <c r="S10" s="454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G10" s="385"/>
      <c r="AH10" s="385"/>
      <c r="AI10" s="385"/>
      <c r="AJ10" s="385"/>
      <c r="AK10" s="385"/>
      <c r="AL10" s="385"/>
      <c r="AM10" s="357"/>
      <c r="AN10" s="357"/>
      <c r="AO10" s="357"/>
      <c r="AP10" s="357"/>
    </row>
    <row r="11" spans="1:42" ht="15.75" x14ac:dyDescent="0.25">
      <c r="A11" s="465">
        <v>4800</v>
      </c>
      <c r="B11" s="457" t="s">
        <v>94</v>
      </c>
      <c r="C11" s="45">
        <f>'Monthly Forecast'!J11+'Monthly Forecast'!J18</f>
        <v>14961459.8255668</v>
      </c>
      <c r="D11" s="45">
        <f>'Monthly Forecast'!K11+'Monthly Forecast'!K18</f>
        <v>9282454.3817365486</v>
      </c>
      <c r="E11" s="45">
        <f>'Monthly Forecast'!L11+'Monthly Forecast'!L18</f>
        <v>5604436.8406755198</v>
      </c>
      <c r="F11" s="45">
        <f>'Monthly Forecast'!M11+'Monthly Forecast'!M18</f>
        <v>4313636.2732859198</v>
      </c>
      <c r="G11" s="45">
        <f>'Monthly Forecast'!N11+'Monthly Forecast'!N18</f>
        <v>3962853.9348184797</v>
      </c>
      <c r="H11" s="45">
        <f>'Monthly Forecast'!O11+'Monthly Forecast'!O18</f>
        <v>3747389.50895464</v>
      </c>
      <c r="I11" s="45">
        <f>'Monthly Forecast'!P11+'Monthly Forecast'!P18</f>
        <v>3769417.3919671541</v>
      </c>
      <c r="J11" s="45">
        <f>'Monthly Forecast'!Q11+'Monthly Forecast'!Q18</f>
        <v>4724297.1339690275</v>
      </c>
      <c r="K11" s="45">
        <f>'Monthly Forecast'!R11+'Monthly Forecast'!R18</f>
        <v>8123138.5437027179</v>
      </c>
      <c r="L11" s="45">
        <f>'Monthly Forecast'!S11+'Monthly Forecast'!S18</f>
        <v>12098616.986870199</v>
      </c>
      <c r="M11" s="45">
        <f>'Monthly Forecast'!T11+'Monthly Forecast'!T18</f>
        <v>13698809.21547522</v>
      </c>
      <c r="N11" s="45">
        <f>'Monthly Forecast'!U11+'Monthly Forecast'!U18</f>
        <v>13428215.027079664</v>
      </c>
      <c r="O11" s="454">
        <f>SUM(C11:N11)</f>
        <v>97714725.064101875</v>
      </c>
      <c r="P11" s="45">
        <f>'Monthly Forecast'!V11+'Monthly Forecast'!V18</f>
        <v>12721823.781864733</v>
      </c>
      <c r="Q11" s="45">
        <f>'Monthly Forecast'!W11+'Monthly Forecast'!W18</f>
        <v>8214889.6193824504</v>
      </c>
      <c r="R11" s="45">
        <f>'Monthly Forecast'!X11+'Monthly Forecast'!X18</f>
        <v>5382142.1485919124</v>
      </c>
      <c r="S11" s="454"/>
      <c r="T11" s="45">
        <f>'Monthly Forecast'!Y11+'Monthly Forecast'!Y18</f>
        <v>4201268.6228973651</v>
      </c>
      <c r="U11" s="45">
        <f>'Monthly Forecast'!Z11+'Monthly Forecast'!Z18</f>
        <v>3877378.1406009444</v>
      </c>
      <c r="V11" s="45">
        <f>'Monthly Forecast'!AA11+'Monthly Forecast'!AA18</f>
        <v>3821140.5303760283</v>
      </c>
      <c r="W11" s="45">
        <f>'Monthly Forecast'!AB11+'Monthly Forecast'!AB18</f>
        <v>3845344.2182956291</v>
      </c>
      <c r="X11" s="45">
        <f>'Monthly Forecast'!AC11+'Monthly Forecast'!AC18</f>
        <v>4867276.7173198052</v>
      </c>
      <c r="Y11" s="45">
        <f>'Monthly Forecast'!AD11+'Monthly Forecast'!AD18</f>
        <v>8345706.3607764542</v>
      </c>
      <c r="Z11" s="45">
        <f>'Monthly Forecast'!AE11+'Monthly Forecast'!AE18</f>
        <v>12478366.792133136</v>
      </c>
      <c r="AA11" s="45">
        <f>'Monthly Forecast'!AF11+'Monthly Forecast'!AF18</f>
        <v>14143816.410609035</v>
      </c>
      <c r="AB11" s="45">
        <f>'Monthly Forecast'!AG11+'Monthly Forecast'!AG18</f>
        <v>13587612.431186128</v>
      </c>
      <c r="AC11" s="45">
        <f>'Monthly Forecast'!AH11+'Monthly Forecast'!AH18</f>
        <v>12857074.65086887</v>
      </c>
      <c r="AD11" s="45">
        <f>'Monthly Forecast'!AI11+'Monthly Forecast'!AI18</f>
        <v>8294818.5120518543</v>
      </c>
      <c r="AE11" s="45">
        <f>'Monthly Forecast'!AJ11+'Monthly Forecast'!AJ18</f>
        <v>5503226.438238184</v>
      </c>
      <c r="AF11" s="454">
        <f t="shared" ref="AF11:AF14" si="6">SUM(T11:AE11)</f>
        <v>95823029.825353429</v>
      </c>
      <c r="AG11" s="45">
        <v>107462390.5615788</v>
      </c>
      <c r="AH11" s="45">
        <v>94137063.969105884</v>
      </c>
      <c r="AI11" s="45">
        <v>96045488.529456005</v>
      </c>
      <c r="AJ11" s="45">
        <v>97861094.092501938</v>
      </c>
      <c r="AK11" s="45">
        <v>99046032.478723392</v>
      </c>
      <c r="AL11" s="45">
        <v>100437863.99427734</v>
      </c>
      <c r="AM11" s="357"/>
      <c r="AN11" s="357"/>
      <c r="AO11" s="357"/>
      <c r="AP11" s="357"/>
    </row>
    <row r="12" spans="1:42" ht="15.75" x14ac:dyDescent="0.25">
      <c r="A12" s="465">
        <v>4811</v>
      </c>
      <c r="B12" s="457" t="s">
        <v>124</v>
      </c>
      <c r="C12" s="45">
        <f>'Monthly Forecast'!J20+'Monthly Forecast'!J27+'Monthly Forecast'!J47+'Monthly Forecast'!J53</f>
        <v>6090280.558603608</v>
      </c>
      <c r="D12" s="45">
        <f>'Monthly Forecast'!K20+'Monthly Forecast'!K27+'Monthly Forecast'!K47+'Monthly Forecast'!K53</f>
        <v>3964640.580348392</v>
      </c>
      <c r="E12" s="45">
        <f>'Monthly Forecast'!L20+'Monthly Forecast'!L27+'Monthly Forecast'!L47+'Monthly Forecast'!L53</f>
        <v>2441091.8338491893</v>
      </c>
      <c r="F12" s="45">
        <f>'Monthly Forecast'!M20+'Monthly Forecast'!M27+'Monthly Forecast'!M47+'Monthly Forecast'!M53</f>
        <v>1937924.7340741421</v>
      </c>
      <c r="G12" s="45">
        <f>'Monthly Forecast'!N20+'Monthly Forecast'!N27+'Monthly Forecast'!N47+'Monthly Forecast'!N53</f>
        <v>1808470.3701150885</v>
      </c>
      <c r="H12" s="45">
        <f>'Monthly Forecast'!O20+'Monthly Forecast'!O27+'Monthly Forecast'!O47+'Monthly Forecast'!O53</f>
        <v>1632735.6958813644</v>
      </c>
      <c r="I12" s="45">
        <f>'Monthly Forecast'!P20+'Monthly Forecast'!P27+'Monthly Forecast'!P47+'Monthly Forecast'!P53</f>
        <v>1639454.8258469263</v>
      </c>
      <c r="J12" s="45">
        <f>'Monthly Forecast'!Q20+'Monthly Forecast'!Q27+'Monthly Forecast'!Q47+'Monthly Forecast'!Q53</f>
        <v>1992149.4207614509</v>
      </c>
      <c r="K12" s="45">
        <f>'Monthly Forecast'!R20+'Monthly Forecast'!R27+'Monthly Forecast'!R47+'Monthly Forecast'!R53</f>
        <v>3330415.8081927942</v>
      </c>
      <c r="L12" s="45">
        <f>'Monthly Forecast'!S20+'Monthly Forecast'!S27+'Monthly Forecast'!S47+'Monthly Forecast'!S53</f>
        <v>4916730.1715475917</v>
      </c>
      <c r="M12" s="45">
        <f>'Monthly Forecast'!T20+'Monthly Forecast'!T27+'Monthly Forecast'!T47+'Monthly Forecast'!T53</f>
        <v>5565913.3252026541</v>
      </c>
      <c r="N12" s="45">
        <f>'Monthly Forecast'!U20+'Monthly Forecast'!U27+'Monthly Forecast'!U47+'Monthly Forecast'!U53</f>
        <v>5588310.9527499313</v>
      </c>
      <c r="O12" s="454">
        <f t="shared" ref="O12:O15" si="7">SUM(C12:N12)</f>
        <v>40908118.277173132</v>
      </c>
      <c r="P12" s="45">
        <f>'Monthly Forecast'!V20+'Monthly Forecast'!V27+'Monthly Forecast'!V47+'Monthly Forecast'!V53</f>
        <v>5080332.2452736935</v>
      </c>
      <c r="Q12" s="45">
        <f>'Monthly Forecast'!W20+'Monthly Forecast'!W27+'Monthly Forecast'!W47+'Monthly Forecast'!W53</f>
        <v>3426901.2394012813</v>
      </c>
      <c r="R12" s="45">
        <f>'Monthly Forecast'!X20+'Monthly Forecast'!X27+'Monthly Forecast'!X47+'Monthly Forecast'!X53</f>
        <v>2299190.5325730685</v>
      </c>
      <c r="S12" s="454"/>
      <c r="T12" s="45">
        <f>'Monthly Forecast'!Y20+'Monthly Forecast'!Y27+'Monthly Forecast'!Y47+'Monthly Forecast'!Y53</f>
        <v>1840387.2281287462</v>
      </c>
      <c r="U12" s="45">
        <f>'Monthly Forecast'!Z20+'Monthly Forecast'!Z27+'Monthly Forecast'!Z47+'Monthly Forecast'!Z53</f>
        <v>1721802.6777845549</v>
      </c>
      <c r="V12" s="45">
        <f>'Monthly Forecast'!AA20+'Monthly Forecast'!AA27+'Monthly Forecast'!AA47+'Monthly Forecast'!AA53</f>
        <v>1690360.4602324376</v>
      </c>
      <c r="W12" s="45">
        <f>'Monthly Forecast'!AB20+'Monthly Forecast'!AB27+'Monthly Forecast'!AB47+'Monthly Forecast'!AB53</f>
        <v>1697937.2651399029</v>
      </c>
      <c r="X12" s="45">
        <f>'Monthly Forecast'!AC20+'Monthly Forecast'!AC27+'Monthly Forecast'!AC47+'Monthly Forecast'!AC53</f>
        <v>2075771.1460299401</v>
      </c>
      <c r="Y12" s="45">
        <f>'Monthly Forecast'!AD20+'Monthly Forecast'!AD27+'Monthly Forecast'!AD47+'Monthly Forecast'!AD53</f>
        <v>3426761.7529234421</v>
      </c>
      <c r="Z12" s="45">
        <f>'Monthly Forecast'!AE20+'Monthly Forecast'!AE27+'Monthly Forecast'!AE47+'Monthly Forecast'!AE53</f>
        <v>5072886.3369821701</v>
      </c>
      <c r="AA12" s="45">
        <f>'Monthly Forecast'!AF20+'Monthly Forecast'!AF27+'Monthly Forecast'!AF47+'Monthly Forecast'!AF53</f>
        <v>5747048.040673296</v>
      </c>
      <c r="AB12" s="45">
        <f>'Monthly Forecast'!AG20+'Monthly Forecast'!AG27+'Monthly Forecast'!AG47+'Monthly Forecast'!AG53</f>
        <v>5642685.2126848055</v>
      </c>
      <c r="AC12" s="45">
        <f>'Monthly Forecast'!AH20+'Monthly Forecast'!AH27+'Monthly Forecast'!AH47+'Monthly Forecast'!AH53</f>
        <v>5127401.3287257254</v>
      </c>
      <c r="AD12" s="45">
        <f>'Monthly Forecast'!AI20+'Monthly Forecast'!AI27+'Monthly Forecast'!AI47+'Monthly Forecast'!AI53</f>
        <v>3455972.9054769436</v>
      </c>
      <c r="AE12" s="45">
        <f>'Monthly Forecast'!AJ20+'Monthly Forecast'!AJ27+'Monthly Forecast'!AJ47+'Monthly Forecast'!AJ53</f>
        <v>2363430.8658952895</v>
      </c>
      <c r="AF12" s="454">
        <f t="shared" si="6"/>
        <v>39862445.220677249</v>
      </c>
      <c r="AG12" s="45">
        <v>45537938.019842908</v>
      </c>
      <c r="AH12" s="45">
        <v>39150431.326988108</v>
      </c>
      <c r="AI12" s="45">
        <v>40019024.728671424</v>
      </c>
      <c r="AJ12" s="45">
        <v>40771832.974779055</v>
      </c>
      <c r="AK12" s="45">
        <v>41230020.749995179</v>
      </c>
      <c r="AL12" s="45">
        <v>41793353.685010217</v>
      </c>
      <c r="AM12" s="357"/>
      <c r="AN12" s="357"/>
      <c r="AO12" s="357"/>
      <c r="AP12" s="357"/>
    </row>
    <row r="13" spans="1:42" ht="15.75" x14ac:dyDescent="0.25">
      <c r="A13" s="465">
        <v>4812</v>
      </c>
      <c r="B13" s="457" t="s">
        <v>328</v>
      </c>
      <c r="C13" s="45">
        <f>'Monthly Forecast'!J29+'Monthly Forecast'!J36+'Monthly Forecast'!J55+'Monthly Forecast'!J61</f>
        <v>1204190.5360937775</v>
      </c>
      <c r="D13" s="45">
        <f>'Monthly Forecast'!K29+'Monthly Forecast'!K36+'Monthly Forecast'!K55+'Monthly Forecast'!K61</f>
        <v>438514.51581487909</v>
      </c>
      <c r="E13" s="45">
        <f>'Monthly Forecast'!L29+'Monthly Forecast'!L36+'Monthly Forecast'!L55+'Monthly Forecast'!L61</f>
        <v>325144.90938918182</v>
      </c>
      <c r="F13" s="45">
        <f>'Monthly Forecast'!M29+'Monthly Forecast'!M36+'Monthly Forecast'!M55+'Monthly Forecast'!M61</f>
        <v>275856.61565062543</v>
      </c>
      <c r="G13" s="45">
        <f>'Monthly Forecast'!N29+'Monthly Forecast'!N36+'Monthly Forecast'!N55+'Monthly Forecast'!N61</f>
        <v>168692.42091813454</v>
      </c>
      <c r="H13" s="45">
        <f>'Monthly Forecast'!O29+'Monthly Forecast'!O36+'Monthly Forecast'!O55+'Monthly Forecast'!O61</f>
        <v>197625.62878193366</v>
      </c>
      <c r="I13" s="45">
        <f>'Monthly Forecast'!P29+'Monthly Forecast'!P36+'Monthly Forecast'!P55+'Monthly Forecast'!P61</f>
        <v>158299.5864816691</v>
      </c>
      <c r="J13" s="45">
        <f>'Monthly Forecast'!Q29+'Monthly Forecast'!Q36+'Monthly Forecast'!Q55+'Monthly Forecast'!Q61</f>
        <v>217207.52758358273</v>
      </c>
      <c r="K13" s="45">
        <f>'Monthly Forecast'!R29+'Monthly Forecast'!R36+'Monthly Forecast'!R55+'Monthly Forecast'!R61</f>
        <v>293533.56325164129</v>
      </c>
      <c r="L13" s="45">
        <f>'Monthly Forecast'!S29+'Monthly Forecast'!S36+'Monthly Forecast'!S55+'Monthly Forecast'!S61</f>
        <v>551760.90757530753</v>
      </c>
      <c r="M13" s="45">
        <f>'Monthly Forecast'!T29+'Monthly Forecast'!T36+'Monthly Forecast'!T55+'Monthly Forecast'!T61</f>
        <v>721443.24045955297</v>
      </c>
      <c r="N13" s="45">
        <f>'Monthly Forecast'!U29+'Monthly Forecast'!U36+'Monthly Forecast'!U55+'Monthly Forecast'!U61</f>
        <v>584655.65086196898</v>
      </c>
      <c r="O13" s="454">
        <f t="shared" si="7"/>
        <v>5136925.1028622547</v>
      </c>
      <c r="P13" s="45">
        <f>'Monthly Forecast'!V29+'Monthly Forecast'!V36+'Monthly Forecast'!V55+'Monthly Forecast'!V61</f>
        <v>948716.67329455318</v>
      </c>
      <c r="Q13" s="45">
        <f>'Monthly Forecast'!W29+'Monthly Forecast'!W36+'Monthly Forecast'!W55+'Monthly Forecast'!W61</f>
        <v>356948.96741275489</v>
      </c>
      <c r="R13" s="45">
        <f>'Monthly Forecast'!X29+'Monthly Forecast'!X36+'Monthly Forecast'!X55+'Monthly Forecast'!X61</f>
        <v>292805.44665436156</v>
      </c>
      <c r="S13" s="454"/>
      <c r="T13" s="45">
        <f>'Monthly Forecast'!Y29+'Monthly Forecast'!Y36+'Monthly Forecast'!Y55+'Monthly Forecast'!Y61</f>
        <v>248583.40862098554</v>
      </c>
      <c r="U13" s="45">
        <f>'Monthly Forecast'!Z29+'Monthly Forecast'!Z36+'Monthly Forecast'!Z55+'Monthly Forecast'!Z61</f>
        <v>152992.77479779642</v>
      </c>
      <c r="V13" s="45">
        <f>'Monthly Forecast'!AA29+'Monthly Forecast'!AA36+'Monthly Forecast'!AA55+'Monthly Forecast'!AA61</f>
        <v>213968.12308367409</v>
      </c>
      <c r="W13" s="45">
        <f>'Monthly Forecast'!AB29+'Monthly Forecast'!AB36+'Monthly Forecast'!AB55+'Monthly Forecast'!AB61</f>
        <v>170704.17731956393</v>
      </c>
      <c r="X13" s="45">
        <f>'Monthly Forecast'!AC29+'Monthly Forecast'!AC36+'Monthly Forecast'!AC55+'Monthly Forecast'!AC61</f>
        <v>236478.17521546903</v>
      </c>
      <c r="Y13" s="45">
        <f>'Monthly Forecast'!AD29+'Monthly Forecast'!AD36+'Monthly Forecast'!AD55+'Monthly Forecast'!AD61</f>
        <v>306081.07370747271</v>
      </c>
      <c r="Z13" s="45">
        <f>'Monthly Forecast'!AE29+'Monthly Forecast'!AE36+'Monthly Forecast'!AE55+'Monthly Forecast'!AE61</f>
        <v>575973.29941798933</v>
      </c>
      <c r="AA13" s="45">
        <f>'Monthly Forecast'!AF29+'Monthly Forecast'!AF36+'Monthly Forecast'!AF55+'Monthly Forecast'!AF61</f>
        <v>753210.0668626983</v>
      </c>
      <c r="AB13" s="45">
        <f>'Monthly Forecast'!AG29+'Monthly Forecast'!AG36+'Monthly Forecast'!AG55+'Monthly Forecast'!AG61</f>
        <v>591797.78317842353</v>
      </c>
      <c r="AC13" s="45">
        <f>'Monthly Forecast'!AH29+'Monthly Forecast'!AH36+'Monthly Forecast'!AH55+'Monthly Forecast'!AH61</f>
        <v>960768.12766470993</v>
      </c>
      <c r="AD13" s="45">
        <f>'Monthly Forecast'!AI29+'Monthly Forecast'!AI36+'Monthly Forecast'!AI55+'Monthly Forecast'!AI61</f>
        <v>361428.99045902566</v>
      </c>
      <c r="AE13" s="45">
        <f>'Monthly Forecast'!AJ29+'Monthly Forecast'!AJ36+'Monthly Forecast'!AJ55+'Monthly Forecast'!AJ61</f>
        <v>308541.23944735265</v>
      </c>
      <c r="AF13" s="454">
        <f t="shared" si="6"/>
        <v>4880527.2397751613</v>
      </c>
      <c r="AG13" s="45">
        <v>5854977.4549887925</v>
      </c>
      <c r="AH13" s="45">
        <v>4753320.4609157434</v>
      </c>
      <c r="AI13" s="45">
        <v>4918707.7756084725</v>
      </c>
      <c r="AJ13" s="45">
        <v>5051038.1504665781</v>
      </c>
      <c r="AK13" s="45">
        <v>5134408.3128598938</v>
      </c>
      <c r="AL13" s="45">
        <v>5237741.1290896516</v>
      </c>
      <c r="AM13" s="357"/>
      <c r="AN13" s="357"/>
      <c r="AO13" s="357"/>
      <c r="AP13" s="357"/>
    </row>
    <row r="14" spans="1:42" ht="15.75" x14ac:dyDescent="0.25">
      <c r="A14" s="465">
        <v>4820</v>
      </c>
      <c r="B14" s="457" t="s">
        <v>329</v>
      </c>
      <c r="C14" s="45">
        <f>'Monthly Forecast'!J38+'Monthly Forecast'!J45</f>
        <v>1250092.9642620268</v>
      </c>
      <c r="D14" s="45">
        <f>'Monthly Forecast'!K38+'Monthly Forecast'!K45</f>
        <v>726269.15122370212</v>
      </c>
      <c r="E14" s="45">
        <f>'Monthly Forecast'!L38+'Monthly Forecast'!L45</f>
        <v>392988.26779686037</v>
      </c>
      <c r="F14" s="45">
        <f>'Monthly Forecast'!M38+'Monthly Forecast'!M45</f>
        <v>281380.73982580099</v>
      </c>
      <c r="G14" s="45">
        <f>'Monthly Forecast'!N38+'Monthly Forecast'!N45</f>
        <v>254214.53938989015</v>
      </c>
      <c r="H14" s="45">
        <f>'Monthly Forecast'!O38+'Monthly Forecast'!O45</f>
        <v>219683.74685923482</v>
      </c>
      <c r="I14" s="45">
        <f>'Monthly Forecast'!P38+'Monthly Forecast'!P45</f>
        <v>228523.99519115966</v>
      </c>
      <c r="J14" s="45">
        <f>'Monthly Forecast'!Q38+'Monthly Forecast'!Q45</f>
        <v>317447.81714359624</v>
      </c>
      <c r="K14" s="45">
        <f>'Monthly Forecast'!R38+'Monthly Forecast'!R45</f>
        <v>616794.48648853321</v>
      </c>
      <c r="L14" s="45">
        <f>'Monthly Forecast'!S38+'Monthly Forecast'!S45</f>
        <v>958234.88781337603</v>
      </c>
      <c r="M14" s="45">
        <f>'Monthly Forecast'!T38+'Monthly Forecast'!T45</f>
        <v>1101190.0667949645</v>
      </c>
      <c r="N14" s="45">
        <f>'Monthly Forecast'!U38+'Monthly Forecast'!U45</f>
        <v>1073586.2062504529</v>
      </c>
      <c r="O14" s="454">
        <f t="shared" si="7"/>
        <v>7420406.869039597</v>
      </c>
      <c r="P14" s="45">
        <f>'Monthly Forecast'!V38+'Monthly Forecast'!V45</f>
        <v>1020452.4085475754</v>
      </c>
      <c r="Q14" s="45">
        <f>'Monthly Forecast'!W38+'Monthly Forecast'!W45</f>
        <v>613291.60948829376</v>
      </c>
      <c r="R14" s="45">
        <f>'Monthly Forecast'!X38+'Monthly Forecast'!X45</f>
        <v>364608.18081094499</v>
      </c>
      <c r="S14" s="454"/>
      <c r="T14" s="45">
        <f>'Monthly Forecast'!Y38+'Monthly Forecast'!Y45</f>
        <v>263072.62355836708</v>
      </c>
      <c r="U14" s="45">
        <f>'Monthly Forecast'!Z38+'Monthly Forecast'!Z45</f>
        <v>238326.25035950949</v>
      </c>
      <c r="V14" s="45">
        <f>'Monthly Forecast'!AA38+'Monthly Forecast'!AA45</f>
        <v>230068.91782624542</v>
      </c>
      <c r="W14" s="45">
        <f>'Monthly Forecast'!AB38+'Monthly Forecast'!AB45</f>
        <v>239375.29734039362</v>
      </c>
      <c r="X14" s="45">
        <f>'Monthly Forecast'!AC38+'Monthly Forecast'!AC45</f>
        <v>334521.73625627509</v>
      </c>
      <c r="Y14" s="45">
        <f>'Monthly Forecast'!AD38+'Monthly Forecast'!AD45</f>
        <v>637713.83683892328</v>
      </c>
      <c r="Z14" s="45">
        <f>'Monthly Forecast'!AE38+'Monthly Forecast'!AE45</f>
        <v>992365.42750667315</v>
      </c>
      <c r="AA14" s="45">
        <f>'Monthly Forecast'!AF38+'Monthly Forecast'!AF45</f>
        <v>1141046.8454879541</v>
      </c>
      <c r="AB14" s="45">
        <f>'Monthly Forecast'!AG38+'Monthly Forecast'!AG45</f>
        <v>1085110.9884618123</v>
      </c>
      <c r="AC14" s="45">
        <f>'Monthly Forecast'!AH38+'Monthly Forecast'!AH45</f>
        <v>1031152.8350119655</v>
      </c>
      <c r="AD14" s="45">
        <f>'Monthly Forecast'!AI38+'Monthly Forecast'!AI45</f>
        <v>619398.38989390922</v>
      </c>
      <c r="AE14" s="45">
        <f>'Monthly Forecast'!AJ38+'Monthly Forecast'!AJ45</f>
        <v>377455.89542681194</v>
      </c>
      <c r="AF14" s="454">
        <f t="shared" si="6"/>
        <v>7189609.0439688396</v>
      </c>
      <c r="AG14" s="45">
        <v>8418252.1414723247</v>
      </c>
      <c r="AH14" s="45">
        <v>7036448.7524222527</v>
      </c>
      <c r="AI14" s="45">
        <v>7218476.5913453251</v>
      </c>
      <c r="AJ14" s="45">
        <v>7379929.5372670051</v>
      </c>
      <c r="AK14" s="45">
        <v>7477314.0189663647</v>
      </c>
      <c r="AL14" s="45">
        <v>7596640.3954848396</v>
      </c>
      <c r="AM14" s="357"/>
      <c r="AN14" s="357"/>
      <c r="AO14" s="357"/>
      <c r="AP14" s="357"/>
    </row>
    <row r="15" spans="1:42" ht="15.75" x14ac:dyDescent="0.25">
      <c r="A15" s="466"/>
      <c r="B15" s="458" t="s">
        <v>330</v>
      </c>
      <c r="C15" s="45">
        <f t="shared" ref="C15:E15" si="8">SUM(C11:C14)</f>
        <v>23506023.884526215</v>
      </c>
      <c r="D15" s="45">
        <f t="shared" si="8"/>
        <v>14411878.629123524</v>
      </c>
      <c r="E15" s="45">
        <f t="shared" si="8"/>
        <v>8763661.8517107517</v>
      </c>
      <c r="F15" s="45">
        <f t="shared" ref="F15" si="9">SUM(F11:F14)</f>
        <v>6808798.3628364885</v>
      </c>
      <c r="G15" s="45">
        <f t="shared" ref="G15:R15" si="10">SUM(G11:G14)</f>
        <v>6194231.2652415931</v>
      </c>
      <c r="H15" s="45">
        <f t="shared" si="10"/>
        <v>5797434.5804771725</v>
      </c>
      <c r="I15" s="45">
        <f t="shared" si="10"/>
        <v>5795695.7994869091</v>
      </c>
      <c r="J15" s="45">
        <f t="shared" si="10"/>
        <v>7251101.8994576577</v>
      </c>
      <c r="K15" s="45">
        <f t="shared" si="10"/>
        <v>12363882.401635684</v>
      </c>
      <c r="L15" s="45">
        <f t="shared" si="10"/>
        <v>18525342.953806475</v>
      </c>
      <c r="M15" s="45">
        <f t="shared" si="10"/>
        <v>21087355.847932395</v>
      </c>
      <c r="N15" s="45">
        <f t="shared" si="10"/>
        <v>20674767.836942013</v>
      </c>
      <c r="O15" s="454">
        <f t="shared" si="7"/>
        <v>151180175.31317687</v>
      </c>
      <c r="P15" s="45">
        <f t="shared" si="10"/>
        <v>19771325.108980555</v>
      </c>
      <c r="Q15" s="45">
        <f t="shared" si="10"/>
        <v>12612031.43568478</v>
      </c>
      <c r="R15" s="45">
        <f t="shared" si="10"/>
        <v>8338746.3086302876</v>
      </c>
      <c r="S15" s="454"/>
      <c r="T15" s="45">
        <f t="shared" ref="T15:AE15" si="11">SUM(T11:T14)</f>
        <v>6553311.8832054632</v>
      </c>
      <c r="U15" s="45">
        <f t="shared" si="11"/>
        <v>5990499.8435428049</v>
      </c>
      <c r="V15" s="45">
        <f t="shared" si="11"/>
        <v>5955538.0315183857</v>
      </c>
      <c r="W15" s="45">
        <f t="shared" si="11"/>
        <v>5953360.95809549</v>
      </c>
      <c r="X15" s="45">
        <f t="shared" si="11"/>
        <v>7514047.7748214891</v>
      </c>
      <c r="Y15" s="45">
        <f t="shared" si="11"/>
        <v>12716263.024246292</v>
      </c>
      <c r="Z15" s="45">
        <f t="shared" si="11"/>
        <v>19119591.856039967</v>
      </c>
      <c r="AA15" s="45">
        <f t="shared" si="11"/>
        <v>21785121.363632984</v>
      </c>
      <c r="AB15" s="45">
        <f t="shared" si="11"/>
        <v>20907206.415511169</v>
      </c>
      <c r="AC15" s="45">
        <f t="shared" si="11"/>
        <v>19976396.942271274</v>
      </c>
      <c r="AD15" s="45">
        <f t="shared" si="11"/>
        <v>12731618.797881732</v>
      </c>
      <c r="AE15" s="45">
        <f t="shared" si="11"/>
        <v>8552654.439007638</v>
      </c>
      <c r="AF15" s="454">
        <f>SUM(T15:AE15)</f>
        <v>147755611.32977471</v>
      </c>
      <c r="AG15" s="45">
        <f>SUM(AG11:AG14)</f>
        <v>167273558.17788285</v>
      </c>
      <c r="AH15" s="45">
        <f t="shared" ref="AH15:AL15" si="12">SUM(AH11:AH14)</f>
        <v>145077264.50943199</v>
      </c>
      <c r="AI15" s="45">
        <f t="shared" si="12"/>
        <v>148201697.62508124</v>
      </c>
      <c r="AJ15" s="45">
        <f t="shared" si="12"/>
        <v>151063894.7550146</v>
      </c>
      <c r="AK15" s="45">
        <f t="shared" si="12"/>
        <v>152887775.56054485</v>
      </c>
      <c r="AL15" s="45">
        <f t="shared" si="12"/>
        <v>155065599.20386204</v>
      </c>
      <c r="AM15" s="357"/>
      <c r="AN15" s="357"/>
      <c r="AO15" s="357"/>
      <c r="AP15" s="357"/>
    </row>
    <row r="16" spans="1:42" ht="15.75" x14ac:dyDescent="0.25">
      <c r="A16" s="467"/>
      <c r="B16" s="468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4"/>
      <c r="P16" s="45"/>
      <c r="Q16" s="45"/>
      <c r="R16" s="45"/>
      <c r="S16" s="454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G16" s="45"/>
      <c r="AH16" s="45"/>
      <c r="AI16" s="45"/>
      <c r="AJ16" s="45"/>
      <c r="AK16" s="45"/>
      <c r="AL16" s="45"/>
      <c r="AM16" s="357"/>
      <c r="AN16" s="357"/>
      <c r="AO16" s="357"/>
      <c r="AP16" s="357"/>
    </row>
    <row r="17" spans="1:42" ht="15.75" x14ac:dyDescent="0.25">
      <c r="A17" s="467"/>
      <c r="B17" s="463" t="s">
        <v>331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4"/>
      <c r="P17" s="45"/>
      <c r="Q17" s="45"/>
      <c r="R17" s="45"/>
      <c r="S17" s="454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G17" s="45"/>
      <c r="AH17" s="45"/>
      <c r="AI17" s="45"/>
      <c r="AJ17" s="45"/>
      <c r="AK17" s="45"/>
      <c r="AL17" s="45"/>
      <c r="AM17" s="357"/>
      <c r="AN17" s="357"/>
      <c r="AO17" s="357"/>
      <c r="AP17" s="357"/>
    </row>
    <row r="18" spans="1:42" ht="15.75" x14ac:dyDescent="0.25">
      <c r="A18" s="465">
        <v>4870</v>
      </c>
      <c r="B18" s="457" t="s">
        <v>332</v>
      </c>
      <c r="C18" s="45">
        <f>+'Monthly Forecast'!J99</f>
        <v>192332.78914020109</v>
      </c>
      <c r="D18" s="45">
        <f>+'Monthly Forecast'!K99</f>
        <v>178270.20812811854</v>
      </c>
      <c r="E18" s="45">
        <f>+'Monthly Forecast'!L99</f>
        <v>111702.08729558266</v>
      </c>
      <c r="F18" s="45">
        <f>+'Monthly Forecast'!M99</f>
        <v>67499.878390754646</v>
      </c>
      <c r="G18" s="45">
        <f>+'Monthly Forecast'!N99</f>
        <v>52256.437178325301</v>
      </c>
      <c r="H18" s="45">
        <f>+'Monthly Forecast'!O99</f>
        <v>48197.681236385106</v>
      </c>
      <c r="I18" s="45">
        <f>+'Monthly Forecast'!P99</f>
        <v>44791.383644271991</v>
      </c>
      <c r="J18" s="45">
        <f>+'Monthly Forecast'!Q99</f>
        <v>45091.96811961769</v>
      </c>
      <c r="K18" s="45">
        <f>+'Monthly Forecast'!R99</f>
        <v>56262.756654776204</v>
      </c>
      <c r="L18" s="45">
        <f>+'Monthly Forecast'!S99</f>
        <v>96549.413802119583</v>
      </c>
      <c r="M18" s="45">
        <f>+'Monthly Forecast'!T99</f>
        <v>143697.08057829188</v>
      </c>
      <c r="N18" s="45">
        <f>+'Monthly Forecast'!U99</f>
        <v>162832.31072609653</v>
      </c>
      <c r="O18" s="454">
        <f t="shared" ref="O18:O25" si="13">SUM(C18:N18)</f>
        <v>1199483.9948945411</v>
      </c>
      <c r="P18" s="45">
        <f>+'Monthly Forecast'!V99</f>
        <v>160631.42246284056</v>
      </c>
      <c r="Q18" s="45">
        <f>+'Monthly Forecast'!W99</f>
        <v>150470.99221481421</v>
      </c>
      <c r="R18" s="45">
        <f>+'Monthly Forecast'!X99</f>
        <v>97972.340902852709</v>
      </c>
      <c r="S18" s="454"/>
      <c r="T18" s="45">
        <f>+'Monthly Forecast'!Y99</f>
        <v>64359.484880450655</v>
      </c>
      <c r="U18" s="45">
        <f>+'Monthly Forecast'!Z99</f>
        <v>50430.816667139916</v>
      </c>
      <c r="V18" s="45">
        <f>+'Monthly Forecast'!AA99</f>
        <v>46693.460565744826</v>
      </c>
      <c r="W18" s="45">
        <f>+'Monthly Forecast'!AB99</f>
        <v>45925.383208012761</v>
      </c>
      <c r="X18" s="45">
        <f>+'Monthly Forecast'!AC99</f>
        <v>46253.95138550202</v>
      </c>
      <c r="Y18" s="45">
        <f>+'Monthly Forecast'!AD99</f>
        <v>58211.918307893335</v>
      </c>
      <c r="Z18" s="45">
        <f>+'Monthly Forecast'!AE99</f>
        <v>99267.594643623204</v>
      </c>
      <c r="AA18" s="45">
        <f>+'Monthly Forecast'!AF99</f>
        <v>148251.73521202765</v>
      </c>
      <c r="AB18" s="45">
        <f>+'Monthly Forecast'!AG99</f>
        <v>168154.64563045249</v>
      </c>
      <c r="AC18" s="45">
        <f>+'Monthly Forecast'!AH99</f>
        <v>162432.45197172367</v>
      </c>
      <c r="AD18" s="45">
        <f>+'Monthly Forecast'!AI99</f>
        <v>152013.47087655027</v>
      </c>
      <c r="AE18" s="45">
        <f>+'Monthly Forecast'!AJ99</f>
        <v>98892.265646552856</v>
      </c>
      <c r="AF18" s="454">
        <f t="shared" ref="AF18:AF21" si="14">SUM(T18:AE18)</f>
        <v>1140887.1789956738</v>
      </c>
      <c r="AG18" s="45">
        <v>1297456.0481507806</v>
      </c>
      <c r="AH18" s="45">
        <v>1120917.4307827575</v>
      </c>
      <c r="AI18" s="45">
        <v>1144971.3377574603</v>
      </c>
      <c r="AJ18" s="45">
        <v>1167278.4322852301</v>
      </c>
      <c r="AK18" s="45">
        <v>1181131.5474505217</v>
      </c>
      <c r="AL18" s="45">
        <v>1197603.1961201516</v>
      </c>
      <c r="AM18" s="357"/>
      <c r="AN18" s="357"/>
      <c r="AO18" s="357"/>
      <c r="AP18" s="357"/>
    </row>
    <row r="19" spans="1:42" ht="15.75" x14ac:dyDescent="0.25">
      <c r="A19" s="465">
        <v>4880</v>
      </c>
      <c r="B19" s="457" t="s">
        <v>333</v>
      </c>
      <c r="C19" s="45">
        <f>+'Monthly Forecast'!J98</f>
        <v>61274</v>
      </c>
      <c r="D19" s="45">
        <f>+'Monthly Forecast'!K98</f>
        <v>55115</v>
      </c>
      <c r="E19" s="45">
        <f>+'Monthly Forecast'!L98</f>
        <v>56750</v>
      </c>
      <c r="F19" s="45">
        <f>+'Monthly Forecast'!M98</f>
        <v>53147</v>
      </c>
      <c r="G19" s="45">
        <f>+'Monthly Forecast'!N98</f>
        <v>52352</v>
      </c>
      <c r="H19" s="45">
        <f>+'Monthly Forecast'!O98</f>
        <v>49875</v>
      </c>
      <c r="I19" s="45">
        <f>+'Monthly Forecast'!P98</f>
        <v>61445</v>
      </c>
      <c r="J19" s="45">
        <f>+'Monthly Forecast'!Q98</f>
        <v>120749</v>
      </c>
      <c r="K19" s="45">
        <f>+'Monthly Forecast'!R98</f>
        <v>125695</v>
      </c>
      <c r="L19" s="45">
        <f>+'Monthly Forecast'!S98</f>
        <v>56798</v>
      </c>
      <c r="M19" s="45">
        <f>+'Monthly Forecast'!T98</f>
        <v>53861</v>
      </c>
      <c r="N19" s="45">
        <f>+'Monthly Forecast'!U98</f>
        <v>48764</v>
      </c>
      <c r="O19" s="454">
        <f t="shared" si="13"/>
        <v>795825</v>
      </c>
      <c r="P19" s="45">
        <f>+'Monthly Forecast'!V98</f>
        <v>61274</v>
      </c>
      <c r="Q19" s="45">
        <f>+'Monthly Forecast'!W98</f>
        <v>55115</v>
      </c>
      <c r="R19" s="45">
        <f>+'Monthly Forecast'!X98</f>
        <v>56750</v>
      </c>
      <c r="S19" s="454"/>
      <c r="T19" s="45">
        <f>+'Monthly Forecast'!Y98</f>
        <v>53147</v>
      </c>
      <c r="U19" s="45">
        <f>+'Monthly Forecast'!Z98</f>
        <v>52352</v>
      </c>
      <c r="V19" s="45">
        <f>+'Monthly Forecast'!AA98</f>
        <v>49875</v>
      </c>
      <c r="W19" s="45">
        <f>+'Monthly Forecast'!AB98</f>
        <v>61445</v>
      </c>
      <c r="X19" s="45">
        <f>+'Monthly Forecast'!AC98</f>
        <v>120749</v>
      </c>
      <c r="Y19" s="45">
        <f>+'Monthly Forecast'!AD98</f>
        <v>125695</v>
      </c>
      <c r="Z19" s="45">
        <f>+'Monthly Forecast'!AE98</f>
        <v>56798</v>
      </c>
      <c r="AA19" s="45">
        <f>+'Monthly Forecast'!AF98</f>
        <v>53861</v>
      </c>
      <c r="AB19" s="45">
        <f>+'Monthly Forecast'!AG98</f>
        <v>48764</v>
      </c>
      <c r="AC19" s="45">
        <f>+'Monthly Forecast'!AH98</f>
        <v>61274</v>
      </c>
      <c r="AD19" s="45">
        <f>+'Monthly Forecast'!AI98</f>
        <v>55115</v>
      </c>
      <c r="AE19" s="45">
        <f>+'Monthly Forecast'!AJ98</f>
        <v>56750</v>
      </c>
      <c r="AF19" s="454">
        <f t="shared" si="14"/>
        <v>795825</v>
      </c>
      <c r="AG19" s="45">
        <v>795825</v>
      </c>
      <c r="AH19" s="45">
        <v>795825</v>
      </c>
      <c r="AI19" s="45">
        <v>795825</v>
      </c>
      <c r="AJ19" s="45">
        <v>795825</v>
      </c>
      <c r="AK19" s="45">
        <v>795825</v>
      </c>
      <c r="AL19" s="45">
        <v>795825</v>
      </c>
      <c r="AM19" s="357"/>
      <c r="AN19" s="357"/>
      <c r="AO19" s="357"/>
      <c r="AP19" s="357"/>
    </row>
    <row r="20" spans="1:42" ht="15.75" x14ac:dyDescent="0.25">
      <c r="A20" s="469" t="s">
        <v>334</v>
      </c>
      <c r="B20" s="470" t="s">
        <v>335</v>
      </c>
      <c r="C20" s="45">
        <f>+'Monthly Forecast'!J63+'Monthly Forecast'!J79+'Monthly Forecast'!J73</f>
        <v>1335401.2275</v>
      </c>
      <c r="D20" s="45">
        <f>+'Monthly Forecast'!K63+'Monthly Forecast'!K79+'Monthly Forecast'!K73</f>
        <v>1140627.9108</v>
      </c>
      <c r="E20" s="45">
        <f>+'Monthly Forecast'!L63+'Monthly Forecast'!L79+'Monthly Forecast'!L73</f>
        <v>1092901.6943000001</v>
      </c>
      <c r="F20" s="45">
        <f>+'Monthly Forecast'!M63+'Monthly Forecast'!M79+'Monthly Forecast'!M73</f>
        <v>1054709.8433999999</v>
      </c>
      <c r="G20" s="45">
        <f>+'Monthly Forecast'!N63+'Monthly Forecast'!N79+'Monthly Forecast'!N73</f>
        <v>1013351.0695</v>
      </c>
      <c r="H20" s="45">
        <f>+'Monthly Forecast'!O63+'Monthly Forecast'!O79+'Monthly Forecast'!O73</f>
        <v>1068158.5239000001</v>
      </c>
      <c r="I20" s="45">
        <f>+'Monthly Forecast'!P63+'Monthly Forecast'!P79+'Monthly Forecast'!P73</f>
        <v>1050910.6894999999</v>
      </c>
      <c r="J20" s="45">
        <f>+'Monthly Forecast'!Q63+'Monthly Forecast'!Q79+'Monthly Forecast'!Q73</f>
        <v>1190909.3454499999</v>
      </c>
      <c r="K20" s="45">
        <f>+'Monthly Forecast'!R63+'Monthly Forecast'!R79+'Monthly Forecast'!R73</f>
        <v>1319362.7035000001</v>
      </c>
      <c r="L20" s="45">
        <f>+'Monthly Forecast'!S63+'Monthly Forecast'!S79+'Monthly Forecast'!S73</f>
        <v>1329060.5179000003</v>
      </c>
      <c r="M20" s="45">
        <f>+'Monthly Forecast'!T63+'Monthly Forecast'!T79+'Monthly Forecast'!T73</f>
        <v>1473667.6765999999</v>
      </c>
      <c r="N20" s="45">
        <f>+'Monthly Forecast'!U63+'Monthly Forecast'!U79+'Monthly Forecast'!U73</f>
        <v>1424542.7038</v>
      </c>
      <c r="O20" s="454">
        <f t="shared" si="13"/>
        <v>14493603.90615</v>
      </c>
      <c r="P20" s="45">
        <f>+'Monthly Forecast'!V63+'Monthly Forecast'!V79+'Monthly Forecast'!V73</f>
        <v>1335401.2275</v>
      </c>
      <c r="Q20" s="45">
        <f>+'Monthly Forecast'!W63+'Monthly Forecast'!W79+'Monthly Forecast'!W73</f>
        <v>1140627.9108</v>
      </c>
      <c r="R20" s="45">
        <f>+'Monthly Forecast'!X63+'Monthly Forecast'!X79+'Monthly Forecast'!X73</f>
        <v>1092901.6943000001</v>
      </c>
      <c r="S20" s="454"/>
      <c r="T20" s="45">
        <f>'Monthly Forecast'!Y63+'Monthly Forecast'!Y79+'Monthly Forecast'!Y73</f>
        <v>1054709.8433999999</v>
      </c>
      <c r="U20" s="45">
        <f>'Monthly Forecast'!Z63+'Monthly Forecast'!Z79+'Monthly Forecast'!Z73</f>
        <v>1013351.0695</v>
      </c>
      <c r="V20" s="45">
        <f>'Monthly Forecast'!AA63+'Monthly Forecast'!AA79+'Monthly Forecast'!AA73</f>
        <v>1068158.5239000001</v>
      </c>
      <c r="W20" s="45">
        <f>'Monthly Forecast'!AB63+'Monthly Forecast'!AB79+'Monthly Forecast'!AB73</f>
        <v>1050910.6894999999</v>
      </c>
      <c r="X20" s="45">
        <f>'Monthly Forecast'!AC63+'Monthly Forecast'!AC79+'Monthly Forecast'!AC73</f>
        <v>1190909.3454499999</v>
      </c>
      <c r="Y20" s="45">
        <f>'Monthly Forecast'!AD63+'Monthly Forecast'!AD79+'Monthly Forecast'!AD73</f>
        <v>1319362.7035000001</v>
      </c>
      <c r="Z20" s="45">
        <f>'Monthly Forecast'!AE63+'Monthly Forecast'!AE79+'Monthly Forecast'!AE73</f>
        <v>1329060.5179000003</v>
      </c>
      <c r="AA20" s="45">
        <f>'Monthly Forecast'!AF63+'Monthly Forecast'!AF79+'Monthly Forecast'!AF73</f>
        <v>1473667.6765999999</v>
      </c>
      <c r="AB20" s="45">
        <f>'Monthly Forecast'!AG63+'Monthly Forecast'!AG79+'Monthly Forecast'!AG73</f>
        <v>1424542.7038</v>
      </c>
      <c r="AC20" s="45">
        <f>'Monthly Forecast'!AH63+'Monthly Forecast'!AH79+'Monthly Forecast'!AH73</f>
        <v>1335401.2275</v>
      </c>
      <c r="AD20" s="45">
        <f>'Monthly Forecast'!AI63+'Monthly Forecast'!AI79+'Monthly Forecast'!AI73</f>
        <v>1140627.9108</v>
      </c>
      <c r="AE20" s="45">
        <f>'Monthly Forecast'!AJ63+'Monthly Forecast'!AJ79+'Monthly Forecast'!AJ73</f>
        <v>1092901.6943000001</v>
      </c>
      <c r="AF20" s="454">
        <f t="shared" si="14"/>
        <v>14493603.90615</v>
      </c>
      <c r="AG20" s="45">
        <f>+AF20</f>
        <v>14493603.90615</v>
      </c>
      <c r="AH20" s="45">
        <f>+AG20</f>
        <v>14493603.90615</v>
      </c>
      <c r="AI20" s="45">
        <f t="shared" ref="AI20:AL20" si="15">+AH20</f>
        <v>14493603.90615</v>
      </c>
      <c r="AJ20" s="45">
        <f t="shared" si="15"/>
        <v>14493603.90615</v>
      </c>
      <c r="AK20" s="45">
        <f t="shared" si="15"/>
        <v>14493603.90615</v>
      </c>
      <c r="AL20" s="45">
        <f t="shared" si="15"/>
        <v>14493603.90615</v>
      </c>
      <c r="AM20" s="357"/>
      <c r="AN20" s="357"/>
      <c r="AO20" s="357"/>
      <c r="AP20" s="357"/>
    </row>
    <row r="21" spans="1:42" ht="15.75" x14ac:dyDescent="0.25">
      <c r="A21" s="465">
        <v>4950</v>
      </c>
      <c r="B21" s="457" t="s">
        <v>553</v>
      </c>
      <c r="C21" s="45">
        <f>'Monthly Forecast'!J88</f>
        <v>227856.71499999997</v>
      </c>
      <c r="D21" s="45">
        <f>'Monthly Forecast'!K88</f>
        <v>214959.52000000002</v>
      </c>
      <c r="E21" s="45">
        <f>'Monthly Forecast'!L88</f>
        <v>205466.29249999998</v>
      </c>
      <c r="F21" s="45">
        <f>'Monthly Forecast'!M88</f>
        <v>198243.80750000002</v>
      </c>
      <c r="G21" s="45">
        <f>'Monthly Forecast'!N88</f>
        <v>198681.44750000004</v>
      </c>
      <c r="H21" s="45">
        <f>'Monthly Forecast'!O88</f>
        <v>207453.83249999999</v>
      </c>
      <c r="I21" s="45">
        <f>'Monthly Forecast'!P88</f>
        <v>197356.58499999999</v>
      </c>
      <c r="J21" s="45">
        <f>'Monthly Forecast'!Q88</f>
        <v>213502.51250000004</v>
      </c>
      <c r="K21" s="45">
        <f>'Monthly Forecast'!R88</f>
        <v>225558.07250000001</v>
      </c>
      <c r="L21" s="45">
        <f>'Monthly Forecast'!S88</f>
        <v>235550.01249999998</v>
      </c>
      <c r="M21" s="45">
        <f>'Monthly Forecast'!T88</f>
        <v>252288.6275</v>
      </c>
      <c r="N21" s="45">
        <f>'Monthly Forecast'!U88</f>
        <v>241810.63249999995</v>
      </c>
      <c r="O21" s="454">
        <f t="shared" si="13"/>
        <v>2618728.0574999996</v>
      </c>
      <c r="P21" s="45">
        <f>'Monthly Forecast'!V88</f>
        <v>227856.71499999997</v>
      </c>
      <c r="Q21" s="45">
        <f>'Monthly Forecast'!W88</f>
        <v>214959.52000000002</v>
      </c>
      <c r="R21" s="45">
        <f>'Monthly Forecast'!X88</f>
        <v>205466.29249999998</v>
      </c>
      <c r="S21" s="454"/>
      <c r="T21" s="45">
        <f>'Monthly Forecast'!Y88</f>
        <v>198243.80750000002</v>
      </c>
      <c r="U21" s="45">
        <f>'Monthly Forecast'!Z88</f>
        <v>198681.44750000004</v>
      </c>
      <c r="V21" s="45">
        <f>'Monthly Forecast'!AA88</f>
        <v>207453.83249999999</v>
      </c>
      <c r="W21" s="45">
        <f>'Monthly Forecast'!AB88</f>
        <v>197356.58499999999</v>
      </c>
      <c r="X21" s="45">
        <f>'Monthly Forecast'!AC88</f>
        <v>213502.51250000004</v>
      </c>
      <c r="Y21" s="45">
        <f>'Monthly Forecast'!AD88</f>
        <v>225558.07250000001</v>
      </c>
      <c r="Z21" s="45">
        <f>'Monthly Forecast'!AE88</f>
        <v>235550.01249999998</v>
      </c>
      <c r="AA21" s="45">
        <f>'Monthly Forecast'!AF88</f>
        <v>252288.6275</v>
      </c>
      <c r="AB21" s="45">
        <f>'Monthly Forecast'!AG88</f>
        <v>241810.63249999995</v>
      </c>
      <c r="AC21" s="45">
        <f>'Monthly Forecast'!AH88</f>
        <v>227856.71499999997</v>
      </c>
      <c r="AD21" s="45">
        <f>'Monthly Forecast'!AI88</f>
        <v>214959.52000000002</v>
      </c>
      <c r="AE21" s="45">
        <f>'Monthly Forecast'!AJ88</f>
        <v>205466.29249999998</v>
      </c>
      <c r="AF21" s="454">
        <f t="shared" si="14"/>
        <v>2618728.0574999996</v>
      </c>
      <c r="AG21" s="45">
        <v>2618728.0575000001</v>
      </c>
      <c r="AH21" s="45">
        <v>2618728.0575000001</v>
      </c>
      <c r="AI21" s="45">
        <v>2618728.0575000001</v>
      </c>
      <c r="AJ21" s="45">
        <v>2618728.0575000001</v>
      </c>
      <c r="AK21" s="45">
        <v>2618728.0575000001</v>
      </c>
      <c r="AL21" s="45">
        <v>2618728.0575000001</v>
      </c>
      <c r="AM21" s="357"/>
      <c r="AN21" s="357"/>
      <c r="AO21" s="357"/>
      <c r="AP21" s="357"/>
    </row>
    <row r="22" spans="1:42" ht="15.75" x14ac:dyDescent="0.25">
      <c r="A22" s="467"/>
      <c r="B22" s="458" t="s">
        <v>336</v>
      </c>
      <c r="C22" s="45">
        <f t="shared" ref="C22:E22" si="16">SUM(C18:C21)</f>
        <v>1816864.7316402011</v>
      </c>
      <c r="D22" s="45">
        <f t="shared" si="16"/>
        <v>1588972.6389281186</v>
      </c>
      <c r="E22" s="45">
        <f t="shared" si="16"/>
        <v>1466820.0740955828</v>
      </c>
      <c r="F22" s="45">
        <f t="shared" ref="F22" si="17">SUM(F18:F21)</f>
        <v>1373600.5292907546</v>
      </c>
      <c r="G22" s="45">
        <f t="shared" ref="G22:R22" si="18">SUM(G18:G21)</f>
        <v>1316640.9541783254</v>
      </c>
      <c r="H22" s="45">
        <f t="shared" si="18"/>
        <v>1373685.0376363853</v>
      </c>
      <c r="I22" s="45">
        <f t="shared" si="18"/>
        <v>1354503.6581442719</v>
      </c>
      <c r="J22" s="45">
        <f t="shared" si="18"/>
        <v>1570252.8260696176</v>
      </c>
      <c r="K22" s="45">
        <f t="shared" si="18"/>
        <v>1726878.5326547762</v>
      </c>
      <c r="L22" s="45">
        <f t="shared" si="18"/>
        <v>1717957.94420212</v>
      </c>
      <c r="M22" s="45">
        <f t="shared" si="18"/>
        <v>1923514.3846782916</v>
      </c>
      <c r="N22" s="45">
        <f t="shared" si="18"/>
        <v>1877949.6470260965</v>
      </c>
      <c r="O22" s="454">
        <f t="shared" si="13"/>
        <v>19107640.958544541</v>
      </c>
      <c r="P22" s="45">
        <f t="shared" si="18"/>
        <v>1785163.3649628405</v>
      </c>
      <c r="Q22" s="45">
        <f t="shared" si="18"/>
        <v>1561173.4230148143</v>
      </c>
      <c r="R22" s="45">
        <f t="shared" si="18"/>
        <v>1453090.3277028529</v>
      </c>
      <c r="S22" s="454"/>
      <c r="T22" s="45">
        <f t="shared" ref="T22:AE22" si="19">SUM(T18:T21)</f>
        <v>1370460.1357804507</v>
      </c>
      <c r="U22" s="45">
        <f t="shared" si="19"/>
        <v>1314815.33366714</v>
      </c>
      <c r="V22" s="45">
        <f t="shared" si="19"/>
        <v>1372180.8169657451</v>
      </c>
      <c r="W22" s="45">
        <f t="shared" si="19"/>
        <v>1355637.6577080125</v>
      </c>
      <c r="X22" s="45">
        <f t="shared" si="19"/>
        <v>1571414.8093355019</v>
      </c>
      <c r="Y22" s="45">
        <f t="shared" si="19"/>
        <v>1728827.6943078933</v>
      </c>
      <c r="Z22" s="45">
        <f t="shared" si="19"/>
        <v>1720676.1250436234</v>
      </c>
      <c r="AA22" s="45">
        <f t="shared" si="19"/>
        <v>1928069.0393120274</v>
      </c>
      <c r="AB22" s="45">
        <f t="shared" si="19"/>
        <v>1883271.9819304524</v>
      </c>
      <c r="AC22" s="45">
        <f t="shared" si="19"/>
        <v>1786964.3944717236</v>
      </c>
      <c r="AD22" s="45">
        <f t="shared" si="19"/>
        <v>1562715.9016765503</v>
      </c>
      <c r="AE22" s="45">
        <f t="shared" si="19"/>
        <v>1454010.252446553</v>
      </c>
      <c r="AF22" s="454">
        <f>SUM(T22:AE22)</f>
        <v>19049044.142645676</v>
      </c>
      <c r="AG22" s="45">
        <f>SUM(AG18:AG21)</f>
        <v>19205613.011800781</v>
      </c>
      <c r="AH22" s="45">
        <f t="shared" ref="AH22:AL22" si="20">SUM(AH18:AH21)</f>
        <v>19029074.394432757</v>
      </c>
      <c r="AI22" s="45">
        <f t="shared" si="20"/>
        <v>19053128.30140746</v>
      </c>
      <c r="AJ22" s="45">
        <f t="shared" si="20"/>
        <v>19075435.39593523</v>
      </c>
      <c r="AK22" s="45">
        <f t="shared" si="20"/>
        <v>19089288.511100523</v>
      </c>
      <c r="AL22" s="45">
        <f t="shared" si="20"/>
        <v>19105760.159770153</v>
      </c>
      <c r="AM22" s="357"/>
      <c r="AN22" s="357"/>
      <c r="AO22" s="357"/>
      <c r="AP22" s="357"/>
    </row>
    <row r="23" spans="1:42" ht="15.75" x14ac:dyDescent="0.25">
      <c r="A23" s="471"/>
      <c r="B23" s="458" t="s">
        <v>96</v>
      </c>
      <c r="C23" s="45">
        <f t="shared" ref="C23:E23" si="21">C22+C15</f>
        <v>25322888.616166417</v>
      </c>
      <c r="D23" s="45">
        <f t="shared" si="21"/>
        <v>16000851.268051643</v>
      </c>
      <c r="E23" s="45">
        <f t="shared" si="21"/>
        <v>10230481.925806334</v>
      </c>
      <c r="F23" s="45">
        <f t="shared" ref="F23" si="22">F22+F15</f>
        <v>8182398.8921272429</v>
      </c>
      <c r="G23" s="45">
        <f t="shared" ref="G23:R23" si="23">G22+G15</f>
        <v>7510872.219419919</v>
      </c>
      <c r="H23" s="45">
        <f t="shared" si="23"/>
        <v>7171119.6181135578</v>
      </c>
      <c r="I23" s="45">
        <f t="shared" si="23"/>
        <v>7150199.457631181</v>
      </c>
      <c r="J23" s="45">
        <f t="shared" si="23"/>
        <v>8821354.7255272754</v>
      </c>
      <c r="K23" s="45">
        <f t="shared" si="23"/>
        <v>14090760.934290461</v>
      </c>
      <c r="L23" s="45">
        <f t="shared" si="23"/>
        <v>20243300.898008596</v>
      </c>
      <c r="M23" s="45">
        <f t="shared" si="23"/>
        <v>23010870.232610688</v>
      </c>
      <c r="N23" s="45">
        <f t="shared" si="23"/>
        <v>22552717.483968109</v>
      </c>
      <c r="O23" s="454">
        <f t="shared" si="13"/>
        <v>170287816.27172142</v>
      </c>
      <c r="P23" s="45">
        <f t="shared" si="23"/>
        <v>21556488.473943397</v>
      </c>
      <c r="Q23" s="45">
        <f t="shared" si="23"/>
        <v>14173204.858699594</v>
      </c>
      <c r="R23" s="45">
        <f t="shared" si="23"/>
        <v>9791836.6363331415</v>
      </c>
      <c r="S23" s="454"/>
      <c r="T23" s="45">
        <f t="shared" ref="T23:AE23" si="24">T22+T15</f>
        <v>7923772.0189859141</v>
      </c>
      <c r="U23" s="45">
        <f t="shared" si="24"/>
        <v>7305315.1772099454</v>
      </c>
      <c r="V23" s="45">
        <f t="shared" si="24"/>
        <v>7327718.8484841306</v>
      </c>
      <c r="W23" s="45">
        <f t="shared" si="24"/>
        <v>7308998.6158035025</v>
      </c>
      <c r="X23" s="45">
        <f t="shared" si="24"/>
        <v>9085462.5841569901</v>
      </c>
      <c r="Y23" s="45">
        <f t="shared" si="24"/>
        <v>14445090.718554186</v>
      </c>
      <c r="Z23" s="45">
        <f t="shared" si="24"/>
        <v>20840267.981083591</v>
      </c>
      <c r="AA23" s="45">
        <f t="shared" si="24"/>
        <v>23713190.402945012</v>
      </c>
      <c r="AB23" s="45">
        <f t="shared" si="24"/>
        <v>22790478.397441622</v>
      </c>
      <c r="AC23" s="45">
        <f t="shared" si="24"/>
        <v>21763361.336742997</v>
      </c>
      <c r="AD23" s="45">
        <f t="shared" si="24"/>
        <v>14294334.699558282</v>
      </c>
      <c r="AE23" s="45">
        <f t="shared" si="24"/>
        <v>10006664.691454191</v>
      </c>
      <c r="AF23" s="454">
        <f t="shared" ref="AF23" si="25">AF22+AF15</f>
        <v>166804655.47242039</v>
      </c>
      <c r="AG23" s="45">
        <f t="shared" ref="AG23" si="26">AG22+AG15</f>
        <v>186479171.18968362</v>
      </c>
      <c r="AH23" s="45">
        <f>AH22+AH15</f>
        <v>164106338.90386474</v>
      </c>
      <c r="AI23" s="45">
        <f>AI22+AI15</f>
        <v>167254825.9264887</v>
      </c>
      <c r="AJ23" s="45">
        <f>AJ22+AJ15</f>
        <v>170139330.15094984</v>
      </c>
      <c r="AK23" s="45">
        <f t="shared" ref="AK23" si="27">AK22+AK15</f>
        <v>171977064.07164538</v>
      </c>
      <c r="AL23" s="45">
        <f t="shared" ref="AL23" si="28">AL22+AL15</f>
        <v>174171359.3636322</v>
      </c>
      <c r="AM23" s="357"/>
      <c r="AN23" s="357"/>
      <c r="AO23" s="357"/>
      <c r="AP23" s="357"/>
    </row>
    <row r="24" spans="1:42" x14ac:dyDescent="0.2">
      <c r="B24" s="210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4"/>
      <c r="P24" s="45"/>
      <c r="Q24" s="45"/>
      <c r="R24" s="45"/>
      <c r="S24" s="454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G24" s="45"/>
      <c r="AH24" s="45"/>
      <c r="AI24" s="45"/>
      <c r="AJ24" s="45"/>
      <c r="AK24" s="45"/>
      <c r="AL24" s="45"/>
      <c r="AM24" s="357"/>
      <c r="AN24" s="357"/>
      <c r="AO24" s="357"/>
      <c r="AP24" s="357"/>
    </row>
    <row r="25" spans="1:42" ht="15.75" x14ac:dyDescent="0.25">
      <c r="B25" s="457" t="s">
        <v>338</v>
      </c>
      <c r="C25" s="45">
        <f>'Monthly Forecast'!J102</f>
        <v>15783267.92597995</v>
      </c>
      <c r="D25" s="45">
        <f>'Monthly Forecast'!K102</f>
        <v>8570867.7853727974</v>
      </c>
      <c r="E25" s="45">
        <f>'Monthly Forecast'!L102</f>
        <v>3932363.6007823199</v>
      </c>
      <c r="F25" s="45">
        <f>'Monthly Forecast'!M102</f>
        <v>2377525.5632154401</v>
      </c>
      <c r="G25" s="45">
        <f>'Monthly Forecast'!N102</f>
        <v>1919706.5809851601</v>
      </c>
      <c r="H25" s="45">
        <f>'Monthly Forecast'!O102</f>
        <v>1588014.5345143001</v>
      </c>
      <c r="I25" s="45">
        <f>'Monthly Forecast'!P102</f>
        <v>1595700.9631312222</v>
      </c>
      <c r="J25" s="45">
        <f>'Monthly Forecast'!Q102</f>
        <v>2689692.0688624466</v>
      </c>
      <c r="K25" s="45">
        <f>'Monthly Forecast'!R102</f>
        <v>6629573.4059818853</v>
      </c>
      <c r="L25" s="45">
        <f>'Monthly Forecast'!S102</f>
        <v>11273364.721970566</v>
      </c>
      <c r="M25" s="45">
        <f>'Monthly Forecast'!T102</f>
        <v>13256828.323053513</v>
      </c>
      <c r="N25" s="45">
        <f>'Monthly Forecast'!U102</f>
        <v>13341917.366385501</v>
      </c>
      <c r="O25" s="454">
        <f t="shared" si="13"/>
        <v>82958822.840235099</v>
      </c>
      <c r="P25" s="45">
        <f>'Monthly Forecast'!V102</f>
        <v>12036211.300030228</v>
      </c>
      <c r="Q25" s="45">
        <f>'Monthly Forecast'!W102</f>
        <v>6760554.6936817747</v>
      </c>
      <c r="R25" s="45">
        <f>'Monthly Forecast'!X102</f>
        <v>3498592.4027392911</v>
      </c>
      <c r="S25" s="454"/>
      <c r="T25" s="45">
        <f>'Monthly Forecast'!Y102</f>
        <v>2113849.5648995508</v>
      </c>
      <c r="U25" s="45">
        <f>'Monthly Forecast'!Z102</f>
        <v>1707940.8674351822</v>
      </c>
      <c r="V25" s="45">
        <f>'Monthly Forecast'!AA102</f>
        <v>1738084.7627984323</v>
      </c>
      <c r="W25" s="45">
        <f>'Monthly Forecast'!AB102</f>
        <v>1745311.9617956677</v>
      </c>
      <c r="X25" s="45">
        <f>'Monthly Forecast'!AC102</f>
        <v>2944013.037562144</v>
      </c>
      <c r="Y25" s="45">
        <f>'Monthly Forecast'!AD102</f>
        <v>6971277.0486483565</v>
      </c>
      <c r="Z25" s="45">
        <f>'Monthly Forecast'!AE102</f>
        <v>11854748.194883922</v>
      </c>
      <c r="AA25" s="45">
        <f>'Monthly Forecast'!AF102</f>
        <v>13940763.023727167</v>
      </c>
      <c r="AB25" s="45">
        <f>'Monthly Forecast'!AG102</f>
        <v>13559963.841834718</v>
      </c>
      <c r="AC25" s="45">
        <f>'Monthly Forecast'!AH102</f>
        <v>12228924.995742612</v>
      </c>
      <c r="AD25" s="45">
        <f>'Monthly Forecast'!AI102</f>
        <v>6869654.7837143922</v>
      </c>
      <c r="AE25" s="45">
        <f>'Monthly Forecast'!AJ102</f>
        <v>3703644.6074125073</v>
      </c>
      <c r="AF25" s="454">
        <f>SUM(T25:AE25)</f>
        <v>79378176.690454647</v>
      </c>
      <c r="AG25" s="45">
        <v>99112612.731453866</v>
      </c>
      <c r="AH25" s="45">
        <v>76791921.43963404</v>
      </c>
      <c r="AI25" s="45">
        <v>79791951.291824654</v>
      </c>
      <c r="AJ25" s="45">
        <v>82529745.449445575</v>
      </c>
      <c r="AK25" s="45">
        <v>84229223.926242828</v>
      </c>
      <c r="AL25" s="45">
        <v>86282646.398426384</v>
      </c>
      <c r="AM25" s="357"/>
      <c r="AN25" s="357"/>
      <c r="AO25" s="357"/>
      <c r="AP25" s="357"/>
    </row>
    <row r="26" spans="1:42" x14ac:dyDescent="0.2">
      <c r="B26" s="210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4"/>
      <c r="P26" s="45"/>
      <c r="Q26" s="45"/>
      <c r="R26" s="45"/>
      <c r="S26" s="454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G26" s="45"/>
      <c r="AH26" s="45"/>
      <c r="AI26" s="45"/>
      <c r="AJ26" s="45"/>
      <c r="AK26" s="45"/>
      <c r="AL26" s="45"/>
      <c r="AM26" s="357"/>
      <c r="AN26" s="357"/>
      <c r="AO26" s="357"/>
      <c r="AP26" s="357"/>
    </row>
    <row r="27" spans="1:42" x14ac:dyDescent="0.2">
      <c r="B27" s="210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4"/>
      <c r="P27" s="45"/>
      <c r="Q27" s="45"/>
      <c r="R27" s="45"/>
      <c r="S27" s="454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G27" s="45"/>
      <c r="AH27" s="45"/>
      <c r="AI27" s="45"/>
      <c r="AJ27" s="45"/>
      <c r="AK27" s="45"/>
      <c r="AL27" s="45"/>
      <c r="AM27" s="357"/>
      <c r="AN27" s="357"/>
      <c r="AO27" s="357"/>
      <c r="AP27" s="357"/>
    </row>
    <row r="28" spans="1:42" x14ac:dyDescent="0.2">
      <c r="B28" s="210" t="s">
        <v>339</v>
      </c>
      <c r="C28" s="45">
        <f t="shared" ref="C28:E28" si="29">C23-C25</f>
        <v>9539620.690186467</v>
      </c>
      <c r="D28" s="45">
        <f t="shared" si="29"/>
        <v>7429983.4826788455</v>
      </c>
      <c r="E28" s="45">
        <f t="shared" si="29"/>
        <v>6298118.3250240143</v>
      </c>
      <c r="F28" s="45">
        <f t="shared" ref="F28" si="30">F23-F25</f>
        <v>5804873.3289118027</v>
      </c>
      <c r="G28" s="45">
        <f t="shared" ref="G28:R28" si="31">G23-G25</f>
        <v>5591165.6384347584</v>
      </c>
      <c r="H28" s="45">
        <f t="shared" si="31"/>
        <v>5583105.0835992582</v>
      </c>
      <c r="I28" s="45">
        <f t="shared" si="31"/>
        <v>5554498.4944999591</v>
      </c>
      <c r="J28" s="45">
        <f t="shared" si="31"/>
        <v>6131662.6566648288</v>
      </c>
      <c r="K28" s="45">
        <f t="shared" si="31"/>
        <v>7461187.528308576</v>
      </c>
      <c r="L28" s="45">
        <f t="shared" si="31"/>
        <v>8969936.1760380305</v>
      </c>
      <c r="M28" s="45">
        <f t="shared" si="31"/>
        <v>9754041.9095571749</v>
      </c>
      <c r="N28" s="45">
        <f t="shared" si="31"/>
        <v>9210800.117582608</v>
      </c>
      <c r="O28" s="454">
        <f t="shared" ref="O28" si="32">SUM(C28:N28)</f>
        <v>87328993.431486323</v>
      </c>
      <c r="P28" s="45">
        <f t="shared" si="31"/>
        <v>9520277.1739131697</v>
      </c>
      <c r="Q28" s="45">
        <f t="shared" si="31"/>
        <v>7412650.165017819</v>
      </c>
      <c r="R28" s="45">
        <f t="shared" si="31"/>
        <v>6293244.2335938504</v>
      </c>
      <c r="S28" s="454"/>
      <c r="T28" s="45">
        <f t="shared" ref="T28:AE28" si="33">T23-T25</f>
        <v>5809922.4540863633</v>
      </c>
      <c r="U28" s="45">
        <f t="shared" si="33"/>
        <v>5597374.309774763</v>
      </c>
      <c r="V28" s="45">
        <f t="shared" si="33"/>
        <v>5589634.0856856983</v>
      </c>
      <c r="W28" s="45">
        <f t="shared" si="33"/>
        <v>5563686.6540078353</v>
      </c>
      <c r="X28" s="45">
        <f t="shared" si="33"/>
        <v>6141449.5465948461</v>
      </c>
      <c r="Y28" s="45">
        <f t="shared" si="33"/>
        <v>7473813.6699058292</v>
      </c>
      <c r="Z28" s="45">
        <f t="shared" si="33"/>
        <v>8985519.7861996684</v>
      </c>
      <c r="AA28" s="45">
        <f t="shared" si="33"/>
        <v>9772427.3792178445</v>
      </c>
      <c r="AB28" s="45">
        <f t="shared" si="33"/>
        <v>9230514.5556069035</v>
      </c>
      <c r="AC28" s="45">
        <f t="shared" si="33"/>
        <v>9534436.3410003856</v>
      </c>
      <c r="AD28" s="45">
        <f t="shared" si="33"/>
        <v>7424679.91584389</v>
      </c>
      <c r="AE28" s="45">
        <f t="shared" si="33"/>
        <v>6303020.084041683</v>
      </c>
      <c r="AF28" s="454">
        <f>AF23-AF25</f>
        <v>87426478.781965747</v>
      </c>
      <c r="AG28" s="45">
        <f>AG23-AG25</f>
        <v>87366558.45822975</v>
      </c>
      <c r="AH28" s="45">
        <f t="shared" ref="AH28:AL28" si="34">AH23-AH25</f>
        <v>87314417.464230701</v>
      </c>
      <c r="AI28" s="45">
        <f t="shared" si="34"/>
        <v>87462874.634664044</v>
      </c>
      <c r="AJ28" s="45">
        <f t="shared" si="34"/>
        <v>87609584.70150426</v>
      </c>
      <c r="AK28" s="45">
        <f t="shared" si="34"/>
        <v>87747840.145402551</v>
      </c>
      <c r="AL28" s="45">
        <f t="shared" si="34"/>
        <v>87888712.965205818</v>
      </c>
      <c r="AM28" s="357"/>
      <c r="AN28" s="357"/>
      <c r="AO28" s="357"/>
      <c r="AP28" s="357"/>
    </row>
    <row r="29" spans="1:42" x14ac:dyDescent="0.2"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P29" s="210"/>
      <c r="Q29" s="210"/>
      <c r="R29" s="210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G29" s="210"/>
      <c r="AH29" s="210"/>
      <c r="AI29" s="210"/>
      <c r="AJ29" s="210"/>
      <c r="AK29" s="210"/>
      <c r="AL29" s="210"/>
      <c r="AM29" s="357"/>
      <c r="AN29" s="357"/>
      <c r="AO29" s="357"/>
      <c r="AP29" s="357"/>
    </row>
    <row r="30" spans="1:42" x14ac:dyDescent="0.2"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P30" s="210"/>
      <c r="Q30" s="210"/>
      <c r="R30" s="210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L30" s="34"/>
      <c r="AM30" s="357"/>
      <c r="AN30" s="357"/>
      <c r="AO30" s="357"/>
      <c r="AP30" s="357"/>
    </row>
    <row r="31" spans="1:42" x14ac:dyDescent="0.2">
      <c r="B31" s="210"/>
      <c r="C31" s="210"/>
      <c r="D31" s="210"/>
      <c r="E31" s="210"/>
      <c r="F31" s="608"/>
      <c r="G31" s="608"/>
      <c r="H31" s="608"/>
      <c r="I31" s="608"/>
      <c r="J31" s="210"/>
      <c r="K31" s="210"/>
      <c r="L31" s="210"/>
      <c r="M31" s="210"/>
      <c r="N31" s="210"/>
      <c r="P31" s="210"/>
      <c r="Q31" s="210"/>
      <c r="R31" s="210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L31" s="34"/>
      <c r="AM31" s="357"/>
      <c r="AN31" s="357"/>
      <c r="AO31" s="357"/>
      <c r="AP31" s="357"/>
    </row>
    <row r="32" spans="1:42" x14ac:dyDescent="0.2">
      <c r="B32" s="210" t="s">
        <v>410</v>
      </c>
      <c r="C32" s="210"/>
      <c r="D32" s="210"/>
      <c r="E32" s="210"/>
      <c r="F32" s="608"/>
      <c r="G32" s="608"/>
      <c r="H32" s="608"/>
      <c r="I32" s="45">
        <f>+'Gas Cost Worksheet'!H51</f>
        <v>16574116.969999999</v>
      </c>
      <c r="J32" s="45">
        <f>+'Gas Cost Worksheet'!I51</f>
        <v>20151685.449179217</v>
      </c>
      <c r="K32" s="45">
        <f>+'Gas Cost Worksheet'!J51</f>
        <v>17745957.124034587</v>
      </c>
      <c r="L32" s="45">
        <f>+'Gas Cost Worksheet'!K51</f>
        <v>12230225.891968817</v>
      </c>
      <c r="M32" s="45">
        <f>+'Gas Cost Worksheet'!L51</f>
        <v>5459843.7922860514</v>
      </c>
      <c r="N32" s="45">
        <f>+'Gas Cost Worksheet'!M51</f>
        <v>-778028.49315554556</v>
      </c>
      <c r="P32" s="45">
        <f>+'Gas Cost Worksheet'!N51</f>
        <v>-5604383.8902696259</v>
      </c>
      <c r="Q32" s="45">
        <f>+'Gas Cost Worksheet'!O51</f>
        <v>-2240183.3355918601</v>
      </c>
      <c r="R32" s="45">
        <f>+'Gas Cost Worksheet'!P51</f>
        <v>1169008.1587094581</v>
      </c>
      <c r="T32" s="45">
        <f>+'Gas Cost Worksheet'!Q51</f>
        <v>4645004.3815427171</v>
      </c>
      <c r="U32" s="45">
        <f>+'Gas Cost Worksheet'!R51</f>
        <v>8190532.056521466</v>
      </c>
      <c r="V32" s="45">
        <f>+'Gas Cost Worksheet'!S51</f>
        <v>11757873.520408602</v>
      </c>
      <c r="W32" s="45">
        <f>+'Gas Cost Worksheet'!T51</f>
        <v>15327941.707909286</v>
      </c>
      <c r="X32" s="45">
        <f>+'Gas Cost Worksheet'!U51</f>
        <v>18933457.302386105</v>
      </c>
      <c r="Y32" s="45">
        <f>+'Gas Cost Worksheet'!V51</f>
        <v>16512572.782011667</v>
      </c>
      <c r="Z32" s="45">
        <f>+'Gas Cost Worksheet'!W51</f>
        <v>11008223.967648663</v>
      </c>
      <c r="AA32" s="45">
        <f>+'Gas Cost Worksheet'!X51</f>
        <v>4260470.2198755667</v>
      </c>
      <c r="AB32" s="45">
        <f>+'Gas Cost Worksheet'!Y51</f>
        <v>-1939025.2301004119</v>
      </c>
      <c r="AC32" s="45">
        <f>+'Gas Cost Worksheet'!Z51</f>
        <v>-6716020.3248425219</v>
      </c>
      <c r="AD32" s="45">
        <f>+'Gas Cost Worksheet'!AA51</f>
        <v>-2960534.9316205308</v>
      </c>
      <c r="AE32" s="45">
        <f>+'Gas Cost Worksheet'!AB51</f>
        <v>794950.46160146035</v>
      </c>
      <c r="AH32" s="208"/>
      <c r="AL32" s="357"/>
      <c r="AM32" s="357"/>
      <c r="AN32" s="357"/>
      <c r="AO32" s="357"/>
      <c r="AP32" s="357"/>
    </row>
    <row r="33" spans="2:42" x14ac:dyDescent="0.2"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H33" s="34"/>
      <c r="AL33" s="357"/>
      <c r="AM33" s="357"/>
      <c r="AN33" s="357"/>
      <c r="AO33" s="357"/>
      <c r="AP33" s="357"/>
    </row>
    <row r="34" spans="2:42" x14ac:dyDescent="0.2"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T34" s="608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G34" s="204">
        <v>87426478.781965747</v>
      </c>
      <c r="AH34" s="208">
        <f>AG34-AF28</f>
        <v>0</v>
      </c>
      <c r="AL34" s="357"/>
      <c r="AM34" s="357"/>
      <c r="AN34" s="357"/>
      <c r="AO34" s="357"/>
      <c r="AP34" s="357"/>
    </row>
    <row r="35" spans="2:42" x14ac:dyDescent="0.2"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T35" s="608"/>
      <c r="V35" s="45"/>
      <c r="W35" s="45"/>
      <c r="X35" s="45"/>
      <c r="Y35" s="45"/>
      <c r="Z35" s="45"/>
      <c r="AA35" s="45"/>
      <c r="AB35" s="45"/>
      <c r="AC35" s="45"/>
      <c r="AD35" s="45"/>
      <c r="AE35" s="45" t="s">
        <v>412</v>
      </c>
      <c r="AH35" s="208"/>
      <c r="AL35" s="357"/>
      <c r="AM35" s="357"/>
      <c r="AN35" s="357"/>
      <c r="AO35" s="357"/>
      <c r="AP35" s="357"/>
    </row>
    <row r="36" spans="2:42" x14ac:dyDescent="0.2"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T36" s="608"/>
      <c r="V36" s="45"/>
      <c r="W36" s="45"/>
      <c r="X36" s="45"/>
      <c r="Y36" s="45"/>
      <c r="Z36" s="45"/>
      <c r="AA36" s="45"/>
      <c r="AB36" s="45"/>
      <c r="AC36" s="45"/>
      <c r="AD36" s="45"/>
      <c r="AE36" s="45" t="s">
        <v>411</v>
      </c>
      <c r="AF36" s="517">
        <f>SUM(T32:AE32,R32)/13</f>
        <v>6229573.3901578104</v>
      </c>
      <c r="AL36" s="357"/>
      <c r="AM36" s="357"/>
      <c r="AN36" s="357"/>
      <c r="AO36" s="357"/>
      <c r="AP36" s="357"/>
    </row>
    <row r="37" spans="2:42" x14ac:dyDescent="0.2"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AL37" s="357"/>
      <c r="AM37" s="357"/>
      <c r="AN37" s="357"/>
      <c r="AO37" s="357"/>
      <c r="AP37" s="357"/>
    </row>
    <row r="38" spans="2:42" x14ac:dyDescent="0.2"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AG38" s="45"/>
      <c r="AH38" s="45"/>
      <c r="AL38" s="357"/>
      <c r="AM38" s="357"/>
      <c r="AN38" s="357"/>
      <c r="AO38" s="357"/>
      <c r="AP38" s="357"/>
    </row>
    <row r="39" spans="2:42" x14ac:dyDescent="0.2"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357"/>
      <c r="M39" s="357"/>
      <c r="N39" s="357"/>
      <c r="P39" s="357"/>
      <c r="Q39" s="357"/>
      <c r="R39" s="357"/>
      <c r="AG39" s="45"/>
      <c r="AH39" s="45"/>
      <c r="AI39" s="357"/>
      <c r="AJ39" s="357"/>
      <c r="AK39" s="357"/>
      <c r="AL39" s="357"/>
      <c r="AM39" s="357"/>
      <c r="AN39" s="357"/>
      <c r="AO39" s="357"/>
      <c r="AP39" s="357"/>
    </row>
    <row r="40" spans="2:42" x14ac:dyDescent="0.2"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357"/>
      <c r="M40" s="357"/>
      <c r="N40" s="357"/>
      <c r="P40" s="357"/>
      <c r="Q40" s="357"/>
      <c r="R40" s="357"/>
      <c r="Z40" s="472"/>
      <c r="AA40" s="472"/>
      <c r="AB40" s="472"/>
      <c r="AC40" s="472"/>
      <c r="AD40" s="472"/>
      <c r="AE40" s="472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</row>
    <row r="41" spans="2:42" x14ac:dyDescent="0.2"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357"/>
      <c r="M41" s="357"/>
      <c r="N41" s="357"/>
      <c r="P41" s="357"/>
      <c r="Q41" s="357"/>
      <c r="R41" s="357"/>
      <c r="Z41" s="472"/>
      <c r="AA41" s="472"/>
      <c r="AB41" s="472"/>
      <c r="AC41" s="472"/>
      <c r="AD41" s="472"/>
      <c r="AE41" s="472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</row>
    <row r="42" spans="2:42" ht="18" x14ac:dyDescent="0.25">
      <c r="B42" s="473"/>
      <c r="C42" s="473"/>
      <c r="D42" s="473"/>
      <c r="E42" s="473"/>
      <c r="F42" s="473"/>
      <c r="G42" s="473"/>
      <c r="H42" s="473"/>
      <c r="I42" s="473"/>
      <c r="J42" s="473"/>
      <c r="K42" s="473"/>
      <c r="L42" s="357"/>
      <c r="M42" s="357"/>
      <c r="N42" s="357"/>
      <c r="P42" s="357"/>
      <c r="Q42" s="357"/>
      <c r="R42" s="357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</row>
    <row r="43" spans="2:42" x14ac:dyDescent="0.2"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357"/>
      <c r="M43" s="357"/>
      <c r="N43" s="357"/>
      <c r="O43" s="453"/>
      <c r="P43" s="357"/>
      <c r="Q43" s="357"/>
      <c r="R43" s="357"/>
      <c r="S43" s="453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</row>
    <row r="44" spans="2:42" x14ac:dyDescent="0.2">
      <c r="B44" s="210"/>
      <c r="C44" s="210"/>
      <c r="D44" s="210"/>
      <c r="E44" s="210"/>
      <c r="F44" s="210"/>
      <c r="G44" s="210"/>
      <c r="H44" s="210"/>
      <c r="I44" s="210"/>
      <c r="J44" s="210"/>
      <c r="K44" s="210"/>
    </row>
    <row r="45" spans="2:42" x14ac:dyDescent="0.2"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T45" s="474"/>
      <c r="U45" s="474"/>
      <c r="V45" s="474"/>
      <c r="W45" s="474"/>
      <c r="X45" s="474"/>
      <c r="Y45" s="474"/>
      <c r="Z45" s="474"/>
      <c r="AA45" s="474"/>
      <c r="AB45" s="474"/>
      <c r="AC45" s="474"/>
      <c r="AD45" s="474"/>
      <c r="AE45" s="474"/>
    </row>
    <row r="46" spans="2:42" x14ac:dyDescent="0.2"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T46" s="474"/>
      <c r="U46" s="474"/>
      <c r="V46" s="474"/>
      <c r="W46" s="474"/>
      <c r="X46" s="474"/>
      <c r="Y46" s="474"/>
      <c r="Z46" s="474"/>
      <c r="AA46" s="474"/>
      <c r="AB46" s="474"/>
      <c r="AC46" s="474"/>
      <c r="AD46" s="474"/>
      <c r="AE46" s="474"/>
    </row>
    <row r="47" spans="2:42" x14ac:dyDescent="0.2"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</row>
    <row r="48" spans="2:42" x14ac:dyDescent="0.2"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</row>
    <row r="49" spans="2:11" x14ac:dyDescent="0.2">
      <c r="B49" s="210"/>
      <c r="C49" s="210"/>
      <c r="D49" s="210"/>
      <c r="E49" s="210"/>
      <c r="F49" s="210"/>
      <c r="G49" s="210"/>
      <c r="H49" s="210"/>
      <c r="I49" s="210"/>
      <c r="J49" s="210"/>
      <c r="K49" s="210"/>
    </row>
    <row r="50" spans="2:11" x14ac:dyDescent="0.2">
      <c r="B50" s="210"/>
      <c r="C50" s="210"/>
      <c r="D50" s="210"/>
      <c r="E50" s="210"/>
      <c r="F50" s="210"/>
      <c r="G50" s="210"/>
      <c r="H50" s="210"/>
      <c r="I50" s="210"/>
      <c r="J50" s="210"/>
      <c r="K50" s="210"/>
    </row>
    <row r="51" spans="2:11" x14ac:dyDescent="0.2">
      <c r="B51" s="210"/>
      <c r="C51" s="210"/>
      <c r="D51" s="210"/>
      <c r="E51" s="210"/>
      <c r="F51" s="210"/>
      <c r="G51" s="210"/>
      <c r="H51" s="210"/>
      <c r="I51" s="210"/>
      <c r="J51" s="210"/>
      <c r="K51" s="210"/>
    </row>
    <row r="52" spans="2:11" x14ac:dyDescent="0.2">
      <c r="B52" s="210"/>
      <c r="C52" s="210"/>
      <c r="D52" s="210"/>
      <c r="E52" s="210"/>
      <c r="F52" s="210"/>
      <c r="G52" s="210"/>
      <c r="H52" s="210"/>
      <c r="I52" s="210"/>
      <c r="J52" s="210"/>
      <c r="K52" s="210"/>
    </row>
    <row r="53" spans="2:11" x14ac:dyDescent="0.2">
      <c r="B53" s="210"/>
      <c r="C53" s="210"/>
      <c r="D53" s="210"/>
      <c r="E53" s="210"/>
      <c r="F53" s="210"/>
      <c r="G53" s="210"/>
      <c r="H53" s="210"/>
      <c r="I53" s="210"/>
      <c r="J53" s="210"/>
      <c r="K53" s="210"/>
    </row>
    <row r="54" spans="2:11" x14ac:dyDescent="0.2">
      <c r="B54" s="210"/>
      <c r="C54" s="210"/>
      <c r="D54" s="210"/>
      <c r="E54" s="210"/>
      <c r="F54" s="210"/>
      <c r="G54" s="210"/>
      <c r="H54" s="210"/>
      <c r="I54" s="210"/>
      <c r="J54" s="210"/>
      <c r="K54" s="210"/>
    </row>
    <row r="55" spans="2:11" x14ac:dyDescent="0.2">
      <c r="B55" s="210"/>
      <c r="C55" s="210"/>
      <c r="D55" s="210"/>
      <c r="E55" s="210"/>
      <c r="F55" s="210"/>
      <c r="G55" s="210"/>
      <c r="H55" s="210"/>
      <c r="I55" s="210"/>
      <c r="J55" s="210"/>
      <c r="K55" s="210"/>
    </row>
    <row r="56" spans="2:11" x14ac:dyDescent="0.2">
      <c r="B56" s="210"/>
      <c r="C56" s="210"/>
      <c r="D56" s="210"/>
      <c r="E56" s="210"/>
      <c r="F56" s="210"/>
      <c r="G56" s="210"/>
      <c r="H56" s="210"/>
      <c r="I56" s="210"/>
      <c r="J56" s="210"/>
      <c r="K56" s="210"/>
    </row>
    <row r="57" spans="2:11" x14ac:dyDescent="0.2">
      <c r="B57" s="210"/>
      <c r="C57" s="210"/>
      <c r="D57" s="210"/>
      <c r="E57" s="210"/>
      <c r="F57" s="210"/>
      <c r="G57" s="210"/>
      <c r="H57" s="210"/>
      <c r="I57" s="210"/>
      <c r="J57" s="210"/>
      <c r="K57" s="210"/>
    </row>
    <row r="58" spans="2:11" x14ac:dyDescent="0.2">
      <c r="B58" s="210"/>
      <c r="C58" s="210"/>
      <c r="D58" s="210"/>
      <c r="E58" s="210"/>
      <c r="F58" s="210"/>
      <c r="G58" s="210"/>
      <c r="H58" s="210"/>
      <c r="I58" s="210"/>
      <c r="J58" s="210"/>
      <c r="K58" s="210"/>
    </row>
    <row r="59" spans="2:11" x14ac:dyDescent="0.2">
      <c r="B59" s="210"/>
      <c r="C59" s="210"/>
      <c r="D59" s="210"/>
      <c r="E59" s="210"/>
      <c r="F59" s="210"/>
      <c r="G59" s="210"/>
      <c r="H59" s="210"/>
      <c r="I59" s="210"/>
      <c r="J59" s="210"/>
      <c r="K59" s="210"/>
    </row>
    <row r="60" spans="2:11" x14ac:dyDescent="0.2">
      <c r="B60" s="210"/>
      <c r="C60" s="210"/>
      <c r="D60" s="210"/>
      <c r="E60" s="210"/>
      <c r="F60" s="210"/>
      <c r="G60" s="210"/>
      <c r="H60" s="210"/>
      <c r="I60" s="210"/>
      <c r="J60" s="210"/>
      <c r="K60" s="210"/>
    </row>
    <row r="61" spans="2:11" x14ac:dyDescent="0.2">
      <c r="B61" s="210"/>
      <c r="C61" s="210"/>
      <c r="D61" s="210"/>
      <c r="E61" s="210"/>
      <c r="F61" s="210"/>
      <c r="G61" s="210"/>
      <c r="H61" s="210"/>
      <c r="I61" s="210"/>
      <c r="J61" s="210"/>
      <c r="K61" s="210"/>
    </row>
    <row r="62" spans="2:11" x14ac:dyDescent="0.2">
      <c r="B62" s="210"/>
      <c r="C62" s="210"/>
      <c r="D62" s="210"/>
      <c r="E62" s="210"/>
      <c r="F62" s="210"/>
      <c r="G62" s="210"/>
      <c r="H62" s="210"/>
      <c r="I62" s="210"/>
      <c r="J62" s="210"/>
      <c r="K62" s="210"/>
    </row>
    <row r="63" spans="2:11" x14ac:dyDescent="0.2">
      <c r="B63" s="210"/>
      <c r="C63" s="210"/>
      <c r="D63" s="210"/>
      <c r="E63" s="210"/>
      <c r="F63" s="210"/>
      <c r="G63" s="210"/>
      <c r="H63" s="210"/>
      <c r="I63" s="210"/>
      <c r="J63" s="210"/>
      <c r="K63" s="210"/>
    </row>
    <row r="64" spans="2:11" x14ac:dyDescent="0.2">
      <c r="B64" s="210"/>
      <c r="C64" s="210"/>
      <c r="D64" s="210"/>
      <c r="E64" s="210"/>
      <c r="F64" s="210"/>
      <c r="G64" s="210"/>
      <c r="H64" s="210"/>
      <c r="I64" s="210"/>
      <c r="J64" s="210"/>
      <c r="K64" s="210"/>
    </row>
    <row r="65" spans="2:37" x14ac:dyDescent="0.2">
      <c r="B65" s="210"/>
      <c r="C65" s="210"/>
      <c r="D65" s="210"/>
      <c r="E65" s="210"/>
      <c r="F65" s="210"/>
      <c r="G65" s="210"/>
      <c r="H65" s="210"/>
      <c r="I65" s="210"/>
      <c r="J65" s="210"/>
      <c r="K65" s="210"/>
    </row>
    <row r="66" spans="2:37" x14ac:dyDescent="0.2"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475">
        <f>'Monthly Forecast'!P101</f>
        <v>5554498.4944999591</v>
      </c>
      <c r="M66" s="475">
        <f>'Monthly Forecast'!Q101</f>
        <v>6131662.6566648278</v>
      </c>
      <c r="N66" s="475">
        <f>'Monthly Forecast'!R101</f>
        <v>7461187.5283085769</v>
      </c>
      <c r="O66" s="454"/>
      <c r="P66" s="475">
        <f>'Monthly Forecast'!S101</f>
        <v>8969936.1760380287</v>
      </c>
      <c r="Q66" s="475">
        <f>'Monthly Forecast'!T101</f>
        <v>9754041.9095571712</v>
      </c>
      <c r="R66" s="475">
        <f>'Monthly Forecast'!U101</f>
        <v>9210800.1175826117</v>
      </c>
      <c r="S66" s="454"/>
      <c r="T66" s="45"/>
      <c r="U66" s="45"/>
      <c r="V66" s="34">
        <f>'Monthly Forecast'!Y101</f>
        <v>5809922.4540863642</v>
      </c>
      <c r="W66" s="34">
        <f>'Monthly Forecast'!Z101</f>
        <v>5597374.309774762</v>
      </c>
      <c r="X66" s="34">
        <f>'Monthly Forecast'!AA101</f>
        <v>5589634.0856856974</v>
      </c>
      <c r="Y66" s="34">
        <f>'Monthly Forecast'!AB101</f>
        <v>5563686.6540078353</v>
      </c>
      <c r="Z66" s="34">
        <f>'Monthly Forecast'!AC101</f>
        <v>6141449.546594847</v>
      </c>
      <c r="AA66" s="34">
        <f>'Monthly Forecast'!AD101</f>
        <v>7473813.6699058283</v>
      </c>
      <c r="AB66" s="34">
        <f>'Monthly Forecast'!AE101</f>
        <v>8985519.7861996684</v>
      </c>
      <c r="AC66" s="34">
        <f>'Monthly Forecast'!AF101</f>
        <v>9772427.3792178426</v>
      </c>
      <c r="AD66" s="34">
        <f>'Monthly Forecast'!AG101</f>
        <v>9230514.5556069016</v>
      </c>
      <c r="AE66" s="34">
        <f>'Monthly Forecast'!AH101</f>
        <v>9534436.3410003837</v>
      </c>
      <c r="AF66" s="454">
        <f>SUM(V66:AE66)</f>
        <v>73698778.782080129</v>
      </c>
      <c r="AG66" s="34"/>
      <c r="AH66" s="34">
        <f>SUM('Monthly Forecast'!AH101:AS101)</f>
        <v>87535426.043408513</v>
      </c>
      <c r="AI66" s="34">
        <f>SUM('Monthly Forecast'!AT101:BE101)</f>
        <v>87676306.572699457</v>
      </c>
      <c r="AJ66" s="34">
        <f>SUM('Monthly Forecast'!BF101:BQ101)</f>
        <v>87815760.635872468</v>
      </c>
      <c r="AK66" s="34">
        <f>SUM('Monthly Forecast'!BR101:CC101)</f>
        <v>87958529.406722888</v>
      </c>
    </row>
    <row r="67" spans="2:37" x14ac:dyDescent="0.2"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34">
        <f t="shared" ref="L67:R67" si="35">L28-L66</f>
        <v>3415437.6815380715</v>
      </c>
      <c r="M67" s="34">
        <f t="shared" si="35"/>
        <v>3622379.2528923471</v>
      </c>
      <c r="N67" s="34">
        <f t="shared" si="35"/>
        <v>1749612.5892740311</v>
      </c>
      <c r="O67" s="454"/>
      <c r="P67" s="34">
        <f t="shared" si="35"/>
        <v>550340.99787514098</v>
      </c>
      <c r="Q67" s="34">
        <f t="shared" si="35"/>
        <v>-2341391.7445393521</v>
      </c>
      <c r="R67" s="34">
        <f t="shared" si="35"/>
        <v>-2917555.8839887613</v>
      </c>
      <c r="S67" s="454"/>
      <c r="T67" s="45"/>
      <c r="U67" s="45"/>
      <c r="V67" s="34">
        <f t="shared" ref="V67:AE67" si="36">V28-V66</f>
        <v>-220288.36840066593</v>
      </c>
      <c r="W67" s="34">
        <f t="shared" si="36"/>
        <v>-33687.655766926706</v>
      </c>
      <c r="X67" s="34">
        <f t="shared" si="36"/>
        <v>551815.46090914868</v>
      </c>
      <c r="Y67" s="34">
        <f t="shared" si="36"/>
        <v>1910127.0158979939</v>
      </c>
      <c r="Z67" s="34">
        <f t="shared" si="36"/>
        <v>2844070.2396048214</v>
      </c>
      <c r="AA67" s="34">
        <f t="shared" si="36"/>
        <v>2298613.7093120161</v>
      </c>
      <c r="AB67" s="34">
        <f t="shared" si="36"/>
        <v>244994.76940723509</v>
      </c>
      <c r="AC67" s="34">
        <f t="shared" si="36"/>
        <v>-237991.03821745701</v>
      </c>
      <c r="AD67" s="34">
        <f t="shared" si="36"/>
        <v>-1805834.6397630116</v>
      </c>
      <c r="AE67" s="34">
        <f t="shared" si="36"/>
        <v>-3231416.2569587007</v>
      </c>
      <c r="AF67" s="454">
        <f>SUM(V67:AE67)</f>
        <v>2320403.2360244533</v>
      </c>
      <c r="AG67" s="34"/>
      <c r="AH67" s="34" t="e">
        <f>#REF!-AH66</f>
        <v>#REF!</v>
      </c>
      <c r="AI67" s="34" t="e">
        <f>#REF!-AI66</f>
        <v>#REF!</v>
      </c>
      <c r="AJ67" s="34" t="e">
        <f>#REF!-AJ66</f>
        <v>#REF!</v>
      </c>
      <c r="AK67" s="34" t="e">
        <f>#REF!-AK66</f>
        <v>#REF!</v>
      </c>
    </row>
    <row r="68" spans="2:37" x14ac:dyDescent="0.2">
      <c r="B68" s="210" t="s">
        <v>361</v>
      </c>
      <c r="C68" s="210"/>
      <c r="D68" s="210"/>
      <c r="E68" s="210"/>
      <c r="F68" s="210"/>
      <c r="G68" s="210"/>
      <c r="H68" s="210"/>
      <c r="I68" s="210"/>
      <c r="J68" s="210"/>
      <c r="K68" s="210"/>
      <c r="L68" s="357">
        <f t="shared" ref="L68:AF68" si="37">(L11+L12+L14)*0.5%</f>
        <v>89867.910231155824</v>
      </c>
      <c r="M68" s="357">
        <f t="shared" si="37"/>
        <v>101829.56303736421</v>
      </c>
      <c r="N68" s="357">
        <f t="shared" si="37"/>
        <v>100450.56093040023</v>
      </c>
      <c r="O68" s="357">
        <f>(O11+O12+O14)*0.5%</f>
        <v>730216.25105157297</v>
      </c>
      <c r="P68" s="357">
        <f t="shared" si="37"/>
        <v>94113.042178430012</v>
      </c>
      <c r="Q68" s="357">
        <f t="shared" si="37"/>
        <v>61275.412341360126</v>
      </c>
      <c r="R68" s="357">
        <f t="shared" si="37"/>
        <v>40229.704309879628</v>
      </c>
      <c r="S68" s="357">
        <f>(S11+S12+S14)*0.5%</f>
        <v>0</v>
      </c>
      <c r="T68" s="385"/>
      <c r="U68" s="385"/>
      <c r="V68" s="357">
        <f t="shared" si="37"/>
        <v>28707.849542173557</v>
      </c>
      <c r="W68" s="357">
        <f t="shared" si="37"/>
        <v>28913.28390387963</v>
      </c>
      <c r="X68" s="357">
        <f t="shared" si="37"/>
        <v>36387.847998030105</v>
      </c>
      <c r="Y68" s="357">
        <f t="shared" si="37"/>
        <v>62050.909752694097</v>
      </c>
      <c r="Z68" s="357">
        <f t="shared" si="37"/>
        <v>92718.092783109896</v>
      </c>
      <c r="AA68" s="357">
        <f t="shared" si="37"/>
        <v>105159.55648385141</v>
      </c>
      <c r="AB68" s="357">
        <f t="shared" si="37"/>
        <v>101577.04316166374</v>
      </c>
      <c r="AC68" s="357">
        <f t="shared" si="37"/>
        <v>95078.144073032818</v>
      </c>
      <c r="AD68" s="357">
        <f t="shared" si="37"/>
        <v>61850.949037113533</v>
      </c>
      <c r="AE68" s="357">
        <f t="shared" si="37"/>
        <v>41220.565997801423</v>
      </c>
      <c r="AF68" s="357">
        <f t="shared" si="37"/>
        <v>714375.42044999753</v>
      </c>
      <c r="AG68" s="357"/>
      <c r="AH68" s="357" t="e">
        <f>(#REF!+#REF!+#REF!)*0.5%</f>
        <v>#REF!</v>
      </c>
      <c r="AI68" s="357" t="e">
        <f>(#REF!+#REF!+#REF!)*0.5%</f>
        <v>#REF!</v>
      </c>
      <c r="AJ68" s="357" t="e">
        <f>(#REF!+#REF!+#REF!)*0.5%</f>
        <v>#REF!</v>
      </c>
      <c r="AK68" s="357" t="e">
        <f>(#REF!+#REF!+#REF!)*0.5%</f>
        <v>#REF!</v>
      </c>
    </row>
    <row r="69" spans="2:37" x14ac:dyDescent="0.2">
      <c r="B69" s="210" t="s">
        <v>362</v>
      </c>
      <c r="C69" s="210"/>
      <c r="D69" s="210"/>
      <c r="E69" s="210"/>
      <c r="F69" s="210"/>
      <c r="G69" s="210"/>
      <c r="H69" s="210"/>
      <c r="I69" s="210"/>
      <c r="J69" s="210"/>
      <c r="K69" s="210"/>
      <c r="L69" s="357"/>
      <c r="M69" s="357"/>
      <c r="N69" s="357"/>
      <c r="O69" s="357"/>
      <c r="P69" s="357"/>
      <c r="Q69" s="357"/>
      <c r="R69" s="357"/>
      <c r="S69" s="357"/>
      <c r="T69" s="385"/>
      <c r="U69" s="385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  <c r="AJ69" s="357"/>
      <c r="AK69" s="357"/>
    </row>
    <row r="70" spans="2:37" x14ac:dyDescent="0.2">
      <c r="B70" s="210" t="s">
        <v>404</v>
      </c>
      <c r="C70" s="210"/>
      <c r="D70" s="210"/>
      <c r="E70" s="210"/>
      <c r="F70" s="210"/>
      <c r="G70" s="210"/>
      <c r="H70" s="210"/>
      <c r="I70" s="210"/>
      <c r="J70" s="210"/>
      <c r="K70" s="210"/>
      <c r="L70" s="357"/>
      <c r="M70" s="357"/>
      <c r="N70" s="357"/>
      <c r="O70" s="453"/>
      <c r="P70" s="357"/>
      <c r="Q70" s="357"/>
      <c r="R70" s="357"/>
      <c r="S70" s="453"/>
      <c r="T70" s="385"/>
      <c r="U70" s="385"/>
      <c r="AG70" s="357"/>
      <c r="AH70" s="357"/>
      <c r="AI70" s="357"/>
      <c r="AJ70" s="357"/>
      <c r="AK70" s="357"/>
    </row>
    <row r="71" spans="2:37" x14ac:dyDescent="0.2"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357"/>
      <c r="M71" s="357"/>
      <c r="N71" s="357"/>
      <c r="O71" s="453"/>
      <c r="P71" s="357"/>
      <c r="Q71" s="357"/>
      <c r="R71" s="357"/>
      <c r="S71" s="453"/>
      <c r="T71" s="385"/>
      <c r="U71" s="385"/>
      <c r="AG71" s="357"/>
      <c r="AH71" s="357"/>
      <c r="AI71" s="357"/>
      <c r="AJ71" s="357"/>
      <c r="AK71" s="357"/>
    </row>
    <row r="72" spans="2:37" x14ac:dyDescent="0.2">
      <c r="L72" s="357"/>
      <c r="M72" s="357"/>
      <c r="N72" s="357"/>
      <c r="O72" s="453"/>
      <c r="P72" s="357"/>
      <c r="Q72" s="357"/>
      <c r="R72" s="357"/>
      <c r="S72" s="453"/>
      <c r="T72" s="385"/>
      <c r="U72" s="385"/>
      <c r="AG72" s="357"/>
      <c r="AH72" s="357"/>
      <c r="AI72" s="357"/>
      <c r="AJ72" s="357"/>
      <c r="AK72" s="357"/>
    </row>
    <row r="73" spans="2:37" x14ac:dyDescent="0.2">
      <c r="L73" s="357"/>
      <c r="M73" s="357"/>
      <c r="N73" s="357"/>
      <c r="O73" s="453"/>
      <c r="P73" s="357"/>
      <c r="Q73" s="357"/>
      <c r="R73" s="357"/>
      <c r="S73" s="453"/>
      <c r="T73" s="385"/>
      <c r="U73" s="385"/>
      <c r="AG73" s="357"/>
      <c r="AH73" s="357"/>
      <c r="AI73" s="357"/>
      <c r="AJ73" s="357"/>
      <c r="AK73" s="357"/>
    </row>
    <row r="74" spans="2:37" x14ac:dyDescent="0.2">
      <c r="L74" s="357"/>
      <c r="M74" s="357"/>
      <c r="N74" s="357"/>
      <c r="O74" s="453"/>
      <c r="P74" s="357"/>
      <c r="Q74" s="357"/>
      <c r="R74" s="357"/>
      <c r="S74" s="453"/>
      <c r="T74" s="385"/>
      <c r="U74" s="385"/>
      <c r="AG74" s="357"/>
      <c r="AH74" s="357"/>
      <c r="AI74" s="357"/>
      <c r="AJ74" s="357"/>
      <c r="AK74" s="357"/>
    </row>
  </sheetData>
  <mergeCells count="1">
    <mergeCell ref="AG6:AL6"/>
  </mergeCells>
  <phoneticPr fontId="4" type="noConversion"/>
  <pageMargins left="0.75" right="0.75" top="1" bottom="1" header="0.5" footer="0.5"/>
  <pageSetup scale="4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FF00"/>
  </sheetPr>
  <dimension ref="B6:AP42"/>
  <sheetViews>
    <sheetView view="pageBreakPreview" zoomScale="60" zoomScaleNormal="115" workbookViewId="0">
      <pane xSplit="2" ySplit="7" topLeftCell="C8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9.140625" defaultRowHeight="12.75" x14ac:dyDescent="0.2"/>
  <cols>
    <col min="1" max="1" width="12.42578125" style="204" bestFit="1" customWidth="1"/>
    <col min="2" max="2" width="24.28515625" style="204" bestFit="1" customWidth="1"/>
    <col min="3" max="14" width="9" style="204" bestFit="1" customWidth="1"/>
    <col min="15" max="15" width="10" style="459" bestFit="1" customWidth="1"/>
    <col min="16" max="18" width="9" style="204" bestFit="1" customWidth="1"/>
    <col min="19" max="19" width="13.42578125" style="459" bestFit="1" customWidth="1"/>
    <col min="20" max="21" width="9" style="210" bestFit="1" customWidth="1"/>
    <col min="22" max="31" width="9" style="34" bestFit="1" customWidth="1"/>
    <col min="32" max="32" width="10.5703125" style="454" bestFit="1" customWidth="1"/>
    <col min="33" max="38" width="9.85546875" style="204" bestFit="1" customWidth="1"/>
    <col min="39" max="16384" width="9.140625" style="204"/>
  </cols>
  <sheetData>
    <row r="6" spans="2:42" x14ac:dyDescent="0.2">
      <c r="L6" s="443"/>
      <c r="M6" s="443"/>
      <c r="N6" s="443"/>
      <c r="O6" s="444"/>
      <c r="P6" s="443"/>
      <c r="Q6" s="443"/>
      <c r="R6" s="443"/>
      <c r="S6" s="444"/>
      <c r="T6" s="445"/>
      <c r="U6" s="445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7"/>
      <c r="AG6" s="714" t="s">
        <v>552</v>
      </c>
      <c r="AH6" s="714"/>
      <c r="AI6" s="714"/>
      <c r="AJ6" s="714"/>
      <c r="AK6" s="714"/>
      <c r="AL6" s="714"/>
    </row>
    <row r="7" spans="2:42" x14ac:dyDescent="0.2">
      <c r="C7" s="448">
        <f>'Summary of Revenue'!C7</f>
        <v>42094</v>
      </c>
      <c r="D7" s="448">
        <f>'Summary of Revenue'!D7</f>
        <v>42124</v>
      </c>
      <c r="E7" s="448">
        <f>'Summary of Revenue'!E7</f>
        <v>42155</v>
      </c>
      <c r="F7" s="448">
        <f>'Summary of Revenue'!F7</f>
        <v>42185</v>
      </c>
      <c r="G7" s="449">
        <f>'Summary of Revenue'!G7</f>
        <v>42216</v>
      </c>
      <c r="H7" s="449">
        <f>'Summary of Revenue'!H7</f>
        <v>42247</v>
      </c>
      <c r="I7" s="449">
        <f>'Summary of Revenue'!I7</f>
        <v>42277</v>
      </c>
      <c r="J7" s="449">
        <f>'Summary of Revenue'!J7</f>
        <v>42308</v>
      </c>
      <c r="K7" s="449">
        <f>'Summary of Revenue'!K7</f>
        <v>42338</v>
      </c>
      <c r="L7" s="449">
        <f>'Summary of Revenue'!L7</f>
        <v>42369</v>
      </c>
      <c r="M7" s="449">
        <f>'Summary of Revenue'!M7</f>
        <v>42400</v>
      </c>
      <c r="N7" s="449">
        <f>'Summary of Revenue'!N7</f>
        <v>42429</v>
      </c>
      <c r="O7" s="450" t="s">
        <v>621</v>
      </c>
      <c r="P7" s="449">
        <f>'Summary of Revenue'!P7</f>
        <v>42460</v>
      </c>
      <c r="Q7" s="449">
        <f>'Summary of Revenue'!Q7</f>
        <v>42490</v>
      </c>
      <c r="R7" s="449">
        <f>'Summary of Revenue'!R7</f>
        <v>42521</v>
      </c>
      <c r="S7" s="450"/>
      <c r="T7" s="448">
        <f>'Summary of Revenue'!T7</f>
        <v>42551</v>
      </c>
      <c r="U7" s="449">
        <f>'Summary of Revenue'!U7</f>
        <v>42582</v>
      </c>
      <c r="V7" s="449">
        <f>'Summary of Revenue'!V7</f>
        <v>42613</v>
      </c>
      <c r="W7" s="449">
        <f>'Summary of Revenue'!W7</f>
        <v>42643</v>
      </c>
      <c r="X7" s="449">
        <f>'Summary of Revenue'!X7</f>
        <v>42674</v>
      </c>
      <c r="Y7" s="449">
        <f>'Summary of Revenue'!Y7</f>
        <v>42704</v>
      </c>
      <c r="Z7" s="449">
        <f>'Summary of Revenue'!Z7</f>
        <v>42735</v>
      </c>
      <c r="AA7" s="449">
        <f>'Summary of Revenue'!AA7</f>
        <v>42766</v>
      </c>
      <c r="AB7" s="449">
        <f>'Summary of Revenue'!AB7</f>
        <v>42794</v>
      </c>
      <c r="AC7" s="449">
        <f>'Summary of Revenue'!AC7</f>
        <v>42825</v>
      </c>
      <c r="AD7" s="449">
        <f>'Summary of Revenue'!AD7</f>
        <v>42855</v>
      </c>
      <c r="AE7" s="449">
        <f>'Summary of Revenue'!AE7</f>
        <v>42886</v>
      </c>
      <c r="AF7" s="451" t="s">
        <v>337</v>
      </c>
      <c r="AG7" s="452">
        <f>'Summary of Revenue'!AG7</f>
        <v>2015</v>
      </c>
      <c r="AH7" s="452">
        <f>AG7+1</f>
        <v>2016</v>
      </c>
      <c r="AI7" s="452">
        <f t="shared" ref="AI7:AL7" si="0">AH7+1</f>
        <v>2017</v>
      </c>
      <c r="AJ7" s="452">
        <f t="shared" si="0"/>
        <v>2018</v>
      </c>
      <c r="AK7" s="452">
        <f t="shared" si="0"/>
        <v>2019</v>
      </c>
      <c r="AL7" s="452">
        <f t="shared" si="0"/>
        <v>2020</v>
      </c>
    </row>
    <row r="9" spans="2:42" x14ac:dyDescent="0.2">
      <c r="L9" s="357"/>
      <c r="M9" s="357"/>
      <c r="N9" s="357"/>
      <c r="O9" s="453"/>
      <c r="P9" s="357"/>
      <c r="Q9" s="357"/>
      <c r="R9" s="357"/>
      <c r="S9" s="453"/>
      <c r="T9" s="385"/>
      <c r="U9" s="385"/>
      <c r="AG9" s="357"/>
      <c r="AH9" s="357"/>
      <c r="AI9" s="357"/>
      <c r="AJ9" s="357"/>
      <c r="AK9" s="357"/>
      <c r="AL9" s="357"/>
      <c r="AM9" s="357"/>
      <c r="AN9" s="357"/>
      <c r="AO9" s="357"/>
      <c r="AP9" s="357"/>
    </row>
    <row r="10" spans="2:42" x14ac:dyDescent="0.2">
      <c r="B10" s="455" t="s">
        <v>360</v>
      </c>
      <c r="C10" s="455"/>
      <c r="D10" s="455"/>
      <c r="E10" s="455"/>
      <c r="F10" s="456"/>
      <c r="G10" s="456"/>
      <c r="H10" s="456"/>
      <c r="I10" s="456"/>
      <c r="J10" s="456"/>
      <c r="K10" s="456"/>
      <c r="L10" s="357"/>
      <c r="M10" s="357"/>
      <c r="N10" s="357"/>
      <c r="O10" s="453"/>
      <c r="P10" s="385"/>
      <c r="Q10" s="385"/>
      <c r="R10" s="385"/>
      <c r="S10" s="453"/>
      <c r="T10" s="385"/>
      <c r="U10" s="385"/>
      <c r="AG10" s="385"/>
      <c r="AH10" s="385"/>
      <c r="AI10" s="385"/>
      <c r="AJ10" s="385"/>
      <c r="AK10" s="385"/>
      <c r="AL10" s="210"/>
      <c r="AM10" s="357"/>
      <c r="AN10" s="357"/>
      <c r="AO10" s="357"/>
      <c r="AP10" s="357"/>
    </row>
    <row r="11" spans="2:42" ht="15.75" x14ac:dyDescent="0.25">
      <c r="B11" s="457" t="s">
        <v>94</v>
      </c>
      <c r="C11" s="45">
        <f>'Monthly Forecast'!J12</f>
        <v>175369</v>
      </c>
      <c r="D11" s="45">
        <f>'Monthly Forecast'!K12</f>
        <v>158239</v>
      </c>
      <c r="E11" s="45">
        <f>'Monthly Forecast'!L12</f>
        <v>156709</v>
      </c>
      <c r="F11" s="45">
        <f>'Monthly Forecast'!M12</f>
        <v>156293</v>
      </c>
      <c r="G11" s="45">
        <f>'Monthly Forecast'!N12</f>
        <v>154293</v>
      </c>
      <c r="H11" s="45">
        <f>'Monthly Forecast'!O12</f>
        <v>151835</v>
      </c>
      <c r="I11" s="45">
        <f>'Monthly Forecast'!P12</f>
        <v>151412</v>
      </c>
      <c r="J11" s="45">
        <f>'Monthly Forecast'!Q12</f>
        <v>152919</v>
      </c>
      <c r="K11" s="45">
        <f>'Monthly Forecast'!R12</f>
        <v>152794</v>
      </c>
      <c r="L11" s="45">
        <f>'Monthly Forecast'!S12</f>
        <v>158320</v>
      </c>
      <c r="M11" s="45">
        <f>'Monthly Forecast'!T12</f>
        <v>158273</v>
      </c>
      <c r="N11" s="45">
        <f>'Monthly Forecast'!U12</f>
        <v>141581</v>
      </c>
      <c r="O11" s="454">
        <f>AVERAGE(C11:N11)</f>
        <v>155669.75</v>
      </c>
      <c r="P11" s="45">
        <f>'Monthly Forecast'!V12</f>
        <v>175769</v>
      </c>
      <c r="Q11" s="45">
        <f>'Monthly Forecast'!W12</f>
        <v>158639</v>
      </c>
      <c r="R11" s="45">
        <f>'Monthly Forecast'!X12</f>
        <v>157109</v>
      </c>
      <c r="S11" s="454"/>
      <c r="T11" s="45">
        <f>'Monthly Forecast'!Y12</f>
        <v>156693</v>
      </c>
      <c r="U11" s="45">
        <f>'Monthly Forecast'!Z12</f>
        <v>154693</v>
      </c>
      <c r="V11" s="45">
        <f>'Monthly Forecast'!AA12</f>
        <v>152235</v>
      </c>
      <c r="W11" s="45">
        <f>'Monthly Forecast'!AB12</f>
        <v>151812</v>
      </c>
      <c r="X11" s="45">
        <f>'Monthly Forecast'!AC12</f>
        <v>153319</v>
      </c>
      <c r="Y11" s="45">
        <f>'Monthly Forecast'!AD12</f>
        <v>153194</v>
      </c>
      <c r="Z11" s="45">
        <f>'Monthly Forecast'!AE12</f>
        <v>158720</v>
      </c>
      <c r="AA11" s="45">
        <f>'Monthly Forecast'!AF12</f>
        <v>158673</v>
      </c>
      <c r="AB11" s="45">
        <f>'Monthly Forecast'!AG12</f>
        <v>141981</v>
      </c>
      <c r="AC11" s="45">
        <f>'Monthly Forecast'!AH12</f>
        <v>176169</v>
      </c>
      <c r="AD11" s="45">
        <f>'Monthly Forecast'!AI12</f>
        <v>159039</v>
      </c>
      <c r="AE11" s="45">
        <f>'Monthly Forecast'!AJ12</f>
        <v>157509</v>
      </c>
      <c r="AF11" s="454">
        <f>AVERAGE(T11:AE11)</f>
        <v>156169.75</v>
      </c>
      <c r="AG11" s="45">
        <v>155503.08333333334</v>
      </c>
      <c r="AH11" s="45">
        <v>155903.08333333334</v>
      </c>
      <c r="AI11" s="45">
        <v>156303.08333333334</v>
      </c>
      <c r="AJ11" s="45">
        <v>156703.08333333334</v>
      </c>
      <c r="AK11" s="45">
        <v>157103.08333333334</v>
      </c>
      <c r="AL11" s="45">
        <v>157503.08333333334</v>
      </c>
      <c r="AM11" s="357"/>
      <c r="AN11" s="357"/>
      <c r="AO11" s="357"/>
      <c r="AP11" s="357"/>
    </row>
    <row r="12" spans="2:42" ht="15.75" x14ac:dyDescent="0.25">
      <c r="B12" s="457" t="s">
        <v>124</v>
      </c>
      <c r="C12" s="45">
        <f>'Monthly Forecast'!J21+'Monthly Forecast'!J48</f>
        <v>19216</v>
      </c>
      <c r="D12" s="45">
        <f>'Monthly Forecast'!K21+'Monthly Forecast'!K48</f>
        <v>17749</v>
      </c>
      <c r="E12" s="45">
        <f>'Monthly Forecast'!L21+'Monthly Forecast'!L48</f>
        <v>17374</v>
      </c>
      <c r="F12" s="45">
        <f>'Monthly Forecast'!M21+'Monthly Forecast'!M48</f>
        <v>17241</v>
      </c>
      <c r="G12" s="45">
        <f>'Monthly Forecast'!N21+'Monthly Forecast'!N48</f>
        <v>17101</v>
      </c>
      <c r="H12" s="45">
        <f>'Monthly Forecast'!O21+'Monthly Forecast'!O48</f>
        <v>16770</v>
      </c>
      <c r="I12" s="45">
        <f>'Monthly Forecast'!P21+'Monthly Forecast'!P48</f>
        <v>16765</v>
      </c>
      <c r="J12" s="45">
        <f>'Monthly Forecast'!Q21+'Monthly Forecast'!Q48</f>
        <v>16902</v>
      </c>
      <c r="K12" s="45">
        <f>'Monthly Forecast'!R21+'Monthly Forecast'!R48</f>
        <v>16922</v>
      </c>
      <c r="L12" s="45">
        <f>'Monthly Forecast'!S21+'Monthly Forecast'!S48</f>
        <v>17701</v>
      </c>
      <c r="M12" s="45">
        <f>'Monthly Forecast'!T21+'Monthly Forecast'!T48</f>
        <v>17813</v>
      </c>
      <c r="N12" s="45">
        <f>'Monthly Forecast'!U21+'Monthly Forecast'!U48</f>
        <v>16333</v>
      </c>
      <c r="O12" s="454">
        <f t="shared" ref="O12:O15" si="1">AVERAGE(C12:N12)</f>
        <v>17323.916666666668</v>
      </c>
      <c r="P12" s="45">
        <f>'Monthly Forecast'!V21+'Monthly Forecast'!V48</f>
        <v>19216</v>
      </c>
      <c r="Q12" s="45">
        <f>'Monthly Forecast'!W21+'Monthly Forecast'!W48</f>
        <v>17749</v>
      </c>
      <c r="R12" s="45">
        <f>'Monthly Forecast'!X21+'Monthly Forecast'!X48</f>
        <v>17374</v>
      </c>
      <c r="S12" s="454"/>
      <c r="T12" s="45">
        <f>'Monthly Forecast'!Y21+'Monthly Forecast'!Y48</f>
        <v>17241</v>
      </c>
      <c r="U12" s="45">
        <f>'Monthly Forecast'!Z21+'Monthly Forecast'!Z48</f>
        <v>17101</v>
      </c>
      <c r="V12" s="45">
        <f>'Monthly Forecast'!AA21+'Monthly Forecast'!AA48</f>
        <v>16770</v>
      </c>
      <c r="W12" s="45">
        <f>'Monthly Forecast'!AB21+'Monthly Forecast'!AB48</f>
        <v>16765</v>
      </c>
      <c r="X12" s="45">
        <f>'Monthly Forecast'!AC21+'Monthly Forecast'!AC48</f>
        <v>16902</v>
      </c>
      <c r="Y12" s="45">
        <f>'Monthly Forecast'!AD21+'Monthly Forecast'!AD48</f>
        <v>16922</v>
      </c>
      <c r="Z12" s="45">
        <f>'Monthly Forecast'!AE21+'Monthly Forecast'!AE48</f>
        <v>17701</v>
      </c>
      <c r="AA12" s="45">
        <f>'Monthly Forecast'!AF21+'Monthly Forecast'!AF48</f>
        <v>17813</v>
      </c>
      <c r="AB12" s="45">
        <f>'Monthly Forecast'!AG21+'Monthly Forecast'!AG48</f>
        <v>16333</v>
      </c>
      <c r="AC12" s="45">
        <f>'Monthly Forecast'!AH21+'Monthly Forecast'!AH48</f>
        <v>19216</v>
      </c>
      <c r="AD12" s="45">
        <f>'Monthly Forecast'!AI21+'Monthly Forecast'!AI48</f>
        <v>17749</v>
      </c>
      <c r="AE12" s="45">
        <f>'Monthly Forecast'!AJ21+'Monthly Forecast'!AJ48</f>
        <v>17374</v>
      </c>
      <c r="AF12" s="454">
        <f t="shared" ref="AF12:AF15" si="2">AVERAGE(T12:AE12)</f>
        <v>17323.916666666668</v>
      </c>
      <c r="AG12" s="45">
        <v>17323.916666666664</v>
      </c>
      <c r="AH12" s="45">
        <v>17323.916666666664</v>
      </c>
      <c r="AI12" s="45">
        <v>17323.916666666664</v>
      </c>
      <c r="AJ12" s="45">
        <v>17323.916666666664</v>
      </c>
      <c r="AK12" s="45">
        <v>17323.916666666664</v>
      </c>
      <c r="AL12" s="45">
        <v>17323.916666666664</v>
      </c>
      <c r="AM12" s="357"/>
      <c r="AN12" s="357"/>
      <c r="AO12" s="357"/>
      <c r="AP12" s="357"/>
    </row>
    <row r="13" spans="2:42" ht="15.75" x14ac:dyDescent="0.25">
      <c r="B13" s="457" t="s">
        <v>328</v>
      </c>
      <c r="C13" s="45">
        <f>'Monthly Forecast'!J30+'Monthly Forecast'!J56</f>
        <v>243</v>
      </c>
      <c r="D13" s="45">
        <f>'Monthly Forecast'!K30+'Monthly Forecast'!K56</f>
        <v>207</v>
      </c>
      <c r="E13" s="45">
        <f>'Monthly Forecast'!L30+'Monthly Forecast'!L56</f>
        <v>201</v>
      </c>
      <c r="F13" s="45">
        <f>'Monthly Forecast'!M30+'Monthly Forecast'!M56</f>
        <v>213</v>
      </c>
      <c r="G13" s="45">
        <f>'Monthly Forecast'!N30+'Monthly Forecast'!N56</f>
        <v>201</v>
      </c>
      <c r="H13" s="45">
        <f>'Monthly Forecast'!O30+'Monthly Forecast'!O56</f>
        <v>219</v>
      </c>
      <c r="I13" s="45">
        <f>'Monthly Forecast'!P30+'Monthly Forecast'!P56</f>
        <v>195</v>
      </c>
      <c r="J13" s="45">
        <f>'Monthly Forecast'!Q30+'Monthly Forecast'!Q56</f>
        <v>204</v>
      </c>
      <c r="K13" s="45">
        <f>'Monthly Forecast'!R30+'Monthly Forecast'!R56</f>
        <v>191</v>
      </c>
      <c r="L13" s="45">
        <f>'Monthly Forecast'!S30+'Monthly Forecast'!S56</f>
        <v>208</v>
      </c>
      <c r="M13" s="45">
        <f>'Monthly Forecast'!T30+'Monthly Forecast'!T56</f>
        <v>212</v>
      </c>
      <c r="N13" s="45">
        <f>'Monthly Forecast'!U30+'Monthly Forecast'!U56</f>
        <v>178</v>
      </c>
      <c r="O13" s="454">
        <f t="shared" si="1"/>
        <v>206</v>
      </c>
      <c r="P13" s="45">
        <f>'Monthly Forecast'!V30+'Monthly Forecast'!V56</f>
        <v>243</v>
      </c>
      <c r="Q13" s="45">
        <f>'Monthly Forecast'!W30+'Monthly Forecast'!W56</f>
        <v>207</v>
      </c>
      <c r="R13" s="45">
        <f>'Monthly Forecast'!X30+'Monthly Forecast'!X56</f>
        <v>201</v>
      </c>
      <c r="S13" s="454"/>
      <c r="T13" s="45">
        <f>'Monthly Forecast'!Y30+'Monthly Forecast'!Y56</f>
        <v>213</v>
      </c>
      <c r="U13" s="45">
        <f>'Monthly Forecast'!Z30+'Monthly Forecast'!Z56</f>
        <v>201</v>
      </c>
      <c r="V13" s="45">
        <f>'Monthly Forecast'!AA30+'Monthly Forecast'!AA56</f>
        <v>219</v>
      </c>
      <c r="W13" s="45">
        <f>'Monthly Forecast'!AB30+'Monthly Forecast'!AB56</f>
        <v>195</v>
      </c>
      <c r="X13" s="45">
        <f>'Monthly Forecast'!AC30+'Monthly Forecast'!AC56</f>
        <v>204</v>
      </c>
      <c r="Y13" s="45">
        <f>'Monthly Forecast'!AD30+'Monthly Forecast'!AD56</f>
        <v>191</v>
      </c>
      <c r="Z13" s="45">
        <f>'Monthly Forecast'!AE30+'Monthly Forecast'!AE56</f>
        <v>208</v>
      </c>
      <c r="AA13" s="45">
        <f>'Monthly Forecast'!AF30+'Monthly Forecast'!AF56</f>
        <v>212</v>
      </c>
      <c r="AB13" s="45">
        <f>'Monthly Forecast'!AG30+'Monthly Forecast'!AG56</f>
        <v>178</v>
      </c>
      <c r="AC13" s="45">
        <f>'Monthly Forecast'!AH30+'Monthly Forecast'!AH56</f>
        <v>243</v>
      </c>
      <c r="AD13" s="45">
        <f>'Monthly Forecast'!AI30+'Monthly Forecast'!AI56</f>
        <v>207</v>
      </c>
      <c r="AE13" s="45">
        <f>'Monthly Forecast'!AJ30+'Monthly Forecast'!AJ56</f>
        <v>201</v>
      </c>
      <c r="AF13" s="454">
        <f t="shared" si="2"/>
        <v>206</v>
      </c>
      <c r="AG13" s="45">
        <v>206</v>
      </c>
      <c r="AH13" s="45">
        <v>206</v>
      </c>
      <c r="AI13" s="45">
        <v>206</v>
      </c>
      <c r="AJ13" s="45">
        <v>206</v>
      </c>
      <c r="AK13" s="45">
        <v>206</v>
      </c>
      <c r="AL13" s="45">
        <v>206</v>
      </c>
      <c r="AM13" s="357"/>
      <c r="AN13" s="357"/>
      <c r="AO13" s="357"/>
      <c r="AP13" s="357"/>
    </row>
    <row r="14" spans="2:42" ht="15.75" x14ac:dyDescent="0.25">
      <c r="B14" s="457" t="s">
        <v>329</v>
      </c>
      <c r="C14" s="364">
        <f>'Monthly Forecast'!J39</f>
        <v>1769</v>
      </c>
      <c r="D14" s="364">
        <f>'Monthly Forecast'!K39</f>
        <v>1555</v>
      </c>
      <c r="E14" s="364">
        <f>'Monthly Forecast'!L39</f>
        <v>1550</v>
      </c>
      <c r="F14" s="364">
        <f>'Monthly Forecast'!M39</f>
        <v>1563</v>
      </c>
      <c r="G14" s="364">
        <f>'Monthly Forecast'!N39</f>
        <v>1563</v>
      </c>
      <c r="H14" s="364">
        <f>'Monthly Forecast'!O39</f>
        <v>1507</v>
      </c>
      <c r="I14" s="364">
        <f>'Monthly Forecast'!P39</f>
        <v>1544</v>
      </c>
      <c r="J14" s="364">
        <f>'Monthly Forecast'!Q39</f>
        <v>1572</v>
      </c>
      <c r="K14" s="364">
        <f>'Monthly Forecast'!R39</f>
        <v>1520</v>
      </c>
      <c r="L14" s="364">
        <f>'Monthly Forecast'!S39</f>
        <v>1559</v>
      </c>
      <c r="M14" s="364">
        <f>'Monthly Forecast'!T39</f>
        <v>1567</v>
      </c>
      <c r="N14" s="364">
        <f>'Monthly Forecast'!U39</f>
        <v>1378</v>
      </c>
      <c r="O14" s="512">
        <f t="shared" si="1"/>
        <v>1553.9166666666667</v>
      </c>
      <c r="P14" s="364">
        <f>'Monthly Forecast'!V39</f>
        <v>1769</v>
      </c>
      <c r="Q14" s="364">
        <f>'Monthly Forecast'!W39</f>
        <v>1555</v>
      </c>
      <c r="R14" s="364">
        <f>'Monthly Forecast'!X39</f>
        <v>1550</v>
      </c>
      <c r="S14" s="512"/>
      <c r="T14" s="364">
        <f>'Monthly Forecast'!Y39</f>
        <v>1563</v>
      </c>
      <c r="U14" s="364">
        <f>'Monthly Forecast'!Z39</f>
        <v>1563</v>
      </c>
      <c r="V14" s="364">
        <f>'Monthly Forecast'!AA39</f>
        <v>1507</v>
      </c>
      <c r="W14" s="364">
        <f>'Monthly Forecast'!AB39</f>
        <v>1544</v>
      </c>
      <c r="X14" s="364">
        <f>'Monthly Forecast'!AC39</f>
        <v>1572</v>
      </c>
      <c r="Y14" s="364">
        <f>'Monthly Forecast'!AD39</f>
        <v>1520</v>
      </c>
      <c r="Z14" s="364">
        <f>'Monthly Forecast'!AE39</f>
        <v>1559</v>
      </c>
      <c r="AA14" s="364">
        <f>'Monthly Forecast'!AF39</f>
        <v>1567</v>
      </c>
      <c r="AB14" s="364">
        <f>'Monthly Forecast'!AG39</f>
        <v>1378</v>
      </c>
      <c r="AC14" s="364">
        <f>'Monthly Forecast'!AH39</f>
        <v>1769</v>
      </c>
      <c r="AD14" s="364">
        <f>'Monthly Forecast'!AI39</f>
        <v>1555</v>
      </c>
      <c r="AE14" s="364">
        <f>'Monthly Forecast'!AJ39</f>
        <v>1550</v>
      </c>
      <c r="AF14" s="512">
        <f t="shared" si="2"/>
        <v>1553.9166666666667</v>
      </c>
      <c r="AG14" s="364">
        <v>1553.9166666666667</v>
      </c>
      <c r="AH14" s="364">
        <v>1553.9166666666667</v>
      </c>
      <c r="AI14" s="364">
        <v>1553.9166666666667</v>
      </c>
      <c r="AJ14" s="364">
        <v>1553.9166666666667</v>
      </c>
      <c r="AK14" s="364">
        <v>1553.9166666666667</v>
      </c>
      <c r="AL14" s="364">
        <v>1553.9166666666667</v>
      </c>
      <c r="AM14" s="357"/>
      <c r="AN14" s="357"/>
      <c r="AO14" s="357"/>
      <c r="AP14" s="357"/>
    </row>
    <row r="15" spans="2:42" ht="15.75" x14ac:dyDescent="0.25">
      <c r="B15" s="458" t="s">
        <v>19</v>
      </c>
      <c r="C15" s="45">
        <f t="shared" ref="C15:E15" si="3">SUM(C11:C14)</f>
        <v>196597</v>
      </c>
      <c r="D15" s="45">
        <f t="shared" si="3"/>
        <v>177750</v>
      </c>
      <c r="E15" s="45">
        <f t="shared" si="3"/>
        <v>175834</v>
      </c>
      <c r="F15" s="45">
        <f t="shared" ref="F15:R15" si="4">SUM(F11:F14)</f>
        <v>175310</v>
      </c>
      <c r="G15" s="45">
        <f t="shared" si="4"/>
        <v>173158</v>
      </c>
      <c r="H15" s="45">
        <f t="shared" si="4"/>
        <v>170331</v>
      </c>
      <c r="I15" s="45">
        <f t="shared" si="4"/>
        <v>169916</v>
      </c>
      <c r="J15" s="45">
        <f t="shared" si="4"/>
        <v>171597</v>
      </c>
      <c r="K15" s="45">
        <f t="shared" si="4"/>
        <v>171427</v>
      </c>
      <c r="L15" s="45">
        <f t="shared" si="4"/>
        <v>177788</v>
      </c>
      <c r="M15" s="45">
        <f t="shared" si="4"/>
        <v>177865</v>
      </c>
      <c r="N15" s="45">
        <f t="shared" si="4"/>
        <v>159470</v>
      </c>
      <c r="O15" s="454">
        <f t="shared" si="1"/>
        <v>174753.58333333334</v>
      </c>
      <c r="P15" s="45">
        <f t="shared" si="4"/>
        <v>196997</v>
      </c>
      <c r="Q15" s="45">
        <f t="shared" si="4"/>
        <v>178150</v>
      </c>
      <c r="R15" s="45">
        <f t="shared" si="4"/>
        <v>176234</v>
      </c>
      <c r="S15" s="454"/>
      <c r="T15" s="45">
        <f t="shared" ref="T15:AE15" si="5">SUM(T11:T14)</f>
        <v>175710</v>
      </c>
      <c r="U15" s="45">
        <f t="shared" si="5"/>
        <v>173558</v>
      </c>
      <c r="V15" s="45">
        <f t="shared" si="5"/>
        <v>170731</v>
      </c>
      <c r="W15" s="45">
        <f t="shared" si="5"/>
        <v>170316</v>
      </c>
      <c r="X15" s="45">
        <f t="shared" si="5"/>
        <v>171997</v>
      </c>
      <c r="Y15" s="45">
        <f t="shared" si="5"/>
        <v>171827</v>
      </c>
      <c r="Z15" s="45">
        <f t="shared" si="5"/>
        <v>178188</v>
      </c>
      <c r="AA15" s="45">
        <f t="shared" si="5"/>
        <v>178265</v>
      </c>
      <c r="AB15" s="45">
        <f t="shared" si="5"/>
        <v>159870</v>
      </c>
      <c r="AC15" s="45">
        <f t="shared" si="5"/>
        <v>197397</v>
      </c>
      <c r="AD15" s="45">
        <f t="shared" si="5"/>
        <v>178550</v>
      </c>
      <c r="AE15" s="45">
        <f t="shared" si="5"/>
        <v>176634</v>
      </c>
      <c r="AF15" s="454">
        <f t="shared" si="2"/>
        <v>175253.58333333334</v>
      </c>
      <c r="AG15" s="45">
        <f>SUM(AG11:AG14)</f>
        <v>174586.91666666666</v>
      </c>
      <c r="AH15" s="45">
        <f t="shared" ref="AH15:AL15" si="6">SUM(AH11:AH14)</f>
        <v>174986.91666666666</v>
      </c>
      <c r="AI15" s="45">
        <f t="shared" si="6"/>
        <v>175386.91666666666</v>
      </c>
      <c r="AJ15" s="45">
        <f t="shared" si="6"/>
        <v>175786.91666666666</v>
      </c>
      <c r="AK15" s="45">
        <f t="shared" si="6"/>
        <v>176186.91666666666</v>
      </c>
      <c r="AL15" s="45">
        <f t="shared" si="6"/>
        <v>176586.91666666666</v>
      </c>
      <c r="AM15" s="357"/>
      <c r="AN15" s="357"/>
      <c r="AO15" s="357"/>
      <c r="AP15" s="357"/>
    </row>
    <row r="16" spans="2:42" x14ac:dyDescent="0.2">
      <c r="B16" s="455" t="s">
        <v>554</v>
      </c>
      <c r="C16" s="455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3"/>
      <c r="P16" s="455"/>
      <c r="Q16" s="455"/>
      <c r="R16" s="455"/>
      <c r="S16" s="453"/>
      <c r="T16" s="455"/>
      <c r="U16" s="455"/>
      <c r="V16" s="455"/>
      <c r="W16" s="455"/>
      <c r="X16" s="455"/>
      <c r="Y16" s="455"/>
      <c r="Z16" s="455"/>
      <c r="AA16" s="455"/>
      <c r="AB16" s="455"/>
      <c r="AC16" s="455"/>
      <c r="AD16" s="455"/>
      <c r="AE16" s="455"/>
      <c r="AG16" s="385"/>
      <c r="AH16" s="385"/>
      <c r="AI16" s="385"/>
      <c r="AJ16" s="385"/>
      <c r="AK16" s="385"/>
      <c r="AL16" s="385"/>
      <c r="AM16" s="357"/>
      <c r="AN16" s="357"/>
      <c r="AO16" s="357"/>
      <c r="AP16" s="357"/>
    </row>
    <row r="17" spans="2:39" ht="15.75" x14ac:dyDescent="0.25">
      <c r="B17" s="457" t="s">
        <v>94</v>
      </c>
      <c r="C17" s="45">
        <f>'Monthly Forecast'!J16</f>
        <v>1621586.5144</v>
      </c>
      <c r="D17" s="45">
        <f>'Monthly Forecast'!K16</f>
        <v>902344.05070000002</v>
      </c>
      <c r="E17" s="45">
        <f>'Monthly Forecast'!L16</f>
        <v>414935.9436</v>
      </c>
      <c r="F17" s="45">
        <f>'Monthly Forecast'!M16</f>
        <v>216420.9406</v>
      </c>
      <c r="G17" s="45">
        <f>'Monthly Forecast'!N16</f>
        <v>167918.28890000001</v>
      </c>
      <c r="H17" s="45">
        <f>'Monthly Forecast'!O16</f>
        <v>165244.03279999999</v>
      </c>
      <c r="I17" s="45">
        <f>'Monthly Forecast'!P16</f>
        <v>170642.91627725525</v>
      </c>
      <c r="J17" s="45">
        <f>'Monthly Forecast'!Q16</f>
        <v>337891.43052515248</v>
      </c>
      <c r="K17" s="45">
        <f>'Monthly Forecast'!R16</f>
        <v>932350.59481062891</v>
      </c>
      <c r="L17" s="45">
        <f>'Monthly Forecast'!S16</f>
        <v>1616987.1529230908</v>
      </c>
      <c r="M17" s="45">
        <f>'Monthly Forecast'!T16</f>
        <v>1900053.2021288301</v>
      </c>
      <c r="N17" s="45">
        <f>'Monthly Forecast'!U16</f>
        <v>1856609.7742925982</v>
      </c>
      <c r="O17" s="454">
        <f>SUM(C17:N17)</f>
        <v>10302984.841957554</v>
      </c>
      <c r="P17" s="45">
        <f>'Monthly Forecast'!V16</f>
        <v>1625302.6376200782</v>
      </c>
      <c r="Q17" s="45">
        <f>'Monthly Forecast'!W16</f>
        <v>904624.70187775535</v>
      </c>
      <c r="R17" s="45">
        <f>'Monthly Forecast'!X16</f>
        <v>415994.86238798569</v>
      </c>
      <c r="S17" s="454"/>
      <c r="T17" s="45">
        <f>'Monthly Forecast'!Y16</f>
        <v>216974.44491325098</v>
      </c>
      <c r="U17" s="45">
        <f>'Monthly Forecast'!Z16</f>
        <v>168354.01868087237</v>
      </c>
      <c r="V17" s="45">
        <f>'Monthly Forecast'!AA16</f>
        <v>165678.95143207905</v>
      </c>
      <c r="W17" s="45">
        <f>'Monthly Forecast'!AB16</f>
        <v>171093.72048373095</v>
      </c>
      <c r="X17" s="45">
        <f>'Monthly Forecast'!AC16</f>
        <v>338775.27473162819</v>
      </c>
      <c r="Y17" s="45">
        <f>'Monthly Forecast'!AD16</f>
        <v>934791.39901710465</v>
      </c>
      <c r="Z17" s="45">
        <f>'Monthly Forecast'!AE16</f>
        <v>1621088.3891295667</v>
      </c>
      <c r="AA17" s="45">
        <f>'Monthly Forecast'!AF16</f>
        <v>1904886.9009353057</v>
      </c>
      <c r="AB17" s="45">
        <f>'Monthly Forecast'!AG16</f>
        <v>1861869.3365990738</v>
      </c>
      <c r="AC17" s="45">
        <f>'Monthly Forecast'!AH16</f>
        <v>1629018.978726554</v>
      </c>
      <c r="AD17" s="45">
        <f>'Monthly Forecast'!AI16</f>
        <v>906921.56998423114</v>
      </c>
      <c r="AE17" s="45">
        <f>'Monthly Forecast'!AJ16</f>
        <v>417053.98659446143</v>
      </c>
      <c r="AF17" s="454">
        <f>SUM(T17:AE17)</f>
        <v>10336506.97122786</v>
      </c>
      <c r="AG17" s="45">
        <v>10285452.955377256</v>
      </c>
      <c r="AH17" s="45">
        <v>10311915.492076054</v>
      </c>
      <c r="AI17" s="45">
        <v>10338382.30805376</v>
      </c>
      <c r="AJ17" s="45">
        <v>10364848.90313147</v>
      </c>
      <c r="AK17" s="45">
        <v>10391315.009909181</v>
      </c>
      <c r="AL17" s="45">
        <v>10417780.238386886</v>
      </c>
      <c r="AM17" s="357"/>
    </row>
    <row r="18" spans="2:39" ht="15.75" x14ac:dyDescent="0.25">
      <c r="B18" s="457" t="s">
        <v>124</v>
      </c>
      <c r="C18" s="45">
        <f>'Monthly Forecast'!J25+'Monthly Forecast'!J51</f>
        <v>721907.15889999992</v>
      </c>
      <c r="D18" s="45">
        <f>'Monthly Forecast'!K25+'Monthly Forecast'!K51</f>
        <v>445884.52179999993</v>
      </c>
      <c r="E18" s="45">
        <f>'Monthly Forecast'!L25+'Monthly Forecast'!L51</f>
        <v>249499.92790000004</v>
      </c>
      <c r="F18" s="45">
        <f>'Monthly Forecast'!M25+'Monthly Forecast'!M51</f>
        <v>171495.2708</v>
      </c>
      <c r="G18" s="45">
        <f>'Monthly Forecast'!N25+'Monthly Forecast'!N51</f>
        <v>152382.4682</v>
      </c>
      <c r="H18" s="45">
        <f>'Monthly Forecast'!O25+'Monthly Forecast'!O51</f>
        <v>149450.052</v>
      </c>
      <c r="I18" s="45">
        <f>'Monthly Forecast'!P25+'Monthly Forecast'!P51</f>
        <v>151674.03280000002</v>
      </c>
      <c r="J18" s="45">
        <f>'Monthly Forecast'!Q25+'Monthly Forecast'!Q51</f>
        <v>216869.46409999998</v>
      </c>
      <c r="K18" s="45">
        <f>'Monthly Forecast'!R25+'Monthly Forecast'!R51</f>
        <v>447353.05829999998</v>
      </c>
      <c r="L18" s="45">
        <f>'Monthly Forecast'!S25+'Monthly Forecast'!S51</f>
        <v>724555.81050000002</v>
      </c>
      <c r="M18" s="45">
        <f>'Monthly Forecast'!T25+'Monthly Forecast'!T51</f>
        <v>840547.4378999999</v>
      </c>
      <c r="N18" s="45">
        <f>'Monthly Forecast'!U25+'Monthly Forecast'!U51</f>
        <v>833988.01449999982</v>
      </c>
      <c r="O18" s="454">
        <f t="shared" ref="O18:O21" si="7">SUM(C18:N18)</f>
        <v>5105607.2176999999</v>
      </c>
      <c r="P18" s="45">
        <f>'Monthly Forecast'!V25+'Monthly Forecast'!V51</f>
        <v>721907.15889999992</v>
      </c>
      <c r="Q18" s="45">
        <f>'Monthly Forecast'!W25+'Monthly Forecast'!W51</f>
        <v>445884.52179999993</v>
      </c>
      <c r="R18" s="45">
        <f>'Monthly Forecast'!X25+'Monthly Forecast'!X51</f>
        <v>249499.92790000004</v>
      </c>
      <c r="S18" s="454"/>
      <c r="T18" s="45">
        <f>'Monthly Forecast'!Y25+'Monthly Forecast'!Y51</f>
        <v>171495.2708</v>
      </c>
      <c r="U18" s="45">
        <f>'Monthly Forecast'!Z25+'Monthly Forecast'!Z51</f>
        <v>152382.4682</v>
      </c>
      <c r="V18" s="45">
        <f>'Monthly Forecast'!AA25+'Monthly Forecast'!AA51</f>
        <v>149450.052</v>
      </c>
      <c r="W18" s="45">
        <f>'Monthly Forecast'!AB25+'Monthly Forecast'!AB51</f>
        <v>151674.03280000002</v>
      </c>
      <c r="X18" s="45">
        <f>'Monthly Forecast'!AC25+'Monthly Forecast'!AC51</f>
        <v>216869.46409999998</v>
      </c>
      <c r="Y18" s="45">
        <f>'Monthly Forecast'!AD25+'Monthly Forecast'!AD51</f>
        <v>447353.05829999998</v>
      </c>
      <c r="Z18" s="45">
        <f>'Monthly Forecast'!AE25+'Monthly Forecast'!AE51</f>
        <v>724555.81050000002</v>
      </c>
      <c r="AA18" s="45">
        <f>'Monthly Forecast'!AF25+'Monthly Forecast'!AF51</f>
        <v>840547.4378999999</v>
      </c>
      <c r="AB18" s="45">
        <f>'Monthly Forecast'!AG25+'Monthly Forecast'!AG51</f>
        <v>833988.01449999982</v>
      </c>
      <c r="AC18" s="45">
        <f>'Monthly Forecast'!AH25+'Monthly Forecast'!AH51</f>
        <v>721907.15889999992</v>
      </c>
      <c r="AD18" s="45">
        <f>'Monthly Forecast'!AI25+'Monthly Forecast'!AI51</f>
        <v>445884.52179999993</v>
      </c>
      <c r="AE18" s="45">
        <f>'Monthly Forecast'!AJ25+'Monthly Forecast'!AJ51</f>
        <v>249499.92790000004</v>
      </c>
      <c r="AF18" s="454">
        <f t="shared" ref="AF18:AF21" si="8">SUM(T18:AE18)</f>
        <v>5105607.2177000009</v>
      </c>
      <c r="AG18" s="45">
        <v>5105607.2177000009</v>
      </c>
      <c r="AH18" s="45">
        <v>5105607.2177000009</v>
      </c>
      <c r="AI18" s="45">
        <v>5105607.2177000009</v>
      </c>
      <c r="AJ18" s="45">
        <v>5105607.2177000009</v>
      </c>
      <c r="AK18" s="45">
        <v>5105607.2177000009</v>
      </c>
      <c r="AL18" s="45">
        <v>5105607.2177000009</v>
      </c>
    </row>
    <row r="19" spans="2:39" ht="15.75" x14ac:dyDescent="0.25">
      <c r="B19" s="457" t="s">
        <v>328</v>
      </c>
      <c r="C19" s="45">
        <f>'Monthly Forecast'!J34+'Monthly Forecast'!J59</f>
        <v>183059.20910000004</v>
      </c>
      <c r="D19" s="45">
        <f>'Monthly Forecast'!K34+'Monthly Forecast'!K59</f>
        <v>67876.868500000011</v>
      </c>
      <c r="E19" s="45">
        <f>'Monthly Forecast'!L34+'Monthly Forecast'!L59</f>
        <v>60737.069999999992</v>
      </c>
      <c r="F19" s="45">
        <f>'Monthly Forecast'!M34+'Monthly Forecast'!M59</f>
        <v>51303.721900000004</v>
      </c>
      <c r="G19" s="45">
        <f>'Monthly Forecast'!N34+'Monthly Forecast'!N59</f>
        <v>29137.425899999998</v>
      </c>
      <c r="H19" s="45">
        <f>'Monthly Forecast'!O34+'Monthly Forecast'!O59</f>
        <v>40212.316100000004</v>
      </c>
      <c r="I19" s="45">
        <f>'Monthly Forecast'!P34+'Monthly Forecast'!P59</f>
        <v>30869.740399999999</v>
      </c>
      <c r="J19" s="45">
        <f>'Monthly Forecast'!Q34+'Monthly Forecast'!Q59</f>
        <v>46681.777900000001</v>
      </c>
      <c r="K19" s="45">
        <f>'Monthly Forecast'!R34+'Monthly Forecast'!R59</f>
        <v>55395.676199999987</v>
      </c>
      <c r="L19" s="45">
        <f>'Monthly Forecast'!S34+'Monthly Forecast'!S59</f>
        <v>106980.8708</v>
      </c>
      <c r="M19" s="45">
        <f>'Monthly Forecast'!T34+'Monthly Forecast'!T59</f>
        <v>140587.70950000003</v>
      </c>
      <c r="N19" s="45">
        <f>'Monthly Forecast'!U34+'Monthly Forecast'!U59</f>
        <v>108842.9215</v>
      </c>
      <c r="O19" s="454">
        <f t="shared" si="7"/>
        <v>921685.30780000007</v>
      </c>
      <c r="P19" s="45">
        <f>'Monthly Forecast'!V34+'Monthly Forecast'!V59</f>
        <v>183059.20910000004</v>
      </c>
      <c r="Q19" s="45">
        <f>'Monthly Forecast'!W34+'Monthly Forecast'!W59</f>
        <v>67876.868500000011</v>
      </c>
      <c r="R19" s="45">
        <f>'Monthly Forecast'!X34+'Monthly Forecast'!X59</f>
        <v>60737.069999999992</v>
      </c>
      <c r="S19" s="454"/>
      <c r="T19" s="45">
        <f>'Monthly Forecast'!Y34+'Monthly Forecast'!Y59</f>
        <v>51303.721900000004</v>
      </c>
      <c r="U19" s="45">
        <f>'Monthly Forecast'!Z34+'Monthly Forecast'!Z59</f>
        <v>29137.425899999998</v>
      </c>
      <c r="V19" s="45">
        <f>'Monthly Forecast'!AA34+'Monthly Forecast'!AA59</f>
        <v>40212.316100000004</v>
      </c>
      <c r="W19" s="45">
        <f>'Monthly Forecast'!AB34+'Monthly Forecast'!AB59</f>
        <v>30869.740399999999</v>
      </c>
      <c r="X19" s="45">
        <f>'Monthly Forecast'!AC34+'Monthly Forecast'!AC59</f>
        <v>46681.777900000001</v>
      </c>
      <c r="Y19" s="45">
        <f>'Monthly Forecast'!AD34+'Monthly Forecast'!AD59</f>
        <v>55395.676199999987</v>
      </c>
      <c r="Z19" s="45">
        <f>'Monthly Forecast'!AE34+'Monthly Forecast'!AE59</f>
        <v>106980.8708</v>
      </c>
      <c r="AA19" s="45">
        <f>'Monthly Forecast'!AF34+'Monthly Forecast'!AF59</f>
        <v>140587.70950000003</v>
      </c>
      <c r="AB19" s="45">
        <f>'Monthly Forecast'!AG34+'Monthly Forecast'!AG59</f>
        <v>108842.9215</v>
      </c>
      <c r="AC19" s="45">
        <f>'Monthly Forecast'!AH34+'Monthly Forecast'!AH59</f>
        <v>183059.20910000004</v>
      </c>
      <c r="AD19" s="45">
        <f>'Monthly Forecast'!AI34+'Monthly Forecast'!AI59</f>
        <v>67876.868500000011</v>
      </c>
      <c r="AE19" s="45">
        <f>'Monthly Forecast'!AJ34+'Monthly Forecast'!AJ59</f>
        <v>60737.069999999992</v>
      </c>
      <c r="AF19" s="454">
        <f t="shared" si="8"/>
        <v>921685.30780000007</v>
      </c>
      <c r="AG19" s="45">
        <v>921685.30780000007</v>
      </c>
      <c r="AH19" s="45">
        <v>921685.30780000007</v>
      </c>
      <c r="AI19" s="45">
        <v>921685.30780000007</v>
      </c>
      <c r="AJ19" s="45">
        <v>921685.30780000007</v>
      </c>
      <c r="AK19" s="45">
        <v>921685.30780000007</v>
      </c>
      <c r="AL19" s="45">
        <v>921685.30780000007</v>
      </c>
    </row>
    <row r="20" spans="2:39" ht="15.75" x14ac:dyDescent="0.25">
      <c r="B20" s="457" t="s">
        <v>329</v>
      </c>
      <c r="C20" s="364">
        <f>'Monthly Forecast'!J43</f>
        <v>164139.78779999999</v>
      </c>
      <c r="D20" s="364">
        <f>'Monthly Forecast'!K43</f>
        <v>93675.298200000005</v>
      </c>
      <c r="E20" s="364">
        <f>'Monthly Forecast'!L43</f>
        <v>49898.712800000008</v>
      </c>
      <c r="F20" s="364">
        <f>'Monthly Forecast'!M43</f>
        <v>32189.874400000001</v>
      </c>
      <c r="G20" s="364">
        <f>'Monthly Forecast'!N43</f>
        <v>27935.262200000001</v>
      </c>
      <c r="H20" s="364">
        <f>'Monthly Forecast'!O43</f>
        <v>26934.519700000001</v>
      </c>
      <c r="I20" s="364">
        <f>'Monthly Forecast'!P43</f>
        <v>28143.456899999997</v>
      </c>
      <c r="J20" s="364">
        <f>'Monthly Forecast'!Q43</f>
        <v>44282.160799999998</v>
      </c>
      <c r="K20" s="364">
        <f>'Monthly Forecast'!R43</f>
        <v>97143.631299999994</v>
      </c>
      <c r="L20" s="364">
        <f>'Monthly Forecast'!S43</f>
        <v>158492.71170000001</v>
      </c>
      <c r="M20" s="364">
        <f>'Monthly Forecast'!T43</f>
        <v>185083.76930000004</v>
      </c>
      <c r="N20" s="364">
        <f>'Monthly Forecast'!U43</f>
        <v>176785.03870000003</v>
      </c>
      <c r="O20" s="512">
        <f t="shared" si="7"/>
        <v>1084704.2238</v>
      </c>
      <c r="P20" s="364">
        <f>'Monthly Forecast'!V43</f>
        <v>164139.78779999999</v>
      </c>
      <c r="Q20" s="364">
        <f>'Monthly Forecast'!W43</f>
        <v>93675.298200000005</v>
      </c>
      <c r="R20" s="364">
        <f>'Monthly Forecast'!X43</f>
        <v>49898.712800000008</v>
      </c>
      <c r="S20" s="512"/>
      <c r="T20" s="364">
        <f>'Monthly Forecast'!Y43</f>
        <v>32189.874400000001</v>
      </c>
      <c r="U20" s="364">
        <f>'Monthly Forecast'!Z43</f>
        <v>27935.262200000001</v>
      </c>
      <c r="V20" s="364">
        <f>'Monthly Forecast'!AA43</f>
        <v>26934.519700000001</v>
      </c>
      <c r="W20" s="364">
        <f>'Monthly Forecast'!AB43</f>
        <v>28143.456899999997</v>
      </c>
      <c r="X20" s="364">
        <f>'Monthly Forecast'!AC43</f>
        <v>44282.160799999998</v>
      </c>
      <c r="Y20" s="364">
        <f>'Monthly Forecast'!AD43</f>
        <v>97143.631299999994</v>
      </c>
      <c r="Z20" s="364">
        <f>'Monthly Forecast'!AE43</f>
        <v>158492.71170000001</v>
      </c>
      <c r="AA20" s="364">
        <f>'Monthly Forecast'!AF43</f>
        <v>185083.76930000004</v>
      </c>
      <c r="AB20" s="364">
        <f>'Monthly Forecast'!AG43</f>
        <v>176785.03870000003</v>
      </c>
      <c r="AC20" s="364">
        <f>'Monthly Forecast'!AH43</f>
        <v>164139.78779999999</v>
      </c>
      <c r="AD20" s="364">
        <f>'Monthly Forecast'!AI43</f>
        <v>93675.298200000005</v>
      </c>
      <c r="AE20" s="364">
        <f>'Monthly Forecast'!AJ43</f>
        <v>49898.712800000008</v>
      </c>
      <c r="AF20" s="512">
        <f t="shared" si="8"/>
        <v>1084704.2238</v>
      </c>
      <c r="AG20" s="364">
        <v>1084704.2238</v>
      </c>
      <c r="AH20" s="364">
        <v>1084704.2238</v>
      </c>
      <c r="AI20" s="364">
        <v>1084704.2238</v>
      </c>
      <c r="AJ20" s="364">
        <v>1084704.2238</v>
      </c>
      <c r="AK20" s="364">
        <v>1084704.2238</v>
      </c>
      <c r="AL20" s="364">
        <v>1084704.2238</v>
      </c>
    </row>
    <row r="21" spans="2:39" ht="15.75" x14ac:dyDescent="0.25">
      <c r="B21" s="458" t="s">
        <v>19</v>
      </c>
      <c r="C21" s="474">
        <f t="shared" ref="C21:E21" si="9">SUM(C17:C20)</f>
        <v>2690692.6702000001</v>
      </c>
      <c r="D21" s="474">
        <f t="shared" si="9"/>
        <v>1509780.7392000002</v>
      </c>
      <c r="E21" s="474">
        <f t="shared" si="9"/>
        <v>775071.65429999994</v>
      </c>
      <c r="F21" s="474">
        <f t="shared" ref="F21:R21" si="10">SUM(F17:F20)</f>
        <v>471409.8077</v>
      </c>
      <c r="G21" s="474">
        <f t="shared" si="10"/>
        <v>377373.44520000002</v>
      </c>
      <c r="H21" s="474">
        <f t="shared" si="10"/>
        <v>381840.92059999995</v>
      </c>
      <c r="I21" s="474">
        <f t="shared" si="10"/>
        <v>381330.14637725527</v>
      </c>
      <c r="J21" s="474">
        <f t="shared" si="10"/>
        <v>645724.8333251524</v>
      </c>
      <c r="K21" s="474">
        <f t="shared" si="10"/>
        <v>1532242.9606106291</v>
      </c>
      <c r="L21" s="474">
        <f t="shared" si="10"/>
        <v>2607016.545923091</v>
      </c>
      <c r="M21" s="474">
        <f t="shared" si="10"/>
        <v>3066272.1188288303</v>
      </c>
      <c r="N21" s="474">
        <f t="shared" si="10"/>
        <v>2976225.7489925981</v>
      </c>
      <c r="O21" s="454">
        <f t="shared" si="7"/>
        <v>17414981.591257557</v>
      </c>
      <c r="P21" s="474">
        <f t="shared" si="10"/>
        <v>2694408.7934200782</v>
      </c>
      <c r="Q21" s="474">
        <f t="shared" si="10"/>
        <v>1512061.3903777555</v>
      </c>
      <c r="R21" s="474">
        <f t="shared" si="10"/>
        <v>776130.57308798563</v>
      </c>
      <c r="S21" s="454"/>
      <c r="T21" s="474">
        <f t="shared" ref="T21:AE21" si="11">SUM(T17:T20)</f>
        <v>471963.31201325101</v>
      </c>
      <c r="U21" s="474">
        <f t="shared" si="11"/>
        <v>377809.17498087237</v>
      </c>
      <c r="V21" s="474">
        <f t="shared" si="11"/>
        <v>382275.83923207904</v>
      </c>
      <c r="W21" s="474">
        <f t="shared" si="11"/>
        <v>381780.95058373094</v>
      </c>
      <c r="X21" s="474">
        <f t="shared" si="11"/>
        <v>646608.67753162805</v>
      </c>
      <c r="Y21" s="474">
        <f t="shared" si="11"/>
        <v>1534683.7648171047</v>
      </c>
      <c r="Z21" s="474">
        <f t="shared" si="11"/>
        <v>2611117.7821295667</v>
      </c>
      <c r="AA21" s="474">
        <f t="shared" si="11"/>
        <v>3071105.8176353052</v>
      </c>
      <c r="AB21" s="474">
        <f t="shared" si="11"/>
        <v>2981485.311299074</v>
      </c>
      <c r="AC21" s="474">
        <f t="shared" si="11"/>
        <v>2698125.134526554</v>
      </c>
      <c r="AD21" s="474">
        <f t="shared" si="11"/>
        <v>1514358.2584842313</v>
      </c>
      <c r="AE21" s="474">
        <f t="shared" si="11"/>
        <v>777189.69729446142</v>
      </c>
      <c r="AF21" s="454">
        <f t="shared" si="8"/>
        <v>17448503.720527858</v>
      </c>
      <c r="AG21" s="474">
        <f>SUM(AG17:AG20)</f>
        <v>17397449.704677258</v>
      </c>
      <c r="AH21" s="474">
        <f t="shared" ref="AH21:AL21" si="12">SUM(AH17:AH20)</f>
        <v>17423912.241376057</v>
      </c>
      <c r="AI21" s="474">
        <f t="shared" si="12"/>
        <v>17450379.057353761</v>
      </c>
      <c r="AJ21" s="474">
        <f t="shared" si="12"/>
        <v>17476845.652431473</v>
      </c>
      <c r="AK21" s="474">
        <f t="shared" si="12"/>
        <v>17503311.759209182</v>
      </c>
      <c r="AL21" s="474">
        <f t="shared" si="12"/>
        <v>17529776.987686887</v>
      </c>
    </row>
    <row r="22" spans="2:39" x14ac:dyDescent="0.2"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P22" s="210"/>
      <c r="Q22" s="210"/>
      <c r="R22" s="210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G22" s="210"/>
      <c r="AH22" s="210"/>
      <c r="AI22" s="210"/>
      <c r="AJ22" s="210"/>
      <c r="AK22" s="210"/>
      <c r="AL22" s="210"/>
    </row>
    <row r="23" spans="2:39" x14ac:dyDescent="0.2"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P23" s="210"/>
      <c r="Q23" s="210"/>
      <c r="R23" s="210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60">
        <f t="shared" ref="AF23" si="13">AF17/AF11</f>
        <v>66.187638587036602</v>
      </c>
      <c r="AG23" s="385">
        <f>AG17/AG11</f>
        <v>66.143080477250493</v>
      </c>
      <c r="AH23" s="385">
        <f t="shared" ref="AH23:AL23" si="14">AH17/AH11</f>
        <v>66.143114501644263</v>
      </c>
      <c r="AI23" s="385">
        <f t="shared" si="14"/>
        <v>66.143175729976065</v>
      </c>
      <c r="AJ23" s="385">
        <f t="shared" si="14"/>
        <v>66.143235236052917</v>
      </c>
      <c r="AK23" s="385">
        <f t="shared" si="14"/>
        <v>66.143291330962725</v>
      </c>
      <c r="AL23" s="385">
        <f t="shared" si="14"/>
        <v>66.14334156455277</v>
      </c>
    </row>
    <row r="24" spans="2:39" x14ac:dyDescent="0.2"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P24" s="210"/>
      <c r="Q24" s="210"/>
      <c r="R24" s="210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60">
        <f t="shared" ref="AF24:AG24" si="15">AF18/AF12</f>
        <v>294.71437180968508</v>
      </c>
      <c r="AG24" s="385">
        <f t="shared" si="15"/>
        <v>294.71437180968513</v>
      </c>
      <c r="AH24" s="385">
        <f t="shared" ref="AH24:AL24" si="16">AH18/AH12</f>
        <v>294.71437180968513</v>
      </c>
      <c r="AI24" s="385">
        <f t="shared" si="16"/>
        <v>294.71437180968513</v>
      </c>
      <c r="AJ24" s="385">
        <f t="shared" si="16"/>
        <v>294.71437180968513</v>
      </c>
      <c r="AK24" s="385">
        <f t="shared" si="16"/>
        <v>294.71437180968513</v>
      </c>
      <c r="AL24" s="385">
        <f t="shared" si="16"/>
        <v>294.71437180968513</v>
      </c>
    </row>
    <row r="25" spans="2:39" x14ac:dyDescent="0.2"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P25" s="210"/>
      <c r="Q25" s="210"/>
      <c r="R25" s="210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60">
        <f t="shared" ref="AF25:AG25" si="17">AF19/AF13</f>
        <v>4474.2005233009713</v>
      </c>
      <c r="AG25" s="385">
        <f t="shared" si="17"/>
        <v>4474.2005233009713</v>
      </c>
      <c r="AH25" s="385">
        <f t="shared" ref="AH25:AL25" si="18">AH19/AH13</f>
        <v>4474.2005233009713</v>
      </c>
      <c r="AI25" s="385">
        <f t="shared" si="18"/>
        <v>4474.2005233009713</v>
      </c>
      <c r="AJ25" s="385">
        <f t="shared" si="18"/>
        <v>4474.2005233009713</v>
      </c>
      <c r="AK25" s="385">
        <f t="shared" si="18"/>
        <v>4474.2005233009713</v>
      </c>
      <c r="AL25" s="385">
        <f t="shared" si="18"/>
        <v>4474.2005233009713</v>
      </c>
    </row>
    <row r="26" spans="2:39" x14ac:dyDescent="0.2"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P26" s="210"/>
      <c r="Q26" s="210"/>
      <c r="R26" s="210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60">
        <f t="shared" ref="AF26:AG26" si="19">AF20/AF14</f>
        <v>698.04529873974366</v>
      </c>
      <c r="AG26" s="385">
        <f t="shared" si="19"/>
        <v>698.04529873974366</v>
      </c>
      <c r="AH26" s="385">
        <f t="shared" ref="AH26:AL26" si="20">AH20/AH14</f>
        <v>698.04529873974366</v>
      </c>
      <c r="AI26" s="385">
        <f t="shared" si="20"/>
        <v>698.04529873974366</v>
      </c>
      <c r="AJ26" s="385">
        <f t="shared" si="20"/>
        <v>698.04529873974366</v>
      </c>
      <c r="AK26" s="385">
        <f t="shared" si="20"/>
        <v>698.04529873974366</v>
      </c>
      <c r="AL26" s="385">
        <f t="shared" si="20"/>
        <v>698.04529873974366</v>
      </c>
    </row>
    <row r="27" spans="2:39" x14ac:dyDescent="0.2"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P27" s="210"/>
      <c r="Q27" s="210"/>
      <c r="R27" s="210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60">
        <f t="shared" ref="AF27:AL27" si="21">AF21/AF15</f>
        <v>99.561466240269112</v>
      </c>
      <c r="AG27" s="385">
        <f t="shared" si="21"/>
        <v>99.649217918738231</v>
      </c>
      <c r="AH27" s="385">
        <f t="shared" si="21"/>
        <v>99.572657049366398</v>
      </c>
      <c r="AI27" s="385">
        <f t="shared" si="21"/>
        <v>99.496469799507636</v>
      </c>
      <c r="AJ27" s="385">
        <f t="shared" si="21"/>
        <v>99.420628018475824</v>
      </c>
      <c r="AK27" s="385">
        <f t="shared" si="21"/>
        <v>99.345127835594198</v>
      </c>
      <c r="AL27" s="385">
        <f t="shared" si="21"/>
        <v>99.269964720981434</v>
      </c>
    </row>
    <row r="28" spans="2:39" x14ac:dyDescent="0.2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P28" s="210"/>
      <c r="Q28" s="210"/>
      <c r="R28" s="210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G28" s="210"/>
      <c r="AH28" s="210"/>
      <c r="AI28" s="210"/>
      <c r="AJ28" s="210"/>
      <c r="AK28" s="210"/>
      <c r="AL28" s="210"/>
    </row>
    <row r="29" spans="2:39" x14ac:dyDescent="0.2">
      <c r="B29" s="515" t="s">
        <v>70</v>
      </c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P29" s="210"/>
      <c r="Q29" s="210"/>
      <c r="R29" s="210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G29" s="210"/>
      <c r="AH29" s="210"/>
      <c r="AI29" s="210"/>
      <c r="AJ29" s="210"/>
      <c r="AK29" s="210"/>
      <c r="AL29" s="210"/>
    </row>
    <row r="30" spans="2:39" x14ac:dyDescent="0.2">
      <c r="B30" s="516" t="s">
        <v>95</v>
      </c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P30" s="210"/>
      <c r="Q30" s="210"/>
      <c r="R30" s="210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G30" s="210"/>
      <c r="AH30" s="210"/>
      <c r="AI30" s="210"/>
      <c r="AJ30" s="210"/>
      <c r="AK30" s="210"/>
      <c r="AL30" s="210"/>
    </row>
    <row r="31" spans="2:39" x14ac:dyDescent="0.2">
      <c r="B31" s="204" t="s">
        <v>636</v>
      </c>
      <c r="C31" s="209">
        <f>'Monthly Forecast'!J64+'Monthly Forecast'!J80</f>
        <v>194</v>
      </c>
      <c r="D31" s="209">
        <f>'Monthly Forecast'!K64+'Monthly Forecast'!K80</f>
        <v>194</v>
      </c>
      <c r="E31" s="209">
        <f>'Monthly Forecast'!L64+'Monthly Forecast'!L80</f>
        <v>194</v>
      </c>
      <c r="F31" s="209">
        <f>'Monthly Forecast'!M64+'Monthly Forecast'!M80</f>
        <v>194</v>
      </c>
      <c r="G31" s="209">
        <f>'Monthly Forecast'!N64+'Monthly Forecast'!N80</f>
        <v>194</v>
      </c>
      <c r="H31" s="209">
        <f>'Monthly Forecast'!O64+'Monthly Forecast'!O80</f>
        <v>194</v>
      </c>
      <c r="I31" s="209">
        <f>'Monthly Forecast'!P64+'Monthly Forecast'!P80</f>
        <v>194</v>
      </c>
      <c r="J31" s="209">
        <f>'Monthly Forecast'!Q64+'Monthly Forecast'!Q80</f>
        <v>194</v>
      </c>
      <c r="K31" s="209">
        <f>'Monthly Forecast'!R64+'Monthly Forecast'!R80</f>
        <v>194</v>
      </c>
      <c r="L31" s="209">
        <f>'Monthly Forecast'!S64+'Monthly Forecast'!S80</f>
        <v>194</v>
      </c>
      <c r="M31" s="209">
        <f>'Monthly Forecast'!T64+'Monthly Forecast'!T80</f>
        <v>194</v>
      </c>
      <c r="N31" s="209">
        <f>'Monthly Forecast'!U64+'Monthly Forecast'!U80</f>
        <v>194</v>
      </c>
      <c r="O31" s="513">
        <f>AVERAGE(C31:N31)</f>
        <v>194</v>
      </c>
      <c r="P31" s="209">
        <f>'Monthly Forecast'!V64+'Monthly Forecast'!V80</f>
        <v>194</v>
      </c>
      <c r="Q31" s="209">
        <f>'Monthly Forecast'!W64+'Monthly Forecast'!W80</f>
        <v>194</v>
      </c>
      <c r="R31" s="209">
        <f>'Monthly Forecast'!X64+'Monthly Forecast'!X80</f>
        <v>194</v>
      </c>
      <c r="T31" s="209">
        <f>'Monthly Forecast'!Y64+'Monthly Forecast'!Y80</f>
        <v>194</v>
      </c>
      <c r="U31" s="209">
        <f>'Monthly Forecast'!Z64+'Monthly Forecast'!Z80</f>
        <v>194</v>
      </c>
      <c r="V31" s="209">
        <f>'Monthly Forecast'!AA64+'Monthly Forecast'!AA80</f>
        <v>194</v>
      </c>
      <c r="W31" s="209">
        <f>'Monthly Forecast'!AB64+'Monthly Forecast'!AB80</f>
        <v>194</v>
      </c>
      <c r="X31" s="209">
        <f>'Monthly Forecast'!AC64+'Monthly Forecast'!AC80</f>
        <v>194</v>
      </c>
      <c r="Y31" s="209">
        <f>'Monthly Forecast'!AD64+'Monthly Forecast'!AD80</f>
        <v>194</v>
      </c>
      <c r="Z31" s="209">
        <f>'Monthly Forecast'!AE64+'Monthly Forecast'!AE80</f>
        <v>194</v>
      </c>
      <c r="AA31" s="209">
        <f>'Monthly Forecast'!AF64+'Monthly Forecast'!AF80</f>
        <v>194</v>
      </c>
      <c r="AB31" s="209">
        <f>'Monthly Forecast'!AG64+'Monthly Forecast'!AG80</f>
        <v>194</v>
      </c>
      <c r="AC31" s="209">
        <f>'Monthly Forecast'!AH64+'Monthly Forecast'!AH80</f>
        <v>194</v>
      </c>
      <c r="AD31" s="209">
        <f>'Monthly Forecast'!AI64+'Monthly Forecast'!AI80</f>
        <v>194</v>
      </c>
      <c r="AE31" s="209">
        <f>'Monthly Forecast'!AJ64+'Monthly Forecast'!AJ80</f>
        <v>194</v>
      </c>
      <c r="AF31" s="513">
        <f>AVERAGE(T31:AE31)</f>
        <v>194</v>
      </c>
      <c r="AG31" s="209">
        <f>AF31</f>
        <v>194</v>
      </c>
      <c r="AH31" s="209">
        <f t="shared" ref="AH31:AL31" si="22">AG31</f>
        <v>194</v>
      </c>
      <c r="AI31" s="209">
        <f t="shared" si="22"/>
        <v>194</v>
      </c>
      <c r="AJ31" s="209">
        <f t="shared" si="22"/>
        <v>194</v>
      </c>
      <c r="AK31" s="209">
        <f t="shared" si="22"/>
        <v>194</v>
      </c>
      <c r="AL31" s="209">
        <f t="shared" si="22"/>
        <v>194</v>
      </c>
    </row>
    <row r="32" spans="2:39" x14ac:dyDescent="0.2">
      <c r="B32" s="204" t="s">
        <v>637</v>
      </c>
      <c r="C32" s="645">
        <f>'Monthly Forecast'!J89</f>
        <v>15</v>
      </c>
      <c r="D32" s="645">
        <f>'Monthly Forecast'!K89</f>
        <v>15</v>
      </c>
      <c r="E32" s="645">
        <f>'Monthly Forecast'!L89</f>
        <v>15</v>
      </c>
      <c r="F32" s="645">
        <f>'Monthly Forecast'!M89</f>
        <v>15</v>
      </c>
      <c r="G32" s="645">
        <f>'Monthly Forecast'!N89</f>
        <v>15</v>
      </c>
      <c r="H32" s="645">
        <f>'Monthly Forecast'!O89</f>
        <v>15</v>
      </c>
      <c r="I32" s="645">
        <f>'Monthly Forecast'!P89</f>
        <v>15</v>
      </c>
      <c r="J32" s="645">
        <f>'Monthly Forecast'!Q89</f>
        <v>15</v>
      </c>
      <c r="K32" s="645">
        <f>'Monthly Forecast'!R89</f>
        <v>15</v>
      </c>
      <c r="L32" s="645">
        <f>'Monthly Forecast'!S89</f>
        <v>15</v>
      </c>
      <c r="M32" s="645">
        <f>'Monthly Forecast'!T89</f>
        <v>15</v>
      </c>
      <c r="N32" s="645">
        <f>'Monthly Forecast'!U89</f>
        <v>15</v>
      </c>
      <c r="O32" s="514">
        <f>AVERAGE(C32:N32)</f>
        <v>15</v>
      </c>
      <c r="P32" s="645">
        <f>'Monthly Forecast'!V89</f>
        <v>15</v>
      </c>
      <c r="Q32" s="645">
        <f>'Monthly Forecast'!W89</f>
        <v>15</v>
      </c>
      <c r="R32" s="645">
        <f>'Monthly Forecast'!X89</f>
        <v>15</v>
      </c>
      <c r="T32" s="645">
        <f>'Monthly Forecast'!Y89</f>
        <v>15</v>
      </c>
      <c r="U32" s="645">
        <f>'Monthly Forecast'!Z89</f>
        <v>15</v>
      </c>
      <c r="V32" s="645">
        <f>'Monthly Forecast'!AA89</f>
        <v>15</v>
      </c>
      <c r="W32" s="645">
        <f>'Monthly Forecast'!AB89</f>
        <v>15</v>
      </c>
      <c r="X32" s="645">
        <f>'Monthly Forecast'!AC89</f>
        <v>15</v>
      </c>
      <c r="Y32" s="645">
        <f>'Monthly Forecast'!AD89</f>
        <v>15</v>
      </c>
      <c r="Z32" s="645">
        <f>'Monthly Forecast'!AE89</f>
        <v>15</v>
      </c>
      <c r="AA32" s="645">
        <f>'Monthly Forecast'!AF89</f>
        <v>15</v>
      </c>
      <c r="AB32" s="645">
        <f>'Monthly Forecast'!AG89</f>
        <v>15</v>
      </c>
      <c r="AC32" s="645">
        <f>'Monthly Forecast'!AH89</f>
        <v>15</v>
      </c>
      <c r="AD32" s="645">
        <f>'Monthly Forecast'!AI89</f>
        <v>15</v>
      </c>
      <c r="AE32" s="645">
        <f>'Monthly Forecast'!AJ89</f>
        <v>15</v>
      </c>
      <c r="AF32" s="514">
        <f>AVERAGE(T32:AE32)</f>
        <v>15</v>
      </c>
      <c r="AG32" s="645">
        <f t="shared" ref="AG32:AL33" si="23">AF32</f>
        <v>15</v>
      </c>
      <c r="AH32" s="645">
        <f t="shared" si="23"/>
        <v>15</v>
      </c>
      <c r="AI32" s="645">
        <f t="shared" si="23"/>
        <v>15</v>
      </c>
      <c r="AJ32" s="645">
        <f t="shared" si="23"/>
        <v>15</v>
      </c>
      <c r="AK32" s="645">
        <f t="shared" si="23"/>
        <v>15</v>
      </c>
      <c r="AL32" s="645">
        <f t="shared" si="23"/>
        <v>15</v>
      </c>
    </row>
    <row r="33" spans="2:38" x14ac:dyDescent="0.2">
      <c r="B33" s="204" t="s">
        <v>19</v>
      </c>
      <c r="C33" s="209">
        <f>SUM(C31:C32)</f>
        <v>209</v>
      </c>
      <c r="D33" s="209">
        <f t="shared" ref="D33:P33" si="24">SUM(D31:D32)</f>
        <v>209</v>
      </c>
      <c r="E33" s="209">
        <f t="shared" si="24"/>
        <v>209</v>
      </c>
      <c r="F33" s="209">
        <f t="shared" si="24"/>
        <v>209</v>
      </c>
      <c r="G33" s="209">
        <f t="shared" si="24"/>
        <v>209</v>
      </c>
      <c r="H33" s="209">
        <f t="shared" si="24"/>
        <v>209</v>
      </c>
      <c r="I33" s="209">
        <f t="shared" si="24"/>
        <v>209</v>
      </c>
      <c r="J33" s="209">
        <f t="shared" si="24"/>
        <v>209</v>
      </c>
      <c r="K33" s="209">
        <f t="shared" si="24"/>
        <v>209</v>
      </c>
      <c r="L33" s="209">
        <f t="shared" si="24"/>
        <v>209</v>
      </c>
      <c r="M33" s="209">
        <f t="shared" si="24"/>
        <v>209</v>
      </c>
      <c r="N33" s="209">
        <f t="shared" si="24"/>
        <v>209</v>
      </c>
      <c r="O33" s="459">
        <f t="shared" si="24"/>
        <v>209</v>
      </c>
      <c r="P33" s="209">
        <f t="shared" si="24"/>
        <v>209</v>
      </c>
      <c r="Q33" s="209">
        <f t="shared" ref="Q33" si="25">SUM(Q31:Q32)</f>
        <v>209</v>
      </c>
      <c r="R33" s="209">
        <f t="shared" ref="R33:T33" si="26">SUM(R31:R32)</f>
        <v>209</v>
      </c>
      <c r="T33" s="209">
        <f t="shared" si="26"/>
        <v>209</v>
      </c>
      <c r="U33" s="209">
        <f t="shared" ref="U33" si="27">SUM(U31:U32)</f>
        <v>209</v>
      </c>
      <c r="V33" s="209">
        <f t="shared" ref="V33" si="28">SUM(V31:V32)</f>
        <v>209</v>
      </c>
      <c r="W33" s="209">
        <f t="shared" ref="W33" si="29">SUM(W31:W32)</f>
        <v>209</v>
      </c>
      <c r="X33" s="209">
        <f t="shared" ref="X33" si="30">SUM(X31:X32)</f>
        <v>209</v>
      </c>
      <c r="Y33" s="209">
        <f t="shared" ref="Y33" si="31">SUM(Y31:Y32)</f>
        <v>209</v>
      </c>
      <c r="Z33" s="209">
        <f t="shared" ref="Z33" si="32">SUM(Z31:Z32)</f>
        <v>209</v>
      </c>
      <c r="AA33" s="209">
        <f t="shared" ref="AA33" si="33">SUM(AA31:AA32)</f>
        <v>209</v>
      </c>
      <c r="AB33" s="209">
        <f t="shared" ref="AB33" si="34">SUM(AB31:AB32)</f>
        <v>209</v>
      </c>
      <c r="AC33" s="209">
        <f t="shared" ref="AC33" si="35">SUM(AC31:AC32)</f>
        <v>209</v>
      </c>
      <c r="AD33" s="209">
        <f t="shared" ref="AD33" si="36">SUM(AD31:AD32)</f>
        <v>209</v>
      </c>
      <c r="AE33" s="209">
        <f t="shared" ref="AE33:AF33" si="37">SUM(AE31:AE32)</f>
        <v>209</v>
      </c>
      <c r="AF33" s="459">
        <f t="shared" si="37"/>
        <v>209</v>
      </c>
      <c r="AG33" s="209">
        <f t="shared" si="23"/>
        <v>209</v>
      </c>
      <c r="AH33" s="209">
        <f t="shared" si="23"/>
        <v>209</v>
      </c>
      <c r="AI33" s="209">
        <f t="shared" si="23"/>
        <v>209</v>
      </c>
      <c r="AJ33" s="209">
        <f t="shared" si="23"/>
        <v>209</v>
      </c>
      <c r="AK33" s="209">
        <f t="shared" si="23"/>
        <v>209</v>
      </c>
      <c r="AL33" s="209">
        <f t="shared" si="23"/>
        <v>209</v>
      </c>
    </row>
    <row r="34" spans="2:38" x14ac:dyDescent="0.2"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P34" s="210"/>
      <c r="Q34" s="210"/>
      <c r="R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459"/>
      <c r="AG34" s="210"/>
      <c r="AH34" s="210"/>
      <c r="AI34" s="210"/>
      <c r="AJ34" s="210"/>
      <c r="AK34" s="210"/>
      <c r="AL34" s="210"/>
    </row>
    <row r="35" spans="2:38" x14ac:dyDescent="0.2">
      <c r="B35" s="516" t="s">
        <v>638</v>
      </c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P35" s="210"/>
      <c r="Q35" s="210"/>
      <c r="R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459"/>
      <c r="AG35" s="210"/>
      <c r="AH35" s="210"/>
      <c r="AI35" s="210"/>
      <c r="AJ35" s="210"/>
      <c r="AK35" s="210"/>
      <c r="AL35" s="210"/>
    </row>
    <row r="36" spans="2:38" x14ac:dyDescent="0.2">
      <c r="B36" s="204" t="s">
        <v>636</v>
      </c>
      <c r="C36" s="45">
        <f>'Monthly Forecast'!J71+'Monthly Forecast'!J86+'Monthly Forecast'!J77</f>
        <v>1460031</v>
      </c>
      <c r="D36" s="45">
        <f>'Monthly Forecast'!K71+'Monthly Forecast'!K86+'Monthly Forecast'!K77</f>
        <v>1217023</v>
      </c>
      <c r="E36" s="45">
        <f>'Monthly Forecast'!L71+'Monthly Forecast'!L86+'Monthly Forecast'!L77</f>
        <v>1164227</v>
      </c>
      <c r="F36" s="45">
        <f>'Monthly Forecast'!M71+'Monthly Forecast'!M86+'Monthly Forecast'!M77</f>
        <v>1114796</v>
      </c>
      <c r="G36" s="45">
        <f>'Monthly Forecast'!N71+'Monthly Forecast'!N86+'Monthly Forecast'!N77</f>
        <v>1070595</v>
      </c>
      <c r="H36" s="45">
        <f>'Monthly Forecast'!O71+'Monthly Forecast'!O86+'Monthly Forecast'!O77</f>
        <v>1141609</v>
      </c>
      <c r="I36" s="45">
        <f>'Monthly Forecast'!P71+'Monthly Forecast'!P86+'Monthly Forecast'!P77</f>
        <v>1117115.3999999999</v>
      </c>
      <c r="J36" s="45">
        <f>'Monthly Forecast'!Q71+'Monthly Forecast'!Q86+'Monthly Forecast'!Q77</f>
        <v>1285762.7</v>
      </c>
      <c r="K36" s="45">
        <f>'Monthly Forecast'!R71+'Monthly Forecast'!R86+'Monthly Forecast'!R77</f>
        <v>1429755</v>
      </c>
      <c r="L36" s="45">
        <f>'Monthly Forecast'!S71+'Monthly Forecast'!S86+'Monthly Forecast'!S77</f>
        <v>1439176</v>
      </c>
      <c r="M36" s="45">
        <f>'Monthly Forecast'!T71+'Monthly Forecast'!T86+'Monthly Forecast'!T77</f>
        <v>1626910</v>
      </c>
      <c r="N36" s="45">
        <f>'Monthly Forecast'!U71+'Monthly Forecast'!U86+'Monthly Forecast'!U77</f>
        <v>1553506</v>
      </c>
      <c r="O36" s="454">
        <f>SUM(C36:N36)</f>
        <v>15620506.1</v>
      </c>
      <c r="P36" s="45">
        <f>'Monthly Forecast'!V71+'Monthly Forecast'!V86+'Monthly Forecast'!V77</f>
        <v>1460031</v>
      </c>
      <c r="Q36" s="45">
        <f>'Monthly Forecast'!W71+'Monthly Forecast'!W86+'Monthly Forecast'!W77</f>
        <v>1217023</v>
      </c>
      <c r="R36" s="45">
        <f>'Monthly Forecast'!X71+'Monthly Forecast'!X86+'Monthly Forecast'!X77</f>
        <v>1164227</v>
      </c>
      <c r="T36" s="45">
        <f>'Monthly Forecast'!Y71+'Monthly Forecast'!Y86+'Monthly Forecast'!Y77</f>
        <v>1114796</v>
      </c>
      <c r="U36" s="45">
        <f>'Monthly Forecast'!Z71+'Monthly Forecast'!Z86+'Monthly Forecast'!Z77</f>
        <v>1070595</v>
      </c>
      <c r="V36" s="45">
        <f>'Monthly Forecast'!AA71+'Monthly Forecast'!AA86+'Monthly Forecast'!AA77</f>
        <v>1141609</v>
      </c>
      <c r="W36" s="45">
        <f>'Monthly Forecast'!AB71+'Monthly Forecast'!AB86+'Monthly Forecast'!AB77</f>
        <v>1117115.3999999999</v>
      </c>
      <c r="X36" s="45">
        <f>'Monthly Forecast'!AC71+'Monthly Forecast'!AC86+'Monthly Forecast'!AC77</f>
        <v>1285762.7</v>
      </c>
      <c r="Y36" s="45">
        <f>'Monthly Forecast'!AD71+'Monthly Forecast'!AD86+'Monthly Forecast'!AD77</f>
        <v>1429755</v>
      </c>
      <c r="Z36" s="45">
        <f>'Monthly Forecast'!AE71+'Monthly Forecast'!AE86+'Monthly Forecast'!AE77</f>
        <v>1439176</v>
      </c>
      <c r="AA36" s="45">
        <f>'Monthly Forecast'!AF71+'Monthly Forecast'!AF86+'Monthly Forecast'!AF77</f>
        <v>1626910</v>
      </c>
      <c r="AB36" s="45">
        <f>'Monthly Forecast'!AG71+'Monthly Forecast'!AG86+'Monthly Forecast'!AG77</f>
        <v>1553506</v>
      </c>
      <c r="AC36" s="45">
        <f>'Monthly Forecast'!AH71+'Monthly Forecast'!AH86+'Monthly Forecast'!AH77</f>
        <v>1460031</v>
      </c>
      <c r="AD36" s="45">
        <f>'Monthly Forecast'!AI71+'Monthly Forecast'!AI86+'Monthly Forecast'!AI77</f>
        <v>1217023</v>
      </c>
      <c r="AE36" s="45">
        <f>'Monthly Forecast'!AJ71+'Monthly Forecast'!AJ86+'Monthly Forecast'!AJ77</f>
        <v>1164227</v>
      </c>
      <c r="AF36" s="454">
        <f>SUM(T36:AE36)</f>
        <v>15620506.100000001</v>
      </c>
      <c r="AG36" s="474">
        <f>AF36</f>
        <v>15620506.100000001</v>
      </c>
      <c r="AH36" s="474">
        <f t="shared" ref="AH36:AL36" si="38">AG36</f>
        <v>15620506.100000001</v>
      </c>
      <c r="AI36" s="474">
        <f t="shared" si="38"/>
        <v>15620506.100000001</v>
      </c>
      <c r="AJ36" s="474">
        <f t="shared" si="38"/>
        <v>15620506.100000001</v>
      </c>
      <c r="AK36" s="474">
        <f t="shared" si="38"/>
        <v>15620506.100000001</v>
      </c>
      <c r="AL36" s="474">
        <f t="shared" si="38"/>
        <v>15620506.100000001</v>
      </c>
    </row>
    <row r="37" spans="2:38" x14ac:dyDescent="0.2">
      <c r="B37" s="204" t="s">
        <v>637</v>
      </c>
      <c r="C37" s="364">
        <f>'Monthly Forecast'!J95</f>
        <v>1281922</v>
      </c>
      <c r="D37" s="364">
        <f>'Monthly Forecast'!K95</f>
        <v>1164880</v>
      </c>
      <c r="E37" s="364">
        <f>'Monthly Forecast'!L95</f>
        <v>1118519</v>
      </c>
      <c r="F37" s="364">
        <f>'Monthly Forecast'!M95</f>
        <v>1109174</v>
      </c>
      <c r="G37" s="364">
        <f>'Monthly Forecast'!N95</f>
        <v>1125907</v>
      </c>
      <c r="H37" s="364">
        <f>'Monthly Forecast'!O95</f>
        <v>1134520</v>
      </c>
      <c r="I37" s="364">
        <f>'Monthly Forecast'!P95</f>
        <v>1120717</v>
      </c>
      <c r="J37" s="364">
        <f>'Monthly Forecast'!Q95</f>
        <v>1161721</v>
      </c>
      <c r="K37" s="364">
        <f>'Monthly Forecast'!R95</f>
        <v>1213200</v>
      </c>
      <c r="L37" s="364">
        <f>'Monthly Forecast'!S95</f>
        <v>1264580</v>
      </c>
      <c r="M37" s="364">
        <f>'Monthly Forecast'!T95</f>
        <v>1356515</v>
      </c>
      <c r="N37" s="364">
        <f>'Monthly Forecast'!U95</f>
        <v>1329401</v>
      </c>
      <c r="O37" s="512">
        <f>SUM(C37:N37)</f>
        <v>14381056</v>
      </c>
      <c r="P37" s="364">
        <f>'Monthly Forecast'!V95</f>
        <v>1281922</v>
      </c>
      <c r="Q37" s="364">
        <f>'Monthly Forecast'!W95</f>
        <v>1164880</v>
      </c>
      <c r="R37" s="364">
        <f>'Monthly Forecast'!X95</f>
        <v>1118519</v>
      </c>
      <c r="T37" s="364">
        <f>'Monthly Forecast'!Y95</f>
        <v>1109174</v>
      </c>
      <c r="U37" s="364">
        <f>'Monthly Forecast'!Z95</f>
        <v>1125907</v>
      </c>
      <c r="V37" s="364">
        <f>'Monthly Forecast'!AA95</f>
        <v>1134520</v>
      </c>
      <c r="W37" s="364">
        <f>'Monthly Forecast'!AB95</f>
        <v>1120717</v>
      </c>
      <c r="X37" s="364">
        <f>'Monthly Forecast'!AC95</f>
        <v>1161721</v>
      </c>
      <c r="Y37" s="364">
        <f>'Monthly Forecast'!AD95</f>
        <v>1213200</v>
      </c>
      <c r="Z37" s="364">
        <f>'Monthly Forecast'!AE95</f>
        <v>1264580</v>
      </c>
      <c r="AA37" s="364">
        <f>'Monthly Forecast'!AF95</f>
        <v>1356515</v>
      </c>
      <c r="AB37" s="364">
        <f>'Monthly Forecast'!AG95</f>
        <v>1329401</v>
      </c>
      <c r="AC37" s="364">
        <f>'Monthly Forecast'!AH95</f>
        <v>1281922</v>
      </c>
      <c r="AD37" s="364">
        <f>'Monthly Forecast'!AI95</f>
        <v>1164880</v>
      </c>
      <c r="AE37" s="364">
        <f>'Monthly Forecast'!AJ95</f>
        <v>1118519</v>
      </c>
      <c r="AF37" s="512">
        <f>SUM(T37:AE37)</f>
        <v>14381056</v>
      </c>
      <c r="AG37" s="646">
        <f t="shared" ref="AG37:AL38" si="39">AF37</f>
        <v>14381056</v>
      </c>
      <c r="AH37" s="646">
        <f t="shared" si="39"/>
        <v>14381056</v>
      </c>
      <c r="AI37" s="646">
        <f t="shared" si="39"/>
        <v>14381056</v>
      </c>
      <c r="AJ37" s="646">
        <f t="shared" si="39"/>
        <v>14381056</v>
      </c>
      <c r="AK37" s="646">
        <f t="shared" si="39"/>
        <v>14381056</v>
      </c>
      <c r="AL37" s="646">
        <f t="shared" si="39"/>
        <v>14381056</v>
      </c>
    </row>
    <row r="38" spans="2:38" x14ac:dyDescent="0.2">
      <c r="B38" s="204" t="s">
        <v>19</v>
      </c>
      <c r="C38" s="45">
        <f>SUM(C36:C37)</f>
        <v>2741953</v>
      </c>
      <c r="D38" s="45">
        <f t="shared" ref="D38:P38" si="40">SUM(D36:D37)</f>
        <v>2381903</v>
      </c>
      <c r="E38" s="45">
        <f t="shared" si="40"/>
        <v>2282746</v>
      </c>
      <c r="F38" s="45">
        <f t="shared" si="40"/>
        <v>2223970</v>
      </c>
      <c r="G38" s="45">
        <f t="shared" si="40"/>
        <v>2196502</v>
      </c>
      <c r="H38" s="45">
        <f t="shared" si="40"/>
        <v>2276129</v>
      </c>
      <c r="I38" s="45">
        <f t="shared" si="40"/>
        <v>2237832.4</v>
      </c>
      <c r="J38" s="45">
        <f t="shared" si="40"/>
        <v>2447483.7000000002</v>
      </c>
      <c r="K38" s="45">
        <f t="shared" si="40"/>
        <v>2642955</v>
      </c>
      <c r="L38" s="45">
        <f t="shared" si="40"/>
        <v>2703756</v>
      </c>
      <c r="M38" s="45">
        <f t="shared" si="40"/>
        <v>2983425</v>
      </c>
      <c r="N38" s="45">
        <f t="shared" si="40"/>
        <v>2882907</v>
      </c>
      <c r="O38" s="454">
        <f t="shared" si="40"/>
        <v>30001562.100000001</v>
      </c>
      <c r="P38" s="45">
        <f t="shared" si="40"/>
        <v>2741953</v>
      </c>
      <c r="Q38" s="45">
        <f t="shared" ref="Q38" si="41">SUM(Q36:Q37)</f>
        <v>2381903</v>
      </c>
      <c r="R38" s="45">
        <f t="shared" ref="R38:T38" si="42">SUM(R36:R37)</f>
        <v>2282746</v>
      </c>
      <c r="T38" s="45">
        <f t="shared" si="42"/>
        <v>2223970</v>
      </c>
      <c r="U38" s="45">
        <f t="shared" ref="U38" si="43">SUM(U36:U37)</f>
        <v>2196502</v>
      </c>
      <c r="V38" s="45">
        <f t="shared" ref="V38" si="44">SUM(V36:V37)</f>
        <v>2276129</v>
      </c>
      <c r="W38" s="45">
        <f t="shared" ref="W38" si="45">SUM(W36:W37)</f>
        <v>2237832.4</v>
      </c>
      <c r="X38" s="45">
        <f t="shared" ref="X38" si="46">SUM(X36:X37)</f>
        <v>2447483.7000000002</v>
      </c>
      <c r="Y38" s="45">
        <f t="shared" ref="Y38" si="47">SUM(Y36:Y37)</f>
        <v>2642955</v>
      </c>
      <c r="Z38" s="45">
        <f t="shared" ref="Z38" si="48">SUM(Z36:Z37)</f>
        <v>2703756</v>
      </c>
      <c r="AA38" s="45">
        <f t="shared" ref="AA38" si="49">SUM(AA36:AA37)</f>
        <v>2983425</v>
      </c>
      <c r="AB38" s="45">
        <f t="shared" ref="AB38" si="50">SUM(AB36:AB37)</f>
        <v>2882907</v>
      </c>
      <c r="AC38" s="45">
        <f t="shared" ref="AC38" si="51">SUM(AC36:AC37)</f>
        <v>2741953</v>
      </c>
      <c r="AD38" s="45">
        <f t="shared" ref="AD38" si="52">SUM(AD36:AD37)</f>
        <v>2381903</v>
      </c>
      <c r="AE38" s="45">
        <f t="shared" ref="AE38:AF38" si="53">SUM(AE36:AE37)</f>
        <v>2282746</v>
      </c>
      <c r="AF38" s="454">
        <f t="shared" si="53"/>
        <v>30001562.100000001</v>
      </c>
      <c r="AG38" s="474">
        <f t="shared" si="39"/>
        <v>30001562.100000001</v>
      </c>
      <c r="AH38" s="474">
        <f t="shared" si="39"/>
        <v>30001562.100000001</v>
      </c>
      <c r="AI38" s="474">
        <f t="shared" si="39"/>
        <v>30001562.100000001</v>
      </c>
      <c r="AJ38" s="474">
        <f t="shared" si="39"/>
        <v>30001562.100000001</v>
      </c>
      <c r="AK38" s="474">
        <f t="shared" si="39"/>
        <v>30001562.100000001</v>
      </c>
      <c r="AL38" s="474">
        <f t="shared" si="39"/>
        <v>30001562.100000001</v>
      </c>
    </row>
    <row r="39" spans="2:38" x14ac:dyDescent="0.2"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P39" s="210"/>
      <c r="Q39" s="210"/>
      <c r="R39" s="210"/>
      <c r="AG39" s="210"/>
      <c r="AH39" s="210"/>
      <c r="AI39" s="210"/>
      <c r="AJ39" s="210"/>
      <c r="AK39" s="210"/>
      <c r="AL39" s="210"/>
    </row>
    <row r="40" spans="2:38" x14ac:dyDescent="0.2">
      <c r="AG40" s="474">
        <f>AG36/AG31</f>
        <v>80518.072680412384</v>
      </c>
      <c r="AH40" s="474">
        <f t="shared" ref="AH40:AL40" si="54">AH36/AH31</f>
        <v>80518.072680412384</v>
      </c>
      <c r="AI40" s="474">
        <f t="shared" si="54"/>
        <v>80518.072680412384</v>
      </c>
      <c r="AJ40" s="474">
        <f t="shared" si="54"/>
        <v>80518.072680412384</v>
      </c>
      <c r="AK40" s="474">
        <f t="shared" si="54"/>
        <v>80518.072680412384</v>
      </c>
      <c r="AL40" s="474">
        <f t="shared" si="54"/>
        <v>80518.072680412384</v>
      </c>
    </row>
    <row r="41" spans="2:38" x14ac:dyDescent="0.2">
      <c r="AG41" s="474">
        <f t="shared" ref="AG41:AL42" si="55">AG37/AG32</f>
        <v>958737.06666666665</v>
      </c>
      <c r="AH41" s="474">
        <f t="shared" si="55"/>
        <v>958737.06666666665</v>
      </c>
      <c r="AI41" s="474">
        <f t="shared" si="55"/>
        <v>958737.06666666665</v>
      </c>
      <c r="AJ41" s="474">
        <f t="shared" si="55"/>
        <v>958737.06666666665</v>
      </c>
      <c r="AK41" s="474">
        <f t="shared" si="55"/>
        <v>958737.06666666665</v>
      </c>
      <c r="AL41" s="474">
        <f t="shared" si="55"/>
        <v>958737.06666666665</v>
      </c>
    </row>
    <row r="42" spans="2:38" x14ac:dyDescent="0.2">
      <c r="AG42" s="474">
        <f t="shared" si="55"/>
        <v>143548.14401913877</v>
      </c>
      <c r="AH42" s="474">
        <f t="shared" si="55"/>
        <v>143548.14401913877</v>
      </c>
      <c r="AI42" s="474">
        <f t="shared" si="55"/>
        <v>143548.14401913877</v>
      </c>
      <c r="AJ42" s="474">
        <f t="shared" si="55"/>
        <v>143548.14401913877</v>
      </c>
      <c r="AK42" s="474">
        <f t="shared" si="55"/>
        <v>143548.14401913877</v>
      </c>
      <c r="AL42" s="474">
        <f t="shared" si="55"/>
        <v>143548.14401913877</v>
      </c>
    </row>
  </sheetData>
  <mergeCells count="1">
    <mergeCell ref="AG6:AL6"/>
  </mergeCells>
  <phoneticPr fontId="4" type="noConversion"/>
  <pageMargins left="0.75" right="0.75" top="1" bottom="1" header="0.5" footer="0.5"/>
  <pageSetup scale="5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44"/>
  <sheetViews>
    <sheetView view="pageBreakPreview" zoomScale="60" zoomScaleNormal="100" workbookViewId="0">
      <selection activeCell="B3" sqref="B3"/>
    </sheetView>
  </sheetViews>
  <sheetFormatPr defaultColWidth="9.140625" defaultRowHeight="12.75" x14ac:dyDescent="0.2"/>
  <cols>
    <col min="1" max="16384" width="9.140625" style="204"/>
  </cols>
  <sheetData>
    <row r="1" spans="1:30" x14ac:dyDescent="0.2">
      <c r="A1" s="722"/>
      <c r="B1" s="722"/>
      <c r="C1" s="722"/>
      <c r="D1" s="722"/>
      <c r="E1" s="722"/>
      <c r="F1" s="722"/>
      <c r="G1" s="722"/>
      <c r="H1" s="722"/>
      <c r="I1" s="722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</row>
    <row r="2" spans="1:30" x14ac:dyDescent="0.2">
      <c r="A2" s="722"/>
      <c r="B2" s="722" t="s">
        <v>710</v>
      </c>
      <c r="C2" s="722"/>
      <c r="D2" s="722"/>
      <c r="E2" s="722"/>
      <c r="F2" s="722"/>
      <c r="G2" s="722"/>
      <c r="H2" s="722"/>
      <c r="I2" s="722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</row>
    <row r="3" spans="1:30" x14ac:dyDescent="0.2">
      <c r="A3" s="722"/>
      <c r="B3" s="722"/>
      <c r="C3" s="722"/>
      <c r="D3" s="722"/>
      <c r="E3" s="722"/>
      <c r="F3" s="722"/>
      <c r="G3" s="722"/>
      <c r="H3" s="722"/>
      <c r="I3" s="722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</row>
    <row r="4" spans="1:30" x14ac:dyDescent="0.2">
      <c r="A4" s="722"/>
      <c r="B4" s="722"/>
      <c r="C4" s="722"/>
      <c r="D4" s="722"/>
      <c r="E4" s="722"/>
      <c r="F4" s="722"/>
      <c r="G4" s="722"/>
      <c r="H4" s="722"/>
      <c r="I4" s="722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</row>
    <row r="5" spans="1:30" x14ac:dyDescent="0.2">
      <c r="A5" s="722"/>
      <c r="B5" s="722"/>
      <c r="C5" s="722"/>
      <c r="D5" s="722"/>
      <c r="E5" s="722"/>
      <c r="F5" s="722"/>
      <c r="G5" s="722"/>
      <c r="H5" s="722"/>
      <c r="I5" s="722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</row>
    <row r="6" spans="1:30" x14ac:dyDescent="0.2">
      <c r="A6" s="722"/>
      <c r="B6" s="722"/>
      <c r="C6" s="722"/>
      <c r="D6" s="722"/>
      <c r="E6" s="722"/>
      <c r="F6" s="722"/>
      <c r="G6" s="722"/>
      <c r="H6" s="722"/>
      <c r="I6" s="722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</row>
    <row r="7" spans="1:30" x14ac:dyDescent="0.2">
      <c r="A7" s="722"/>
      <c r="B7" s="722"/>
      <c r="C7" s="722"/>
      <c r="D7" s="722"/>
      <c r="E7" s="722"/>
      <c r="F7" s="722"/>
      <c r="G7" s="722"/>
      <c r="H7" s="722"/>
      <c r="I7" s="722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6"/>
      <c r="AC7" s="476"/>
      <c r="AD7" s="476"/>
    </row>
    <row r="8" spans="1:30" x14ac:dyDescent="0.2">
      <c r="A8" s="722"/>
      <c r="B8" s="722"/>
      <c r="C8" s="722"/>
      <c r="D8" s="722"/>
      <c r="E8" s="722"/>
      <c r="F8" s="722"/>
      <c r="G8" s="722"/>
      <c r="H8" s="722"/>
      <c r="I8" s="722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</row>
    <row r="9" spans="1:30" x14ac:dyDescent="0.2">
      <c r="A9" s="722"/>
      <c r="B9" s="722"/>
      <c r="C9" s="722"/>
      <c r="D9" s="722"/>
      <c r="E9" s="722"/>
      <c r="F9" s="722"/>
      <c r="G9" s="722"/>
      <c r="H9" s="722"/>
      <c r="I9" s="722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  <c r="Z9" s="476"/>
      <c r="AA9" s="476"/>
      <c r="AB9" s="476"/>
      <c r="AC9" s="476"/>
      <c r="AD9" s="476"/>
    </row>
    <row r="10" spans="1:30" x14ac:dyDescent="0.2">
      <c r="A10" s="722"/>
      <c r="B10" s="722"/>
      <c r="C10" s="722"/>
      <c r="D10" s="722"/>
      <c r="E10" s="722"/>
      <c r="F10" s="722"/>
      <c r="G10" s="722"/>
      <c r="H10" s="722"/>
      <c r="I10" s="722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</row>
    <row r="11" spans="1:30" x14ac:dyDescent="0.2">
      <c r="A11" s="722"/>
      <c r="B11" s="722"/>
      <c r="C11" s="722"/>
      <c r="D11" s="722"/>
      <c r="E11" s="722"/>
      <c r="F11" s="722"/>
      <c r="G11" s="722"/>
      <c r="H11" s="722"/>
      <c r="I11" s="722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</row>
    <row r="12" spans="1:30" x14ac:dyDescent="0.2">
      <c r="A12" s="722"/>
      <c r="B12" s="722"/>
      <c r="C12" s="722"/>
      <c r="D12" s="722"/>
      <c r="E12" s="722"/>
      <c r="F12" s="722"/>
      <c r="G12" s="722"/>
      <c r="H12" s="722"/>
      <c r="I12" s="722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</row>
    <row r="13" spans="1:30" x14ac:dyDescent="0.2">
      <c r="A13" s="722"/>
      <c r="B13" s="722"/>
      <c r="C13" s="722"/>
      <c r="D13" s="722"/>
      <c r="E13" s="722"/>
      <c r="F13" s="722"/>
      <c r="G13" s="722"/>
      <c r="H13" s="722"/>
      <c r="I13" s="722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</row>
    <row r="14" spans="1:30" x14ac:dyDescent="0.2">
      <c r="A14" s="722"/>
      <c r="B14" s="722"/>
      <c r="C14" s="722"/>
      <c r="D14" s="722"/>
      <c r="E14" s="722"/>
      <c r="F14" s="722"/>
      <c r="G14" s="722"/>
      <c r="H14" s="722"/>
      <c r="I14" s="722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</row>
    <row r="15" spans="1:30" x14ac:dyDescent="0.2">
      <c r="A15" s="722"/>
      <c r="B15" s="722"/>
      <c r="C15" s="722"/>
      <c r="D15" s="722"/>
      <c r="E15" s="722"/>
      <c r="F15" s="722"/>
      <c r="G15" s="722"/>
      <c r="H15" s="722"/>
      <c r="I15" s="722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</row>
    <row r="16" spans="1:30" x14ac:dyDescent="0.2">
      <c r="A16" s="722"/>
      <c r="B16" s="722"/>
      <c r="C16" s="722"/>
      <c r="D16" s="722"/>
      <c r="E16" s="722"/>
      <c r="F16" s="722"/>
      <c r="G16" s="722"/>
      <c r="H16" s="722"/>
      <c r="I16" s="722"/>
      <c r="J16" s="476"/>
      <c r="K16" s="476"/>
      <c r="L16" s="476"/>
      <c r="M16" s="476"/>
      <c r="N16" s="476"/>
      <c r="O16" s="476"/>
      <c r="P16" s="476"/>
      <c r="Q16" s="476"/>
      <c r="R16" s="476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</row>
    <row r="17" spans="1:30" x14ac:dyDescent="0.2">
      <c r="A17" s="722"/>
      <c r="B17" s="722"/>
      <c r="C17" s="722"/>
      <c r="D17" s="722"/>
      <c r="E17" s="722"/>
      <c r="F17" s="722"/>
      <c r="G17" s="722"/>
      <c r="H17" s="722"/>
      <c r="I17" s="722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</row>
    <row r="18" spans="1:30" x14ac:dyDescent="0.2">
      <c r="A18" s="722"/>
      <c r="B18" s="722"/>
      <c r="C18" s="722"/>
      <c r="D18" s="722"/>
      <c r="E18" s="722"/>
      <c r="F18" s="722"/>
      <c r="G18" s="722"/>
      <c r="H18" s="722"/>
      <c r="I18" s="722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</row>
    <row r="19" spans="1:30" x14ac:dyDescent="0.2">
      <c r="A19" s="722"/>
      <c r="B19" s="722"/>
      <c r="C19" s="722"/>
      <c r="D19" s="722"/>
      <c r="E19" s="722"/>
      <c r="F19" s="722"/>
      <c r="G19" s="722"/>
      <c r="H19" s="722"/>
      <c r="I19" s="722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</row>
    <row r="20" spans="1:30" x14ac:dyDescent="0.2">
      <c r="A20" s="722"/>
      <c r="B20" s="722"/>
      <c r="C20" s="722"/>
      <c r="D20" s="722"/>
      <c r="E20" s="722"/>
      <c r="F20" s="722"/>
      <c r="G20" s="722"/>
      <c r="H20" s="722"/>
      <c r="I20" s="722"/>
      <c r="J20" s="476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</row>
    <row r="21" spans="1:30" x14ac:dyDescent="0.2">
      <c r="A21" s="722"/>
      <c r="B21" s="722"/>
      <c r="C21" s="722"/>
      <c r="D21" s="722"/>
      <c r="E21" s="722"/>
      <c r="F21" s="722"/>
      <c r="G21" s="722"/>
      <c r="H21" s="722"/>
      <c r="I21" s="722"/>
      <c r="J21" s="47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</row>
    <row r="22" spans="1:30" x14ac:dyDescent="0.2">
      <c r="A22" s="722"/>
      <c r="B22" s="722"/>
      <c r="C22" s="722"/>
      <c r="D22" s="722"/>
      <c r="E22" s="722"/>
      <c r="F22" s="722"/>
      <c r="G22" s="722"/>
      <c r="H22" s="722"/>
      <c r="I22" s="722"/>
      <c r="J22" s="476"/>
      <c r="K22" s="476"/>
      <c r="L22" s="476"/>
      <c r="M22" s="476"/>
      <c r="N22" s="476"/>
      <c r="O22" s="476"/>
      <c r="P22" s="476"/>
      <c r="Q22" s="476"/>
      <c r="R22" s="476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</row>
    <row r="23" spans="1:30" x14ac:dyDescent="0.2">
      <c r="A23" s="722"/>
      <c r="B23" s="722"/>
      <c r="C23" s="722"/>
      <c r="D23" s="722"/>
      <c r="E23" s="722"/>
      <c r="F23" s="722"/>
      <c r="G23" s="722"/>
      <c r="H23" s="722"/>
      <c r="I23" s="722"/>
      <c r="J23" s="476"/>
      <c r="K23" s="476"/>
      <c r="L23" s="476"/>
      <c r="M23" s="476"/>
      <c r="N23" s="476"/>
      <c r="O23" s="476"/>
      <c r="P23" s="476"/>
      <c r="Q23" s="476"/>
      <c r="R23" s="476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</row>
    <row r="24" spans="1:30" x14ac:dyDescent="0.2">
      <c r="A24" s="722"/>
      <c r="B24" s="722"/>
      <c r="C24" s="722"/>
      <c r="D24" s="722"/>
      <c r="E24" s="722"/>
      <c r="F24" s="722"/>
      <c r="G24" s="722"/>
      <c r="H24" s="722"/>
      <c r="I24" s="722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</row>
    <row r="25" spans="1:30" x14ac:dyDescent="0.2">
      <c r="A25" s="722"/>
      <c r="B25" s="722"/>
      <c r="C25" s="722"/>
      <c r="D25" s="722"/>
      <c r="E25" s="722"/>
      <c r="F25" s="722"/>
      <c r="G25" s="722"/>
      <c r="H25" s="722"/>
      <c r="I25" s="722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</row>
    <row r="26" spans="1:30" x14ac:dyDescent="0.2">
      <c r="A26" s="722"/>
      <c r="B26" s="722"/>
      <c r="C26" s="722"/>
      <c r="D26" s="722"/>
      <c r="E26" s="722"/>
      <c r="F26" s="722"/>
      <c r="G26" s="722"/>
      <c r="H26" s="722"/>
      <c r="I26" s="722"/>
      <c r="J26" s="476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</row>
    <row r="27" spans="1:30" x14ac:dyDescent="0.2">
      <c r="A27" s="722"/>
      <c r="B27" s="722"/>
      <c r="C27" s="722"/>
      <c r="D27" s="722"/>
      <c r="E27" s="722"/>
      <c r="F27" s="722"/>
      <c r="G27" s="722"/>
      <c r="H27" s="722"/>
      <c r="I27" s="722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</row>
    <row r="28" spans="1:30" x14ac:dyDescent="0.2">
      <c r="A28" s="722"/>
      <c r="B28" s="722"/>
      <c r="C28" s="722"/>
      <c r="D28" s="722"/>
      <c r="E28" s="722"/>
      <c r="F28" s="722"/>
      <c r="G28" s="722"/>
      <c r="H28" s="722"/>
      <c r="I28" s="722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</row>
    <row r="29" spans="1:30" x14ac:dyDescent="0.2">
      <c r="A29" s="722"/>
      <c r="B29" s="722"/>
      <c r="C29" s="722"/>
      <c r="D29" s="722"/>
      <c r="E29" s="722"/>
      <c r="F29" s="722"/>
      <c r="G29" s="722"/>
      <c r="H29" s="722"/>
      <c r="I29" s="722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</row>
    <row r="30" spans="1:30" x14ac:dyDescent="0.2">
      <c r="A30" s="722"/>
      <c r="B30" s="722"/>
      <c r="C30" s="722"/>
      <c r="D30" s="722"/>
      <c r="E30" s="722"/>
      <c r="F30" s="722"/>
      <c r="G30" s="722"/>
      <c r="H30" s="722"/>
      <c r="I30" s="722"/>
      <c r="J30" s="476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</row>
    <row r="31" spans="1:30" x14ac:dyDescent="0.2">
      <c r="A31" s="722"/>
      <c r="B31" s="722"/>
      <c r="C31" s="722"/>
      <c r="D31" s="722"/>
      <c r="E31" s="722"/>
      <c r="F31" s="722"/>
      <c r="G31" s="722"/>
      <c r="H31" s="722"/>
      <c r="I31" s="722"/>
      <c r="J31" s="476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</row>
    <row r="32" spans="1:30" x14ac:dyDescent="0.2">
      <c r="A32" s="722"/>
      <c r="B32" s="722"/>
      <c r="C32" s="722"/>
      <c r="D32" s="722"/>
      <c r="E32" s="722"/>
      <c r="F32" s="722"/>
      <c r="G32" s="722"/>
      <c r="H32" s="722"/>
      <c r="I32" s="722"/>
      <c r="J32" s="476"/>
      <c r="K32" s="476"/>
      <c r="L32" s="476"/>
      <c r="M32" s="476"/>
      <c r="N32" s="476"/>
      <c r="O32" s="476"/>
      <c r="P32" s="476"/>
      <c r="Q32" s="476"/>
      <c r="R32" s="476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</row>
    <row r="33" spans="1:30" x14ac:dyDescent="0.2">
      <c r="A33" s="722"/>
      <c r="B33" s="722"/>
      <c r="C33" s="722"/>
      <c r="D33" s="722"/>
      <c r="E33" s="722"/>
      <c r="F33" s="722"/>
      <c r="G33" s="722"/>
      <c r="H33" s="722"/>
      <c r="I33" s="722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</row>
    <row r="34" spans="1:30" x14ac:dyDescent="0.2">
      <c r="A34" s="722"/>
      <c r="B34" s="722"/>
      <c r="C34" s="722"/>
      <c r="D34" s="722"/>
      <c r="E34" s="722"/>
      <c r="F34" s="722"/>
      <c r="G34" s="722"/>
      <c r="H34" s="722"/>
      <c r="I34" s="722"/>
      <c r="J34" s="476"/>
      <c r="K34" s="476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</row>
    <row r="35" spans="1:30" x14ac:dyDescent="0.2">
      <c r="A35" s="722"/>
      <c r="B35" s="722"/>
      <c r="C35" s="722"/>
      <c r="D35" s="722"/>
      <c r="E35" s="722"/>
      <c r="F35" s="722"/>
      <c r="G35" s="722"/>
      <c r="H35" s="722"/>
      <c r="I35" s="722"/>
      <c r="J35" s="476"/>
      <c r="K35" s="476"/>
      <c r="L35" s="476"/>
      <c r="M35" s="476"/>
      <c r="N35" s="476"/>
      <c r="O35" s="476"/>
      <c r="P35" s="476"/>
      <c r="Q35" s="476"/>
      <c r="R35" s="476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</row>
    <row r="36" spans="1:30" x14ac:dyDescent="0.2">
      <c r="A36" s="722"/>
      <c r="B36" s="722"/>
      <c r="C36" s="722"/>
      <c r="D36" s="722"/>
      <c r="E36" s="722"/>
      <c r="F36" s="722"/>
      <c r="G36" s="722"/>
      <c r="H36" s="722"/>
      <c r="I36" s="722"/>
      <c r="J36" s="476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  <c r="W36" s="476"/>
      <c r="X36" s="476"/>
      <c r="Y36" s="476"/>
      <c r="Z36" s="476"/>
      <c r="AA36" s="476"/>
      <c r="AB36" s="476"/>
      <c r="AC36" s="476"/>
      <c r="AD36" s="476"/>
    </row>
    <row r="37" spans="1:30" x14ac:dyDescent="0.2">
      <c r="A37" s="722"/>
      <c r="B37" s="722"/>
      <c r="C37" s="722"/>
      <c r="D37" s="722"/>
      <c r="E37" s="722"/>
      <c r="F37" s="722"/>
      <c r="G37" s="722"/>
      <c r="H37" s="722"/>
      <c r="I37" s="722"/>
      <c r="J37" s="476"/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</row>
    <row r="38" spans="1:30" x14ac:dyDescent="0.2">
      <c r="A38" s="722"/>
      <c r="B38" s="722"/>
      <c r="C38" s="722"/>
      <c r="D38" s="722"/>
      <c r="E38" s="722"/>
      <c r="F38" s="722"/>
      <c r="G38" s="722"/>
      <c r="H38" s="722"/>
      <c r="I38" s="722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</row>
    <row r="39" spans="1:30" x14ac:dyDescent="0.2">
      <c r="A39" s="722"/>
      <c r="B39" s="722"/>
      <c r="C39" s="722"/>
      <c r="D39" s="722"/>
      <c r="E39" s="722"/>
      <c r="F39" s="722"/>
      <c r="G39" s="722"/>
      <c r="H39" s="722"/>
      <c r="I39" s="722"/>
      <c r="J39" s="476"/>
      <c r="K39" s="476"/>
      <c r="L39" s="476"/>
      <c r="M39" s="476"/>
      <c r="N39" s="476"/>
      <c r="O39" s="476"/>
      <c r="P39" s="476"/>
      <c r="Q39" s="476"/>
      <c r="R39" s="476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</row>
    <row r="40" spans="1:30" x14ac:dyDescent="0.2">
      <c r="A40" s="722"/>
      <c r="B40" s="722"/>
      <c r="C40" s="722"/>
      <c r="D40" s="722"/>
      <c r="E40" s="722"/>
      <c r="F40" s="722"/>
      <c r="G40" s="722"/>
      <c r="H40" s="722"/>
      <c r="I40" s="722"/>
      <c r="J40" s="476"/>
      <c r="K40" s="476"/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</row>
    <row r="41" spans="1:30" x14ac:dyDescent="0.2">
      <c r="A41" s="722"/>
      <c r="B41" s="722"/>
      <c r="C41" s="722"/>
      <c r="D41" s="722"/>
      <c r="E41" s="722"/>
      <c r="F41" s="722"/>
      <c r="G41" s="722"/>
      <c r="H41" s="722"/>
      <c r="I41" s="722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</row>
    <row r="42" spans="1:30" x14ac:dyDescent="0.2">
      <c r="A42" s="722"/>
      <c r="B42" s="722"/>
      <c r="C42" s="722"/>
      <c r="D42" s="722"/>
      <c r="E42" s="722"/>
      <c r="F42" s="722"/>
      <c r="G42" s="722"/>
      <c r="H42" s="722"/>
      <c r="I42" s="722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</row>
    <row r="43" spans="1:30" x14ac:dyDescent="0.2">
      <c r="A43" s="722"/>
      <c r="B43" s="722"/>
      <c r="C43" s="722"/>
      <c r="D43" s="722"/>
      <c r="E43" s="722"/>
      <c r="F43" s="722"/>
      <c r="G43" s="722"/>
      <c r="H43" s="722"/>
      <c r="I43" s="722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</row>
    <row r="44" spans="1:30" x14ac:dyDescent="0.2">
      <c r="A44" s="722"/>
      <c r="B44" s="722"/>
      <c r="C44" s="722"/>
      <c r="D44" s="722"/>
      <c r="E44" s="722"/>
      <c r="F44" s="722"/>
      <c r="G44" s="722"/>
      <c r="H44" s="722"/>
      <c r="I44" s="722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3">
    <tabColor rgb="FF00FF00"/>
  </sheetPr>
  <dimension ref="A1:AV4240"/>
  <sheetViews>
    <sheetView showGridLines="0" view="pageBreakPreview" zoomScale="115" zoomScaleNormal="115" zoomScaleSheetLayoutView="115" workbookViewId="0">
      <pane xSplit="2" ySplit="11" topLeftCell="C12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1" bestFit="1" customWidth="1"/>
    <col min="2" max="2" width="29.5703125" style="1" customWidth="1"/>
    <col min="3" max="3" width="13.5703125" style="2" customWidth="1"/>
    <col min="4" max="4" width="10.42578125" style="2" bestFit="1" customWidth="1"/>
    <col min="5" max="6" width="10" style="2" bestFit="1" customWidth="1"/>
    <col min="7" max="7" width="10.42578125" style="2" bestFit="1" customWidth="1"/>
    <col min="8" max="10" width="10.42578125" style="2" customWidth="1"/>
    <col min="11" max="11" width="10" style="2" bestFit="1" customWidth="1"/>
    <col min="12" max="12" width="10.42578125" style="2" bestFit="1" customWidth="1"/>
    <col min="13" max="13" width="11" style="2" bestFit="1" customWidth="1"/>
    <col min="14" max="14" width="10" style="2" bestFit="1" customWidth="1"/>
    <col min="15" max="15" width="11.140625" style="2" bestFit="1" customWidth="1"/>
    <col min="16" max="16" width="13.42578125" style="2" customWidth="1"/>
    <col min="17" max="17" width="8.5703125" style="2" customWidth="1"/>
    <col min="18" max="18" width="14.85546875" style="2" bestFit="1" customWidth="1"/>
    <col min="19" max="19" width="15.5703125" style="17" customWidth="1"/>
    <col min="20" max="20" width="15.140625" style="17" customWidth="1"/>
    <col min="21" max="21" width="16.42578125" style="17" customWidth="1"/>
    <col min="22" max="22" width="13.85546875" style="17" customWidth="1"/>
    <col min="23" max="23" width="16.5703125" style="17" customWidth="1"/>
    <col min="24" max="24" width="11.5703125" style="17" bestFit="1" customWidth="1"/>
    <col min="25" max="25" width="17.5703125" style="17" customWidth="1"/>
    <col min="26" max="48" width="12.5703125" style="17"/>
    <col min="49" max="16384" width="12.5703125" style="2"/>
  </cols>
  <sheetData>
    <row r="1" spans="1:48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70"/>
      <c r="P1" s="70"/>
      <c r="Q1" s="1"/>
      <c r="R1" s="1"/>
      <c r="S1" s="16"/>
      <c r="T1" s="16"/>
      <c r="U1" s="16"/>
      <c r="V1" s="16"/>
      <c r="W1" s="16"/>
      <c r="X1" s="16"/>
      <c r="Y1" s="16"/>
    </row>
    <row r="2" spans="1:48" s="1" customFormat="1" x14ac:dyDescent="0.2">
      <c r="O2" s="70"/>
      <c r="P2" s="70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</row>
    <row r="3" spans="1:48" s="1" customFormat="1" x14ac:dyDescent="0.2">
      <c r="O3" s="70"/>
      <c r="P3" s="70"/>
      <c r="R3" s="72" t="s">
        <v>616</v>
      </c>
      <c r="S3" s="16"/>
      <c r="T3" s="38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</row>
    <row r="4" spans="1:48" s="1" customFormat="1" x14ac:dyDescent="0.2">
      <c r="A4" s="7"/>
      <c r="B4" s="18"/>
      <c r="C4" s="18"/>
      <c r="D4" s="7"/>
      <c r="E4" s="18"/>
      <c r="F4" s="18"/>
      <c r="G4" s="18"/>
      <c r="H4" s="18"/>
      <c r="I4" s="4" t="s">
        <v>93</v>
      </c>
      <c r="J4" s="18"/>
      <c r="K4" s="18"/>
      <c r="L4" s="18"/>
      <c r="M4" s="18"/>
      <c r="N4" s="18"/>
      <c r="O4" s="71"/>
      <c r="P4" s="71"/>
      <c r="Q4" s="19"/>
      <c r="R4" s="72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</row>
    <row r="5" spans="1:48" s="1" customFormat="1" x14ac:dyDescent="0.2">
      <c r="A5" s="7"/>
      <c r="B5" s="18"/>
      <c r="C5" s="18"/>
      <c r="D5" s="7"/>
      <c r="E5" s="18"/>
      <c r="F5" s="18"/>
      <c r="G5" s="18"/>
      <c r="H5" s="18"/>
      <c r="I5" s="4" t="s">
        <v>228</v>
      </c>
      <c r="J5" s="18"/>
      <c r="K5" s="18"/>
      <c r="L5" s="18"/>
      <c r="M5" s="18"/>
      <c r="N5" s="18"/>
      <c r="O5" s="18"/>
      <c r="P5" s="18"/>
      <c r="Q5" s="19"/>
      <c r="R5" s="18"/>
      <c r="S5" s="16"/>
      <c r="T5" s="16"/>
      <c r="U5" s="16"/>
      <c r="V5" s="16"/>
      <c r="W5" s="21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</row>
    <row r="6" spans="1:48" s="1" customFormat="1" x14ac:dyDescent="0.2">
      <c r="A6" s="7"/>
      <c r="B6" s="18"/>
      <c r="C6" s="18"/>
      <c r="D6" s="18"/>
      <c r="E6" s="18"/>
      <c r="F6" s="18"/>
      <c r="G6" s="18"/>
      <c r="H6" s="18"/>
      <c r="I6" s="4" t="str">
        <f>'Contract &amp; Vol Adj'!I6</f>
        <v>Reference Period - Twelve Months Ending 08/31/2015</v>
      </c>
      <c r="J6" s="18"/>
      <c r="K6" s="18"/>
      <c r="L6" s="18"/>
      <c r="M6" s="18"/>
      <c r="N6" s="18"/>
      <c r="O6" s="18"/>
      <c r="P6" s="18"/>
      <c r="Q6" s="73"/>
      <c r="R6" s="18"/>
      <c r="S6" s="16"/>
      <c r="T6" s="16"/>
      <c r="U6" s="16"/>
      <c r="V6" s="16"/>
      <c r="W6" s="22"/>
      <c r="X6" s="16"/>
      <c r="Y6" s="22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</row>
    <row r="7" spans="1:48" s="1" customFormat="1" x14ac:dyDescent="0.2"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</row>
    <row r="8" spans="1:48" s="1" customFormat="1" x14ac:dyDescent="0.2">
      <c r="A8" s="7" t="s">
        <v>12</v>
      </c>
      <c r="O8" s="4" t="s">
        <v>18</v>
      </c>
      <c r="R8" s="4" t="s">
        <v>19</v>
      </c>
      <c r="S8" s="15"/>
      <c r="T8" s="16"/>
      <c r="U8" s="15"/>
      <c r="V8" s="15"/>
      <c r="W8" s="15"/>
      <c r="X8" s="15"/>
      <c r="Y8" s="15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</row>
    <row r="9" spans="1:48" s="1" customFormat="1" x14ac:dyDescent="0.2">
      <c r="A9" s="8" t="s">
        <v>17</v>
      </c>
      <c r="B9" s="9" t="s">
        <v>27</v>
      </c>
      <c r="C9" s="65">
        <f>WNA!C10</f>
        <v>41912</v>
      </c>
      <c r="D9" s="65">
        <f>WNA!D10</f>
        <v>41943</v>
      </c>
      <c r="E9" s="65">
        <f>WNA!E10</f>
        <v>41973</v>
      </c>
      <c r="F9" s="65">
        <f>WNA!F10</f>
        <v>42004</v>
      </c>
      <c r="G9" s="65">
        <f>WNA!G10</f>
        <v>42035</v>
      </c>
      <c r="H9" s="65">
        <f>WNA!H10</f>
        <v>42063</v>
      </c>
      <c r="I9" s="65">
        <f>WNA!I10</f>
        <v>42094</v>
      </c>
      <c r="J9" s="65">
        <f>WNA!J10</f>
        <v>42124</v>
      </c>
      <c r="K9" s="65">
        <f>WNA!K10</f>
        <v>42155</v>
      </c>
      <c r="L9" s="65">
        <f>WNA!L10</f>
        <v>42185</v>
      </c>
      <c r="M9" s="65">
        <f>WNA!M10</f>
        <v>42216</v>
      </c>
      <c r="N9" s="65">
        <f>WNA!N10</f>
        <v>42247</v>
      </c>
      <c r="O9" s="10" t="s">
        <v>20</v>
      </c>
      <c r="P9" s="10" t="s">
        <v>21</v>
      </c>
      <c r="Q9" s="10" t="s">
        <v>6</v>
      </c>
      <c r="R9" s="10" t="s">
        <v>22</v>
      </c>
      <c r="S9" s="15"/>
      <c r="T9" s="16"/>
      <c r="U9" s="16"/>
      <c r="V9" s="58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</row>
    <row r="10" spans="1:48" s="1" customFormat="1" x14ac:dyDescent="0.2">
      <c r="B10" s="4"/>
      <c r="C10" s="4" t="s">
        <v>13</v>
      </c>
      <c r="D10" s="81" t="s">
        <v>14</v>
      </c>
      <c r="E10" s="81" t="s">
        <v>15</v>
      </c>
      <c r="F10" s="4" t="s">
        <v>16</v>
      </c>
      <c r="G10" s="94" t="s">
        <v>108</v>
      </c>
      <c r="H10" s="95" t="s">
        <v>109</v>
      </c>
      <c r="I10" s="95" t="s">
        <v>110</v>
      </c>
      <c r="J10" s="95" t="s">
        <v>111</v>
      </c>
      <c r="K10" s="95" t="s">
        <v>112</v>
      </c>
      <c r="L10" s="95" t="s">
        <v>113</v>
      </c>
      <c r="M10" s="95" t="s">
        <v>114</v>
      </c>
      <c r="N10" s="95" t="s">
        <v>115</v>
      </c>
      <c r="O10" s="95" t="s">
        <v>116</v>
      </c>
      <c r="P10" s="95" t="s">
        <v>245</v>
      </c>
      <c r="Q10" s="95" t="s">
        <v>246</v>
      </c>
      <c r="R10" s="95" t="s">
        <v>247</v>
      </c>
      <c r="S10" s="81"/>
      <c r="T10" s="16"/>
      <c r="U10" s="16"/>
      <c r="V10" s="15"/>
      <c r="W10" s="16"/>
      <c r="X10" s="16"/>
      <c r="Y10" s="15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</row>
    <row r="11" spans="1:48" s="1" customFormat="1" x14ac:dyDescent="0.2">
      <c r="C11" s="202"/>
      <c r="S11" s="15"/>
      <c r="T11" s="16"/>
      <c r="U11" s="15"/>
      <c r="V11" s="15"/>
      <c r="W11" s="15"/>
      <c r="X11" s="15"/>
      <c r="Y11" s="15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</row>
    <row r="12" spans="1:48" x14ac:dyDescent="0.2">
      <c r="A12" s="4">
        <v>1</v>
      </c>
      <c r="B12" s="35" t="s">
        <v>30</v>
      </c>
      <c r="C12" s="642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15"/>
      <c r="P12" s="15"/>
      <c r="Q12" s="15"/>
      <c r="R12" s="15"/>
      <c r="W12" s="15"/>
      <c r="X12" s="15"/>
      <c r="Y12" s="15"/>
    </row>
    <row r="13" spans="1:48" x14ac:dyDescent="0.2">
      <c r="A13" s="4">
        <v>2</v>
      </c>
      <c r="B13" s="1" t="s">
        <v>23</v>
      </c>
      <c r="C13" s="66">
        <f>[1]Customers!L491+[1]Customers!L492</f>
        <v>151012</v>
      </c>
      <c r="D13" s="66">
        <f>[1]Customers!M491+[1]Customers!M492</f>
        <v>152519</v>
      </c>
      <c r="E13" s="66">
        <f>[1]Customers!N491+[1]Customers!N492</f>
        <v>152394</v>
      </c>
      <c r="F13" s="66">
        <f>[1]Customers!O491+[1]Customers!O492</f>
        <v>157920</v>
      </c>
      <c r="G13" s="66">
        <f>[1]Customers!P491+[1]Customers!P492</f>
        <v>157873</v>
      </c>
      <c r="H13" s="66">
        <f>[1]Customers!Q491+[1]Customers!Q492</f>
        <v>141181</v>
      </c>
      <c r="I13" s="66">
        <f>[1]Customers!R491+[1]Customers!R492</f>
        <v>175369</v>
      </c>
      <c r="J13" s="66">
        <f>[1]Customers!S491+[1]Customers!S492</f>
        <v>158239</v>
      </c>
      <c r="K13" s="66">
        <f>[1]Customers!T491+[1]Customers!T492</f>
        <v>156709</v>
      </c>
      <c r="L13" s="66">
        <f>[1]Customers!U491+[1]Customers!U492</f>
        <v>156293</v>
      </c>
      <c r="M13" s="66">
        <f>[1]Customers!V491+[1]Customers!V492</f>
        <v>154293</v>
      </c>
      <c r="N13" s="66">
        <f>[1]Customers!W491+[1]Customers!W492</f>
        <v>151835</v>
      </c>
      <c r="O13" s="6">
        <f>SUM(C13:N13)</f>
        <v>1865637</v>
      </c>
      <c r="P13" s="6"/>
      <c r="Q13" s="11">
        <f>'Rate Design'!F12</f>
        <v>18.649999999999999</v>
      </c>
      <c r="R13" s="3">
        <f>O13*Q13</f>
        <v>34794130.049999997</v>
      </c>
      <c r="U13" s="49"/>
      <c r="V13" s="3"/>
    </row>
    <row r="14" spans="1:48" x14ac:dyDescent="0.2">
      <c r="A14" s="4">
        <v>3</v>
      </c>
      <c r="B14" s="1" t="s">
        <v>24</v>
      </c>
      <c r="C14" s="66">
        <f>[1]Volumes!Z173</f>
        <v>172952.49969090908</v>
      </c>
      <c r="D14" s="66">
        <f>[1]Volumes!AA173</f>
        <v>237170.22532727272</v>
      </c>
      <c r="E14" s="66">
        <f>[1]Volumes!AB173</f>
        <v>872329.33630909096</v>
      </c>
      <c r="F14" s="66">
        <f>[1]Volumes!AC173</f>
        <v>1632376.9590090909</v>
      </c>
      <c r="G14" s="66">
        <f>[1]Volumes!AD173</f>
        <v>2213488.9780454547</v>
      </c>
      <c r="H14" s="66">
        <f>[1]Volumes!AE173</f>
        <v>1817294.746681818</v>
      </c>
      <c r="I14" s="66">
        <f>[1]Volumes!AF173</f>
        <v>2409615.0712181819</v>
      </c>
      <c r="J14" s="66">
        <f>[1]Volumes!AG173</f>
        <v>840794.20979090908</v>
      </c>
      <c r="K14" s="66">
        <f>[1]Volumes!AH173</f>
        <v>329075.9436</v>
      </c>
      <c r="L14" s="66">
        <f>[1]Volumes!AI173</f>
        <v>196516.9406</v>
      </c>
      <c r="M14" s="66">
        <f>[1]Volumes!AJ173</f>
        <v>157912.34571818184</v>
      </c>
      <c r="N14" s="66">
        <f>[1]Volumes!AK173</f>
        <v>174979.03279999999</v>
      </c>
      <c r="O14" s="6"/>
      <c r="P14" s="6">
        <f>SUM(C14:N14)</f>
        <v>11054506.288790911</v>
      </c>
      <c r="Q14" s="14">
        <f>'Rate Design'!F19</f>
        <v>1.3180000000000001</v>
      </c>
      <c r="R14" s="6">
        <f>P14*Q14</f>
        <v>14569839.288626421</v>
      </c>
      <c r="S14" s="74"/>
      <c r="T14" s="46"/>
      <c r="U14" s="49"/>
      <c r="V14" s="3"/>
    </row>
    <row r="15" spans="1:48" x14ac:dyDescent="0.2">
      <c r="A15" s="4">
        <v>4</v>
      </c>
      <c r="B15" s="1" t="s">
        <v>25</v>
      </c>
      <c r="C15" s="66">
        <f>[1]Volumes!Z174</f>
        <v>51.590909090909086</v>
      </c>
      <c r="D15" s="66">
        <f>[1]Volumes!AA174</f>
        <v>1321.477272727273</v>
      </c>
      <c r="E15" s="66">
        <f>[1]Volumes!AB174</f>
        <v>312.90909090909093</v>
      </c>
      <c r="F15" s="66">
        <f>[1]Volumes!AC174</f>
        <v>91.409090909090921</v>
      </c>
      <c r="G15" s="66">
        <f>[1]Volumes!AD174</f>
        <v>222.67045454545456</v>
      </c>
      <c r="H15" s="66">
        <f>[1]Volumes!AE174</f>
        <v>209.55681818181819</v>
      </c>
      <c r="I15" s="66">
        <f>[1]Volumes!AF174</f>
        <v>152.44318181818181</v>
      </c>
      <c r="J15" s="66">
        <f>[1]Volumes!AG174</f>
        <v>109.84090909090909</v>
      </c>
      <c r="K15" s="66">
        <f>[1]Volumes!AH174</f>
        <v>0</v>
      </c>
      <c r="L15" s="66">
        <f>[1]Volumes!AI174</f>
        <v>0</v>
      </c>
      <c r="M15" s="66">
        <f>[1]Volumes!AJ174</f>
        <v>270.94318181818187</v>
      </c>
      <c r="N15" s="66">
        <f>[1]Volumes!AK174</f>
        <v>0</v>
      </c>
      <c r="O15" s="1"/>
      <c r="P15" s="6">
        <f>SUM(C15:N15)</f>
        <v>2742.8409090909095</v>
      </c>
      <c r="Q15" s="14">
        <f>'Rate Design'!F20</f>
        <v>0.87999999999999989</v>
      </c>
      <c r="R15" s="6">
        <f>P15*Q15</f>
        <v>2413.6999999999998</v>
      </c>
      <c r="S15" s="74"/>
      <c r="V15" s="3"/>
    </row>
    <row r="16" spans="1:48" x14ac:dyDescent="0.2">
      <c r="A16" s="4">
        <v>5</v>
      </c>
      <c r="B16" s="1" t="s">
        <v>81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f>3286.5-3286.5</f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/>
      <c r="P16" s="6">
        <f>SUM(C16:N16)</f>
        <v>0</v>
      </c>
      <c r="Q16" s="14">
        <f>'Rate Design'!F21</f>
        <v>0.62</v>
      </c>
      <c r="R16" s="6">
        <f>P16*Q16</f>
        <v>0</v>
      </c>
      <c r="S16" s="49"/>
    </row>
    <row r="17" spans="1:22" x14ac:dyDescent="0.2">
      <c r="A17" s="4">
        <v>6</v>
      </c>
      <c r="B17" s="142" t="s">
        <v>79</v>
      </c>
      <c r="C17" s="143">
        <f>C14+C15+C16</f>
        <v>173004.0906</v>
      </c>
      <c r="D17" s="143">
        <f t="shared" ref="D17:N17" si="0">D14+D15+D16</f>
        <v>238491.70259999999</v>
      </c>
      <c r="E17" s="143">
        <f t="shared" si="0"/>
        <v>872642.24540000001</v>
      </c>
      <c r="F17" s="143">
        <f t="shared" si="0"/>
        <v>1632468.3681000001</v>
      </c>
      <c r="G17" s="143">
        <f t="shared" si="0"/>
        <v>2213711.6485000001</v>
      </c>
      <c r="H17" s="143">
        <f t="shared" si="0"/>
        <v>1817504.3034999999</v>
      </c>
      <c r="I17" s="143">
        <f t="shared" si="0"/>
        <v>2409767.5144000002</v>
      </c>
      <c r="J17" s="143">
        <f t="shared" si="0"/>
        <v>840904.05070000002</v>
      </c>
      <c r="K17" s="143">
        <f t="shared" si="0"/>
        <v>329075.9436</v>
      </c>
      <c r="L17" s="143">
        <f t="shared" si="0"/>
        <v>196516.9406</v>
      </c>
      <c r="M17" s="143">
        <f t="shared" si="0"/>
        <v>158183.28890000001</v>
      </c>
      <c r="N17" s="143">
        <f t="shared" si="0"/>
        <v>174979.03279999999</v>
      </c>
      <c r="O17" s="144">
        <f>O13</f>
        <v>1865637</v>
      </c>
      <c r="P17" s="144">
        <f>SUM(P14:P16)</f>
        <v>11057249.129700003</v>
      </c>
      <c r="Q17" s="142"/>
      <c r="R17" s="145">
        <f>SUM(R13:R16)</f>
        <v>49366383.038626418</v>
      </c>
      <c r="S17" s="37"/>
      <c r="V17" s="59"/>
    </row>
    <row r="18" spans="1:22" x14ac:dyDescent="0.2">
      <c r="A18" s="4">
        <v>7</v>
      </c>
      <c r="B18" s="16"/>
      <c r="C18" s="16"/>
      <c r="D18" s="38"/>
      <c r="E18" s="38"/>
      <c r="F18" s="38"/>
      <c r="G18" s="38"/>
      <c r="H18" s="38"/>
      <c r="I18" s="38"/>
      <c r="J18" s="38"/>
      <c r="K18" s="16"/>
      <c r="L18" s="16"/>
      <c r="M18" s="16"/>
      <c r="N18" s="16"/>
      <c r="O18" s="16"/>
      <c r="P18" s="16"/>
      <c r="Q18" s="16"/>
      <c r="R18" s="38"/>
      <c r="S18" s="16"/>
      <c r="T18" s="64"/>
    </row>
    <row r="19" spans="1:22" x14ac:dyDescent="0.2">
      <c r="A19" s="4">
        <v>8</v>
      </c>
      <c r="B19" s="35" t="s">
        <v>31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1"/>
      <c r="P19" s="1"/>
      <c r="Q19" s="1"/>
      <c r="R19" s="1"/>
      <c r="S19" s="44"/>
    </row>
    <row r="20" spans="1:22" x14ac:dyDescent="0.2">
      <c r="A20" s="4">
        <v>9</v>
      </c>
      <c r="B20" s="1" t="s">
        <v>23</v>
      </c>
      <c r="C20" s="66">
        <f>[1]Customers!L493</f>
        <v>16763</v>
      </c>
      <c r="D20" s="66">
        <f>[1]Customers!M493</f>
        <v>16900</v>
      </c>
      <c r="E20" s="66">
        <f>[1]Customers!N493</f>
        <v>16920</v>
      </c>
      <c r="F20" s="66">
        <f>[1]Customers!O493</f>
        <v>17698</v>
      </c>
      <c r="G20" s="66">
        <f>[1]Customers!P493</f>
        <v>17809</v>
      </c>
      <c r="H20" s="66">
        <f>[1]Customers!Q493</f>
        <v>16330</v>
      </c>
      <c r="I20" s="66">
        <f>[1]Customers!R493</f>
        <v>19213</v>
      </c>
      <c r="J20" s="66">
        <f>[1]Customers!S493</f>
        <v>17745</v>
      </c>
      <c r="K20" s="66">
        <f>[1]Customers!T493</f>
        <v>17372</v>
      </c>
      <c r="L20" s="66">
        <f>[1]Customers!U493</f>
        <v>17239</v>
      </c>
      <c r="M20" s="66">
        <f>[1]Customers!V493</f>
        <v>17099</v>
      </c>
      <c r="N20" s="66">
        <f>[1]Customers!W493</f>
        <v>16768</v>
      </c>
      <c r="O20" s="6">
        <f>SUM(C20:N20)</f>
        <v>207856</v>
      </c>
      <c r="P20" s="15"/>
      <c r="Q20" s="99">
        <f>'Rate Design'!F13</f>
        <v>48.44</v>
      </c>
      <c r="R20" s="3">
        <f>O20*Q20</f>
        <v>10068544.639999999</v>
      </c>
      <c r="S20" s="44"/>
      <c r="U20" s="46"/>
    </row>
    <row r="21" spans="1:22" x14ac:dyDescent="0.2">
      <c r="A21" s="4">
        <v>10</v>
      </c>
      <c r="B21" s="1" t="s">
        <v>24</v>
      </c>
      <c r="C21" s="66">
        <f>[1]Volumes!Z179</f>
        <v>144788.39386363636</v>
      </c>
      <c r="D21" s="66">
        <f>[1]Volumes!AA179</f>
        <v>166488.77769090908</v>
      </c>
      <c r="E21" s="66">
        <f>[1]Volumes!AB179</f>
        <v>350892.11766363634</v>
      </c>
      <c r="F21" s="66">
        <f>[1]Volumes!AC179</f>
        <v>624545.05058181821</v>
      </c>
      <c r="G21" s="66">
        <f>[1]Volumes!AD179</f>
        <v>846415.72839090903</v>
      </c>
      <c r="H21" s="66">
        <f>[1]Volumes!AE179</f>
        <v>737311.99094545445</v>
      </c>
      <c r="I21" s="66">
        <f>[1]Volumes!AF179</f>
        <v>874770.2786636363</v>
      </c>
      <c r="J21" s="66">
        <f>[1]Volumes!AG179</f>
        <v>354979.44740909088</v>
      </c>
      <c r="K21" s="66">
        <f>[1]Volumes!AH179</f>
        <v>173189.86251818182</v>
      </c>
      <c r="L21" s="66">
        <f>[1]Volumes!AI179</f>
        <v>137403.50343636365</v>
      </c>
      <c r="M21" s="66">
        <f>[1]Volumes!AJ179</f>
        <v>129448.20723636363</v>
      </c>
      <c r="N21" s="66">
        <f>[1]Volumes!AK179</f>
        <v>140181.84323636364</v>
      </c>
      <c r="O21" s="6"/>
      <c r="P21" s="6">
        <f>SUM(C21:N21)</f>
        <v>4680415.2016363628</v>
      </c>
      <c r="Q21" s="14">
        <f>Q14</f>
        <v>1.3180000000000001</v>
      </c>
      <c r="R21" s="6">
        <f>P21*Q21</f>
        <v>6168787.2357567269</v>
      </c>
      <c r="S21" s="74"/>
      <c r="T21" s="26"/>
      <c r="U21" s="46"/>
      <c r="V21" s="74">
        <f>P21/P24</f>
        <v>0.86937311361843284</v>
      </c>
    </row>
    <row r="22" spans="1:22" x14ac:dyDescent="0.2">
      <c r="A22" s="4">
        <v>11</v>
      </c>
      <c r="B22" s="1" t="s">
        <v>25</v>
      </c>
      <c r="C22" s="66">
        <f>[1]Volumes!Z180</f>
        <v>37810.23863636364</v>
      </c>
      <c r="D22" s="66">
        <f>[1]Volumes!AA180</f>
        <v>72796.965909090912</v>
      </c>
      <c r="E22" s="66">
        <f>[1]Volumes!AB180</f>
        <v>39603.61363636364</v>
      </c>
      <c r="F22" s="66">
        <f>[1]Volumes!AC180</f>
        <v>77850.306818181823</v>
      </c>
      <c r="G22" s="66">
        <f>[1]Volumes!AD180</f>
        <v>126411.09090909091</v>
      </c>
      <c r="H22" s="66">
        <f>[1]Volumes!AE180</f>
        <v>104749.67045454547</v>
      </c>
      <c r="I22" s="66">
        <f>[1]Volumes!AF180</f>
        <v>129381.86363636365</v>
      </c>
      <c r="J22" s="66">
        <f>[1]Volumes!AG180</f>
        <v>45142.159090909096</v>
      </c>
      <c r="K22" s="66">
        <f>[1]Volumes!AH180</f>
        <v>24769.943181818184</v>
      </c>
      <c r="L22" s="66">
        <f>[1]Volumes!AI180</f>
        <v>12567.011363636364</v>
      </c>
      <c r="M22" s="66">
        <f>[1]Volumes!AJ180</f>
        <v>11533.136363636364</v>
      </c>
      <c r="N22" s="66">
        <f>[1]Volumes!AK180</f>
        <v>20635.636363636364</v>
      </c>
      <c r="O22" s="6"/>
      <c r="P22" s="6">
        <f>SUM(C22:N22)</f>
        <v>703251.63636363635</v>
      </c>
      <c r="Q22" s="14">
        <f>Q15</f>
        <v>0.87999999999999989</v>
      </c>
      <c r="R22" s="6">
        <f>P22*Q22</f>
        <v>618861.43999999994</v>
      </c>
      <c r="S22" s="74"/>
      <c r="T22" s="26"/>
      <c r="U22" s="46"/>
      <c r="V22" s="74"/>
    </row>
    <row r="23" spans="1:22" x14ac:dyDescent="0.2">
      <c r="A23" s="4">
        <v>12</v>
      </c>
      <c r="B23" s="1" t="s">
        <v>81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"/>
      <c r="P23" s="6">
        <f>SUM(C23:N23)</f>
        <v>0</v>
      </c>
      <c r="Q23" s="14">
        <f>Q16</f>
        <v>0.62</v>
      </c>
      <c r="R23" s="6">
        <f>P23*Q23</f>
        <v>0</v>
      </c>
    </row>
    <row r="24" spans="1:22" x14ac:dyDescent="0.2">
      <c r="A24" s="4">
        <v>13</v>
      </c>
      <c r="B24" s="32" t="s">
        <v>79</v>
      </c>
      <c r="C24" s="67">
        <f>C21+C22+C23</f>
        <v>182598.63250000001</v>
      </c>
      <c r="D24" s="67">
        <f t="shared" ref="D24:N24" si="1">D21+D22+D23</f>
        <v>239285.74359999999</v>
      </c>
      <c r="E24" s="67">
        <f t="shared" si="1"/>
        <v>390495.73129999998</v>
      </c>
      <c r="F24" s="67">
        <f t="shared" si="1"/>
        <v>702395.3574000001</v>
      </c>
      <c r="G24" s="67">
        <f t="shared" si="1"/>
        <v>972826.81929999997</v>
      </c>
      <c r="H24" s="67">
        <f t="shared" si="1"/>
        <v>842061.66139999987</v>
      </c>
      <c r="I24" s="67">
        <f t="shared" si="1"/>
        <v>1004152.1422999999</v>
      </c>
      <c r="J24" s="67">
        <f t="shared" si="1"/>
        <v>400121.60649999999</v>
      </c>
      <c r="K24" s="67">
        <f t="shared" si="1"/>
        <v>197959.8057</v>
      </c>
      <c r="L24" s="67">
        <f t="shared" si="1"/>
        <v>149970.5148</v>
      </c>
      <c r="M24" s="67">
        <f t="shared" si="1"/>
        <v>140981.34359999999</v>
      </c>
      <c r="N24" s="67">
        <f t="shared" si="1"/>
        <v>160817.47959999999</v>
      </c>
      <c r="O24" s="31">
        <f>O20</f>
        <v>207856</v>
      </c>
      <c r="P24" s="31">
        <f>SUM(P21:P23)</f>
        <v>5383666.8379999995</v>
      </c>
      <c r="Q24" s="32"/>
      <c r="R24" s="33">
        <f>SUM(R20:R23)</f>
        <v>16856193.315756727</v>
      </c>
      <c r="S24" s="16"/>
      <c r="T24" s="87"/>
      <c r="U24" s="46"/>
    </row>
    <row r="25" spans="1:22" x14ac:dyDescent="0.2">
      <c r="A25" s="4">
        <v>14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2" x14ac:dyDescent="0.2">
      <c r="A26" s="4">
        <v>15</v>
      </c>
      <c r="B26" s="35" t="s">
        <v>80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70"/>
      <c r="P26" s="70"/>
      <c r="Q26" s="14"/>
      <c r="R26" s="70"/>
    </row>
    <row r="27" spans="1:22" x14ac:dyDescent="0.2">
      <c r="A27" s="4">
        <v>16</v>
      </c>
      <c r="B27" s="1" t="s">
        <v>23</v>
      </c>
      <c r="C27" s="66">
        <f>[1]Customers!L494</f>
        <v>189</v>
      </c>
      <c r="D27" s="66">
        <f>[1]Customers!M494</f>
        <v>195</v>
      </c>
      <c r="E27" s="66">
        <f>[1]Customers!N494</f>
        <v>181</v>
      </c>
      <c r="F27" s="66">
        <f>[1]Customers!O494</f>
        <v>200</v>
      </c>
      <c r="G27" s="66">
        <f>[1]Customers!P494</f>
        <v>201</v>
      </c>
      <c r="H27" s="66">
        <f>[1]Customers!Q494</f>
        <v>169</v>
      </c>
      <c r="I27" s="66">
        <f>[1]Customers!R494</f>
        <v>234</v>
      </c>
      <c r="J27" s="66">
        <f>[1]Customers!S494</f>
        <v>197</v>
      </c>
      <c r="K27" s="66">
        <f>[1]Customers!T494</f>
        <v>193</v>
      </c>
      <c r="L27" s="66">
        <f>[1]Customers!U494</f>
        <v>205</v>
      </c>
      <c r="M27" s="66">
        <f>[1]Customers!V494</f>
        <v>193</v>
      </c>
      <c r="N27" s="66">
        <f>[1]Customers!W494</f>
        <v>211</v>
      </c>
      <c r="O27" s="6">
        <f>SUM(C27:N27)</f>
        <v>2368</v>
      </c>
      <c r="P27" s="15"/>
      <c r="Q27" s="11">
        <f>Q20</f>
        <v>48.44</v>
      </c>
      <c r="R27" s="3">
        <f>O27*Q27</f>
        <v>114705.92</v>
      </c>
      <c r="S27" s="16"/>
    </row>
    <row r="28" spans="1:22" x14ac:dyDescent="0.2">
      <c r="A28" s="4">
        <v>17</v>
      </c>
      <c r="B28" s="1" t="s">
        <v>24</v>
      </c>
      <c r="C28" s="66">
        <f>[1]Volumes!Z185</f>
        <v>10401.737645454547</v>
      </c>
      <c r="D28" s="66">
        <f>[1]Volumes!AA185</f>
        <v>11649.108463636363</v>
      </c>
      <c r="E28" s="66">
        <f>[1]Volumes!AB185</f>
        <v>22690.29796363636</v>
      </c>
      <c r="F28" s="66">
        <f>[1]Volumes!AC185</f>
        <v>36089.256672727272</v>
      </c>
      <c r="G28" s="66">
        <f>[1]Volumes!AD185</f>
        <v>42579.623990909102</v>
      </c>
      <c r="H28" s="66">
        <f>[1]Volumes!AE185</f>
        <v>34343.541009090899</v>
      </c>
      <c r="I28" s="66">
        <f>[1]Volumes!AF185</f>
        <v>51216.227236363644</v>
      </c>
      <c r="J28" s="66">
        <f>[1]Volumes!AG185</f>
        <v>24163.344945454544</v>
      </c>
      <c r="K28" s="66">
        <f>[1]Volumes!AH185</f>
        <v>13009.233909090908</v>
      </c>
      <c r="L28" s="66">
        <f>[1]Volumes!AI185</f>
        <v>9589.5276272727278</v>
      </c>
      <c r="M28" s="66">
        <f>[1]Volumes!AJ185</f>
        <v>8581.6553727272712</v>
      </c>
      <c r="N28" s="66">
        <f>[1]Volumes!AK185</f>
        <v>11302.885118181819</v>
      </c>
      <c r="O28" s="6"/>
      <c r="P28" s="6">
        <f>SUM(C28:N28)</f>
        <v>275616.43995454547</v>
      </c>
      <c r="Q28" s="14">
        <f>Q21</f>
        <v>1.3180000000000001</v>
      </c>
      <c r="R28" s="6">
        <f>P28*Q28</f>
        <v>363262.46786009095</v>
      </c>
      <c r="S28" s="16"/>
    </row>
    <row r="29" spans="1:22" x14ac:dyDescent="0.2">
      <c r="A29" s="4">
        <v>18</v>
      </c>
      <c r="B29" s="1" t="s">
        <v>25</v>
      </c>
      <c r="C29" s="66">
        <f>[1]Volumes!Z186</f>
        <v>9909.545454545454</v>
      </c>
      <c r="D29" s="66">
        <f>[1]Volumes!AA186</f>
        <v>7277.8636363636369</v>
      </c>
      <c r="E29" s="66">
        <f>[1]Volumes!AB186</f>
        <v>19647.738636363636</v>
      </c>
      <c r="F29" s="66">
        <f>[1]Volumes!AC186</f>
        <v>46086.897727272728</v>
      </c>
      <c r="G29" s="66">
        <f>[1]Volumes!AD186</f>
        <v>66501.215909090912</v>
      </c>
      <c r="H29" s="66">
        <f>[1]Volumes!AE186</f>
        <v>54557.034090909096</v>
      </c>
      <c r="I29" s="66">
        <f>[1]Volumes!AF186</f>
        <v>81450.761363636368</v>
      </c>
      <c r="J29" s="66">
        <f>[1]Volumes!AG186</f>
        <v>20127.920454545456</v>
      </c>
      <c r="K29" s="66">
        <f>[1]Volumes!AH186</f>
        <v>5983.409090909091</v>
      </c>
      <c r="L29" s="66">
        <f>[1]Volumes!AI186</f>
        <v>5630.352272727273</v>
      </c>
      <c r="M29" s="66">
        <f>[1]Volumes!AJ186</f>
        <v>4040.022727272727</v>
      </c>
      <c r="N29" s="66">
        <f>[1]Volumes!AK186</f>
        <v>10300.568181818182</v>
      </c>
      <c r="O29" s="6"/>
      <c r="P29" s="6">
        <f>SUM(C29:N29)</f>
        <v>331513.32954545459</v>
      </c>
      <c r="Q29" s="14">
        <f>Q22</f>
        <v>0.87999999999999989</v>
      </c>
      <c r="R29" s="6">
        <f>P29*Q29</f>
        <v>291731.73</v>
      </c>
      <c r="S29" s="16"/>
    </row>
    <row r="30" spans="1:22" x14ac:dyDescent="0.2">
      <c r="A30" s="4">
        <v>19</v>
      </c>
      <c r="B30" s="1" t="s">
        <v>81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"/>
      <c r="P30" s="6">
        <f>SUM(C30:N30)</f>
        <v>0</v>
      </c>
      <c r="Q30" s="14">
        <f>Q23</f>
        <v>0.62</v>
      </c>
      <c r="R30" s="6">
        <f>P30*Q30</f>
        <v>0</v>
      </c>
      <c r="S30" s="26"/>
    </row>
    <row r="31" spans="1:22" x14ac:dyDescent="0.2">
      <c r="A31" s="4">
        <v>20</v>
      </c>
      <c r="B31" s="32" t="s">
        <v>79</v>
      </c>
      <c r="C31" s="67">
        <f>C28+C29+C30</f>
        <v>20311.283100000001</v>
      </c>
      <c r="D31" s="67">
        <f t="shared" ref="D31:N31" si="2">D28+D29+D30</f>
        <v>18926.972099999999</v>
      </c>
      <c r="E31" s="67">
        <f t="shared" si="2"/>
        <v>42338.036599999992</v>
      </c>
      <c r="F31" s="67">
        <f t="shared" si="2"/>
        <v>82176.154399999999</v>
      </c>
      <c r="G31" s="67">
        <f t="shared" si="2"/>
        <v>109080.83990000002</v>
      </c>
      <c r="H31" s="67">
        <f t="shared" si="2"/>
        <v>88900.575099999987</v>
      </c>
      <c r="I31" s="67">
        <f t="shared" si="2"/>
        <v>132666.98860000001</v>
      </c>
      <c r="J31" s="67">
        <f t="shared" si="2"/>
        <v>44291.265400000004</v>
      </c>
      <c r="K31" s="67">
        <f t="shared" si="2"/>
        <v>18992.643</v>
      </c>
      <c r="L31" s="67">
        <f t="shared" si="2"/>
        <v>15219.8799</v>
      </c>
      <c r="M31" s="67">
        <f t="shared" si="2"/>
        <v>12621.678099999997</v>
      </c>
      <c r="N31" s="67">
        <f t="shared" si="2"/>
        <v>21603.453300000001</v>
      </c>
      <c r="O31" s="31">
        <f>O27</f>
        <v>2368</v>
      </c>
      <c r="P31" s="31">
        <f>SUM(P28:P30)</f>
        <v>607129.76950000005</v>
      </c>
      <c r="Q31" s="32"/>
      <c r="R31" s="33">
        <f>SUM(R27:R30)</f>
        <v>769700.11786009092</v>
      </c>
      <c r="S31" s="26"/>
      <c r="U31" s="46"/>
    </row>
    <row r="32" spans="1:22" x14ac:dyDescent="0.2">
      <c r="A32" s="4">
        <v>21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26"/>
      <c r="U32" s="46"/>
    </row>
    <row r="33" spans="1:22" x14ac:dyDescent="0.2">
      <c r="A33" s="4">
        <v>22</v>
      </c>
      <c r="B33" s="35" t="s">
        <v>82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1"/>
      <c r="P33" s="1"/>
      <c r="Q33" s="14"/>
      <c r="R33" s="60"/>
      <c r="S33" s="26"/>
      <c r="U33" s="46"/>
    </row>
    <row r="34" spans="1:22" x14ac:dyDescent="0.2">
      <c r="A34" s="4">
        <v>23</v>
      </c>
      <c r="B34" s="1" t="s">
        <v>23</v>
      </c>
      <c r="C34" s="66">
        <f>[1]Customers!L495</f>
        <v>1544</v>
      </c>
      <c r="D34" s="66">
        <f>[1]Customers!M495</f>
        <v>1572</v>
      </c>
      <c r="E34" s="66">
        <f>[1]Customers!N495</f>
        <v>1520</v>
      </c>
      <c r="F34" s="66">
        <f>[1]Customers!O495</f>
        <v>1559</v>
      </c>
      <c r="G34" s="66">
        <f>[1]Customers!P495</f>
        <v>1567</v>
      </c>
      <c r="H34" s="66">
        <f>[1]Customers!Q495</f>
        <v>1378</v>
      </c>
      <c r="I34" s="66">
        <f>[1]Customers!R495</f>
        <v>1769</v>
      </c>
      <c r="J34" s="66">
        <f>[1]Customers!S495</f>
        <v>1555</v>
      </c>
      <c r="K34" s="66">
        <f>[1]Customers!T495</f>
        <v>1550</v>
      </c>
      <c r="L34" s="66">
        <f>[1]Customers!U495</f>
        <v>1563</v>
      </c>
      <c r="M34" s="66">
        <f>[1]Customers!V495</f>
        <v>1563</v>
      </c>
      <c r="N34" s="66">
        <f>[1]Customers!W495</f>
        <v>1507</v>
      </c>
      <c r="O34" s="6">
        <f>SUM(C34:N34)</f>
        <v>18647</v>
      </c>
      <c r="P34" s="15"/>
      <c r="Q34" s="11">
        <f>Q27</f>
        <v>48.44</v>
      </c>
      <c r="R34" s="3">
        <f>O34*Q34</f>
        <v>903260.67999999993</v>
      </c>
      <c r="S34" s="26"/>
      <c r="T34" s="16"/>
      <c r="U34" s="46"/>
    </row>
    <row r="35" spans="1:22" x14ac:dyDescent="0.2">
      <c r="A35" s="4">
        <v>24</v>
      </c>
      <c r="B35" s="1" t="s">
        <v>24</v>
      </c>
      <c r="C35" s="66">
        <f>[1]Volumes!Z191</f>
        <v>28080.809172727269</v>
      </c>
      <c r="D35" s="66">
        <f>[1]Volumes!AA191</f>
        <v>34565.38807272727</v>
      </c>
      <c r="E35" s="66">
        <f>[1]Volumes!AB191</f>
        <v>73108.57448181817</v>
      </c>
      <c r="F35" s="66">
        <f>[1]Volumes!AC191</f>
        <v>123432.64351818182</v>
      </c>
      <c r="G35" s="66">
        <f>[1]Volumes!AD191</f>
        <v>153799.58748181819</v>
      </c>
      <c r="H35" s="66">
        <f>[1]Volumes!AE191</f>
        <v>130233.90233636365</v>
      </c>
      <c r="I35" s="66">
        <f>[1]Volumes!AF191</f>
        <v>166998.41279999999</v>
      </c>
      <c r="J35" s="66">
        <f>[1]Volumes!AG191</f>
        <v>74351.570927272725</v>
      </c>
      <c r="K35" s="66">
        <f>[1]Volumes!AH191</f>
        <v>39502.724163636369</v>
      </c>
      <c r="L35" s="66">
        <f>[1]Volumes!AI191</f>
        <v>25577.022127272725</v>
      </c>
      <c r="M35" s="66">
        <f>[1]Volumes!AJ191</f>
        <v>21534.330381818181</v>
      </c>
      <c r="N35" s="66">
        <f>[1]Volumes!AK191</f>
        <v>22692.712881818181</v>
      </c>
      <c r="O35" s="6"/>
      <c r="P35" s="6">
        <f>SUM(C35:N35)</f>
        <v>893877.67834545462</v>
      </c>
      <c r="Q35" s="14">
        <f>Q28</f>
        <v>1.3180000000000001</v>
      </c>
      <c r="R35" s="6">
        <f>P35*Q35</f>
        <v>1178130.7800593092</v>
      </c>
      <c r="S35" s="26"/>
      <c r="T35" s="16"/>
      <c r="U35" s="46"/>
      <c r="V35" s="74">
        <f>P35/P38</f>
        <v>0.77429734585577958</v>
      </c>
    </row>
    <row r="36" spans="1:22" x14ac:dyDescent="0.2">
      <c r="A36" s="4">
        <v>25</v>
      </c>
      <c r="B36" s="1" t="s">
        <v>25</v>
      </c>
      <c r="C36" s="66">
        <f>[1]Volumes!Z192</f>
        <v>6163.6477272727279</v>
      </c>
      <c r="D36" s="66">
        <f>[1]Volumes!AA192</f>
        <v>9209.7727272727279</v>
      </c>
      <c r="E36" s="66">
        <f>[1]Volumes!AB192</f>
        <v>12694.05681818182</v>
      </c>
      <c r="F36" s="66">
        <f>[1]Volumes!AC192</f>
        <v>30471.068181818184</v>
      </c>
      <c r="G36" s="66">
        <f>[1]Volumes!AD192</f>
        <v>55794.181818181823</v>
      </c>
      <c r="H36" s="66">
        <f>[1]Volumes!AE192</f>
        <v>46472.136363636368</v>
      </c>
      <c r="I36" s="66">
        <f>[1]Volumes!AF192</f>
        <v>59830.375000000015</v>
      </c>
      <c r="J36" s="66">
        <f>[1]Volumes!AG192</f>
        <v>13557.727272727274</v>
      </c>
      <c r="K36" s="66">
        <f>[1]Volumes!AH192</f>
        <v>10527.988636363636</v>
      </c>
      <c r="L36" s="66">
        <f>[1]Volumes!AI192</f>
        <v>5195.8522727272739</v>
      </c>
      <c r="M36" s="66">
        <f>[1]Volumes!AJ192</f>
        <v>4329.931818181818</v>
      </c>
      <c r="N36" s="66">
        <f>[1]Volumes!AK192</f>
        <v>6312.8068181818189</v>
      </c>
      <c r="O36" s="6"/>
      <c r="P36" s="6">
        <f>SUM(C36:N36)</f>
        <v>260559.54545454547</v>
      </c>
      <c r="Q36" s="14">
        <f>Q29</f>
        <v>0.87999999999999989</v>
      </c>
      <c r="R36" s="6">
        <f>P36*Q36</f>
        <v>229292.4</v>
      </c>
      <c r="S36" s="37"/>
      <c r="T36" s="16"/>
      <c r="U36" s="46"/>
    </row>
    <row r="37" spans="1:22" x14ac:dyDescent="0.2">
      <c r="A37" s="4">
        <v>26</v>
      </c>
      <c r="B37" s="1" t="s">
        <v>81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"/>
      <c r="P37" s="6">
        <f>SUM(C37:N37)</f>
        <v>0</v>
      </c>
      <c r="Q37" s="14">
        <f>Q30</f>
        <v>0.62</v>
      </c>
      <c r="R37" s="6">
        <f>P37*Q37</f>
        <v>0</v>
      </c>
      <c r="S37" s="26"/>
    </row>
    <row r="38" spans="1:22" x14ac:dyDescent="0.2">
      <c r="A38" s="4">
        <v>27</v>
      </c>
      <c r="B38" s="32" t="s">
        <v>79</v>
      </c>
      <c r="C38" s="67">
        <f t="shared" ref="C38:N38" si="3">C35+C36+C37</f>
        <v>34244.456899999997</v>
      </c>
      <c r="D38" s="67">
        <f t="shared" si="3"/>
        <v>43775.160799999998</v>
      </c>
      <c r="E38" s="67">
        <f t="shared" si="3"/>
        <v>85802.631299999994</v>
      </c>
      <c r="F38" s="67">
        <f t="shared" si="3"/>
        <v>153903.71170000001</v>
      </c>
      <c r="G38" s="67">
        <f t="shared" si="3"/>
        <v>209593.76930000001</v>
      </c>
      <c r="H38" s="67">
        <f t="shared" si="3"/>
        <v>176706.03870000003</v>
      </c>
      <c r="I38" s="67">
        <f t="shared" si="3"/>
        <v>226828.78779999999</v>
      </c>
      <c r="J38" s="67">
        <f t="shared" si="3"/>
        <v>87909.298200000005</v>
      </c>
      <c r="K38" s="67">
        <f t="shared" si="3"/>
        <v>50030.712800000008</v>
      </c>
      <c r="L38" s="67">
        <f t="shared" si="3"/>
        <v>30772.874400000001</v>
      </c>
      <c r="M38" s="67">
        <f t="shared" si="3"/>
        <v>25864.262199999997</v>
      </c>
      <c r="N38" s="67">
        <f t="shared" si="3"/>
        <v>29005.519700000001</v>
      </c>
      <c r="O38" s="31">
        <f>O34</f>
        <v>18647</v>
      </c>
      <c r="P38" s="31">
        <f>SUM(P35:P37)</f>
        <v>1154437.2238</v>
      </c>
      <c r="Q38" s="32"/>
      <c r="R38" s="33">
        <f>SUM(R34:R37)</f>
        <v>2310683.8600593093</v>
      </c>
      <c r="S38" s="26"/>
    </row>
    <row r="39" spans="1:22" x14ac:dyDescent="0.2">
      <c r="A39" s="4">
        <v>28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74"/>
      <c r="T39" s="26"/>
      <c r="U39" s="46"/>
      <c r="V39" s="74"/>
    </row>
    <row r="40" spans="1:22" x14ac:dyDescent="0.2">
      <c r="A40" s="4">
        <v>29</v>
      </c>
      <c r="B40" s="171" t="s">
        <v>83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74"/>
      <c r="T40" s="26"/>
      <c r="U40" s="46"/>
      <c r="V40" s="74"/>
    </row>
    <row r="41" spans="1:22" x14ac:dyDescent="0.2">
      <c r="A41" s="4">
        <v>30</v>
      </c>
      <c r="B41" s="1" t="s">
        <v>84</v>
      </c>
      <c r="C41" s="66">
        <f>[1]Customers!L496</f>
        <v>2</v>
      </c>
      <c r="D41" s="66">
        <f>[1]Customers!M496</f>
        <v>2</v>
      </c>
      <c r="E41" s="66">
        <f>[1]Customers!N496</f>
        <v>2</v>
      </c>
      <c r="F41" s="66">
        <f>[1]Customers!O496</f>
        <v>3</v>
      </c>
      <c r="G41" s="66">
        <f>[1]Customers!P496</f>
        <v>4</v>
      </c>
      <c r="H41" s="66">
        <f>[1]Customers!Q496</f>
        <v>3</v>
      </c>
      <c r="I41" s="66">
        <f>[1]Customers!R496</f>
        <v>3</v>
      </c>
      <c r="J41" s="66">
        <f>[1]Customers!S496</f>
        <v>4</v>
      </c>
      <c r="K41" s="66">
        <f>[1]Customers!T496</f>
        <v>2</v>
      </c>
      <c r="L41" s="66">
        <f>[1]Customers!U496</f>
        <v>2</v>
      </c>
      <c r="M41" s="66">
        <f>[1]Customers!V496</f>
        <v>2</v>
      </c>
      <c r="N41" s="66">
        <f>[1]Customers!W496</f>
        <v>2</v>
      </c>
      <c r="O41" s="6">
        <f>SUM(C41:N41)</f>
        <v>31</v>
      </c>
      <c r="P41" s="15"/>
      <c r="Q41" s="99">
        <f>'Rate Design'!F14</f>
        <v>395.56</v>
      </c>
      <c r="R41" s="3">
        <f>O41*Q41</f>
        <v>12262.36</v>
      </c>
      <c r="U41" s="26"/>
      <c r="V41" s="74"/>
    </row>
    <row r="42" spans="1:22" x14ac:dyDescent="0.2">
      <c r="A42" s="4">
        <v>31</v>
      </c>
      <c r="B42" s="1" t="s">
        <v>85</v>
      </c>
      <c r="C42" s="66">
        <f>[1]Volumes!Z197</f>
        <v>29.400300000000001</v>
      </c>
      <c r="D42" s="66">
        <f>[1]Volumes!AA197</f>
        <v>69.720500000000001</v>
      </c>
      <c r="E42" s="66">
        <f>[1]Volumes!AB197</f>
        <v>230.327</v>
      </c>
      <c r="F42" s="66">
        <f>[1]Volumes!AC197</f>
        <v>2682.4531000000002</v>
      </c>
      <c r="G42" s="66">
        <f>[1]Volumes!AD197</f>
        <v>2690.6185999999998</v>
      </c>
      <c r="H42" s="66">
        <f>[1]Volumes!AE197</f>
        <v>2484.3530999999998</v>
      </c>
      <c r="I42" s="66">
        <f>[1]Volumes!AF197</f>
        <v>3118.0165999999999</v>
      </c>
      <c r="J42" s="66">
        <f>[1]Volumes!AG197</f>
        <v>1728.9152999999999</v>
      </c>
      <c r="K42" s="66">
        <f>[1]Volumes!AH197</f>
        <v>52.122199999999999</v>
      </c>
      <c r="L42" s="66">
        <f>[1]Volumes!AI197</f>
        <v>20.756</v>
      </c>
      <c r="M42" s="66">
        <f>[1]Volumes!AJ197</f>
        <v>8.1245999999999992</v>
      </c>
      <c r="N42" s="66">
        <f>[1]Volumes!AK197</f>
        <v>25.572399999999998</v>
      </c>
      <c r="O42" s="6"/>
      <c r="P42" s="6">
        <f>SUM(C42:N42)</f>
        <v>13140.3797</v>
      </c>
      <c r="Q42" s="14">
        <f>'Rate Design'!F27</f>
        <v>0.80770000000000008</v>
      </c>
      <c r="R42" s="6">
        <f>P42*Q42</f>
        <v>10613.484683690001</v>
      </c>
      <c r="T42" s="64"/>
      <c r="U42" s="46"/>
    </row>
    <row r="43" spans="1:22" x14ac:dyDescent="0.2">
      <c r="A43" s="4">
        <v>32</v>
      </c>
      <c r="B43" s="1" t="s">
        <v>81</v>
      </c>
      <c r="C43" s="66">
        <f>[1]Volumes!Z198</f>
        <v>0</v>
      </c>
      <c r="D43" s="66">
        <f>[1]Volumes!AA198</f>
        <v>0</v>
      </c>
      <c r="E43" s="66">
        <f>[1]Volumes!AB198</f>
        <v>0</v>
      </c>
      <c r="F43" s="66">
        <f>[1]Volumes!AC198</f>
        <v>0</v>
      </c>
      <c r="G43" s="66">
        <f>[1]Volumes!AD198</f>
        <v>0</v>
      </c>
      <c r="H43" s="66">
        <f>[1]Volumes!AE198</f>
        <v>0</v>
      </c>
      <c r="I43" s="66">
        <f>[1]Volumes!AF198</f>
        <v>0</v>
      </c>
      <c r="J43" s="66">
        <f>[1]Volumes!AG198</f>
        <v>0</v>
      </c>
      <c r="K43" s="66">
        <f>[1]Volumes!AH198</f>
        <v>0</v>
      </c>
      <c r="L43" s="66">
        <f>[1]Volumes!AI198</f>
        <v>0</v>
      </c>
      <c r="M43" s="66">
        <f>[1]Volumes!AJ198</f>
        <v>0</v>
      </c>
      <c r="N43" s="66">
        <f>[1]Volumes!AK198</f>
        <v>0</v>
      </c>
      <c r="O43" s="6"/>
      <c r="P43" s="6">
        <f>SUM(C43:N43)</f>
        <v>0</v>
      </c>
      <c r="Q43" s="14">
        <f>'Rate Design'!F28</f>
        <v>0.54190000000000005</v>
      </c>
      <c r="R43" s="6">
        <f>P43*Q43</f>
        <v>0</v>
      </c>
    </row>
    <row r="44" spans="1:22" x14ac:dyDescent="0.2">
      <c r="A44" s="4">
        <v>33</v>
      </c>
      <c r="B44" s="32" t="s">
        <v>79</v>
      </c>
      <c r="C44" s="67">
        <f>C42+C43</f>
        <v>29.400300000000001</v>
      </c>
      <c r="D44" s="67">
        <f t="shared" ref="D44:N44" si="4">D42+D43</f>
        <v>69.720500000000001</v>
      </c>
      <c r="E44" s="67">
        <f t="shared" si="4"/>
        <v>230.327</v>
      </c>
      <c r="F44" s="67">
        <f t="shared" si="4"/>
        <v>2682.4531000000002</v>
      </c>
      <c r="G44" s="67">
        <f t="shared" si="4"/>
        <v>2690.6185999999998</v>
      </c>
      <c r="H44" s="67">
        <f t="shared" si="4"/>
        <v>2484.3530999999998</v>
      </c>
      <c r="I44" s="67">
        <f t="shared" si="4"/>
        <v>3118.0165999999999</v>
      </c>
      <c r="J44" s="67">
        <f t="shared" si="4"/>
        <v>1728.9152999999999</v>
      </c>
      <c r="K44" s="67">
        <f t="shared" si="4"/>
        <v>52.122199999999999</v>
      </c>
      <c r="L44" s="67">
        <f t="shared" si="4"/>
        <v>20.756</v>
      </c>
      <c r="M44" s="67">
        <f t="shared" si="4"/>
        <v>8.1245999999999992</v>
      </c>
      <c r="N44" s="67">
        <f t="shared" si="4"/>
        <v>25.572399999999998</v>
      </c>
      <c r="O44" s="31">
        <f>O41</f>
        <v>31</v>
      </c>
      <c r="P44" s="31">
        <f>SUM(P42:P43)</f>
        <v>13140.3797</v>
      </c>
      <c r="Q44" s="32"/>
      <c r="R44" s="33">
        <f>SUM(R41:R43)</f>
        <v>22875.844683690004</v>
      </c>
    </row>
    <row r="45" spans="1:22" x14ac:dyDescent="0.2">
      <c r="A45" s="4">
        <v>34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22" x14ac:dyDescent="0.2">
      <c r="A46" s="4">
        <v>35</v>
      </c>
      <c r="B46" s="171" t="s">
        <v>86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22" x14ac:dyDescent="0.2">
      <c r="A47" s="4">
        <v>36</v>
      </c>
      <c r="B47" s="1" t="s">
        <v>84</v>
      </c>
      <c r="C47" s="66">
        <v>6</v>
      </c>
      <c r="D47" s="66">
        <v>9</v>
      </c>
      <c r="E47" s="66">
        <v>9</v>
      </c>
      <c r="F47" s="66">
        <v>7</v>
      </c>
      <c r="G47" s="66">
        <v>10</v>
      </c>
      <c r="H47" s="66">
        <v>8</v>
      </c>
      <c r="I47" s="66">
        <v>8</v>
      </c>
      <c r="J47" s="66">
        <v>9</v>
      </c>
      <c r="K47" s="66">
        <v>7</v>
      </c>
      <c r="L47" s="66">
        <v>7</v>
      </c>
      <c r="M47" s="66">
        <v>7</v>
      </c>
      <c r="N47" s="66">
        <v>7</v>
      </c>
      <c r="O47" s="6">
        <f>SUM(C47:N47)</f>
        <v>94</v>
      </c>
      <c r="P47" s="15"/>
      <c r="Q47" s="99">
        <f>Q41</f>
        <v>395.56</v>
      </c>
      <c r="R47" s="3">
        <f>O47*Q47</f>
        <v>37182.639999999999</v>
      </c>
    </row>
    <row r="48" spans="1:22" x14ac:dyDescent="0.2">
      <c r="A48" s="4">
        <v>37</v>
      </c>
      <c r="B48" s="1" t="s">
        <v>85</v>
      </c>
      <c r="C48" s="66">
        <v>15016.8573</v>
      </c>
      <c r="D48" s="66">
        <v>31794.505799999999</v>
      </c>
      <c r="E48" s="66">
        <v>16456.639599999999</v>
      </c>
      <c r="F48" s="66">
        <v>22604.716400000001</v>
      </c>
      <c r="G48" s="66">
        <v>27710.869599999998</v>
      </c>
      <c r="H48" s="66">
        <v>20932.346400000002</v>
      </c>
      <c r="I48" s="66">
        <v>36094.22050000001</v>
      </c>
      <c r="J48" s="66">
        <v>24262.6031</v>
      </c>
      <c r="K48" s="66">
        <v>36729.426999999996</v>
      </c>
      <c r="L48" s="66">
        <v>34981.842000000004</v>
      </c>
      <c r="M48" s="66">
        <v>17218.747800000001</v>
      </c>
      <c r="N48" s="66">
        <v>19608.862800000003</v>
      </c>
      <c r="O48" s="6"/>
      <c r="P48" s="6">
        <f>SUM(C48:N48)</f>
        <v>303411.63829999999</v>
      </c>
      <c r="Q48" s="14">
        <f>Q42</f>
        <v>0.80770000000000008</v>
      </c>
      <c r="R48" s="6">
        <f>P48*Q48</f>
        <v>245065.58025491002</v>
      </c>
    </row>
    <row r="49" spans="1:25" x14ac:dyDescent="0.2">
      <c r="A49" s="4">
        <v>38</v>
      </c>
      <c r="B49" s="1" t="s">
        <v>81</v>
      </c>
      <c r="C49" s="66">
        <v>7136</v>
      </c>
      <c r="D49" s="66">
        <v>8448</v>
      </c>
      <c r="E49" s="66">
        <v>8601</v>
      </c>
      <c r="F49" s="66">
        <v>19200</v>
      </c>
      <c r="G49" s="66">
        <v>21796</v>
      </c>
      <c r="H49" s="66">
        <v>14010</v>
      </c>
      <c r="I49" s="66">
        <v>27298</v>
      </c>
      <c r="J49" s="66">
        <v>13323</v>
      </c>
      <c r="K49" s="66">
        <v>18015</v>
      </c>
      <c r="L49" s="66">
        <v>11102</v>
      </c>
      <c r="M49" s="66">
        <v>7297</v>
      </c>
      <c r="N49" s="66">
        <v>0</v>
      </c>
      <c r="O49" s="6"/>
      <c r="P49" s="6">
        <f>SUM(C49:N49)</f>
        <v>156226</v>
      </c>
      <c r="Q49" s="14">
        <f>Q43</f>
        <v>0.54190000000000005</v>
      </c>
      <c r="R49" s="6">
        <f>P49*Q49</f>
        <v>84658.869400000011</v>
      </c>
    </row>
    <row r="50" spans="1:25" x14ac:dyDescent="0.2">
      <c r="A50" s="4">
        <v>39</v>
      </c>
      <c r="B50" s="32" t="s">
        <v>79</v>
      </c>
      <c r="C50" s="67">
        <f>C48+C49</f>
        <v>22152.8573</v>
      </c>
      <c r="D50" s="67">
        <f t="shared" ref="D50:N50" si="5">D48+D49</f>
        <v>40242.505799999999</v>
      </c>
      <c r="E50" s="67">
        <f t="shared" si="5"/>
        <v>25057.639599999999</v>
      </c>
      <c r="F50" s="67">
        <f t="shared" si="5"/>
        <v>41804.716400000005</v>
      </c>
      <c r="G50" s="67">
        <f t="shared" si="5"/>
        <v>49506.869599999998</v>
      </c>
      <c r="H50" s="67">
        <f t="shared" si="5"/>
        <v>34942.346400000002</v>
      </c>
      <c r="I50" s="67">
        <f t="shared" si="5"/>
        <v>63392.22050000001</v>
      </c>
      <c r="J50" s="67">
        <f t="shared" si="5"/>
        <v>37585.6031</v>
      </c>
      <c r="K50" s="67">
        <f t="shared" si="5"/>
        <v>54744.426999999996</v>
      </c>
      <c r="L50" s="67">
        <f t="shared" si="5"/>
        <v>46083.842000000004</v>
      </c>
      <c r="M50" s="67">
        <f t="shared" si="5"/>
        <v>24515.747800000001</v>
      </c>
      <c r="N50" s="67">
        <f t="shared" si="5"/>
        <v>19608.862800000003</v>
      </c>
      <c r="O50" s="31">
        <f>O47</f>
        <v>94</v>
      </c>
      <c r="P50" s="31">
        <f>SUM(P48:P49)</f>
        <v>459637.63829999999</v>
      </c>
      <c r="Q50" s="32"/>
      <c r="R50" s="33">
        <f>SUM(R47:R49)</f>
        <v>366907.08965491003</v>
      </c>
    </row>
    <row r="51" spans="1:25" x14ac:dyDescent="0.2">
      <c r="A51" s="4">
        <v>40</v>
      </c>
      <c r="C51" s="20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25" x14ac:dyDescent="0.2">
      <c r="A52" s="4">
        <v>41</v>
      </c>
      <c r="B52" s="171" t="s">
        <v>88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T52" s="26"/>
      <c r="U52" s="26"/>
      <c r="X52" s="23"/>
      <c r="Y52" s="22"/>
    </row>
    <row r="53" spans="1:25" x14ac:dyDescent="0.2">
      <c r="A53" s="4">
        <v>42</v>
      </c>
      <c r="B53" s="1" t="s">
        <v>87</v>
      </c>
      <c r="C53" s="191">
        <v>120</v>
      </c>
      <c r="D53" s="191">
        <v>120</v>
      </c>
      <c r="E53" s="191">
        <v>121</v>
      </c>
      <c r="F53" s="191">
        <v>121</v>
      </c>
      <c r="G53" s="191">
        <v>121</v>
      </c>
      <c r="H53" s="191">
        <v>121</v>
      </c>
      <c r="I53" s="191">
        <v>121</v>
      </c>
      <c r="J53" s="191">
        <v>121</v>
      </c>
      <c r="K53" s="191">
        <v>121</v>
      </c>
      <c r="L53" s="191">
        <v>121</v>
      </c>
      <c r="M53" s="191">
        <v>121</v>
      </c>
      <c r="N53" s="191">
        <v>122</v>
      </c>
      <c r="O53" s="6">
        <f>SUM(C53:N53)</f>
        <v>1451</v>
      </c>
      <c r="P53" s="1"/>
      <c r="Q53" s="99">
        <f>'Rate Design'!F15</f>
        <v>390.12</v>
      </c>
      <c r="R53" s="3">
        <f>O53*Q53</f>
        <v>566064.12</v>
      </c>
      <c r="S53" s="59"/>
      <c r="T53" s="26"/>
      <c r="U53" s="26"/>
      <c r="X53" s="23"/>
      <c r="Y53" s="22"/>
    </row>
    <row r="54" spans="1:25" x14ac:dyDescent="0.2">
      <c r="A54" s="4">
        <v>43</v>
      </c>
      <c r="B54" s="1" t="s">
        <v>1</v>
      </c>
      <c r="C54" s="147">
        <v>5900</v>
      </c>
      <c r="D54" s="147">
        <v>5900</v>
      </c>
      <c r="E54" s="147">
        <v>5950</v>
      </c>
      <c r="F54" s="147">
        <v>5950</v>
      </c>
      <c r="G54" s="147">
        <v>5950</v>
      </c>
      <c r="H54" s="147">
        <v>5950</v>
      </c>
      <c r="I54" s="147">
        <v>5950</v>
      </c>
      <c r="J54" s="147">
        <v>5950</v>
      </c>
      <c r="K54" s="147">
        <v>5950</v>
      </c>
      <c r="L54" s="147">
        <v>5950</v>
      </c>
      <c r="M54" s="147">
        <v>5950</v>
      </c>
      <c r="N54" s="147">
        <v>6000</v>
      </c>
      <c r="O54" s="1"/>
      <c r="P54" s="1"/>
      <c r="Q54" s="1"/>
      <c r="R54" s="6">
        <f>SUM(C54:N54)</f>
        <v>71350</v>
      </c>
      <c r="S54" s="59"/>
      <c r="U54" s="26"/>
      <c r="X54" s="23"/>
      <c r="Y54" s="22"/>
    </row>
    <row r="55" spans="1:25" x14ac:dyDescent="0.2">
      <c r="A55" s="4">
        <v>44</v>
      </c>
      <c r="B55" s="1" t="s">
        <v>62</v>
      </c>
      <c r="C55" s="147">
        <v>5800</v>
      </c>
      <c r="D55" s="147">
        <v>5800</v>
      </c>
      <c r="E55" s="147">
        <v>5900</v>
      </c>
      <c r="F55" s="147">
        <v>5900</v>
      </c>
      <c r="G55" s="147">
        <v>5900</v>
      </c>
      <c r="H55" s="147">
        <v>5900</v>
      </c>
      <c r="I55" s="147">
        <v>5900</v>
      </c>
      <c r="J55" s="147">
        <v>5925</v>
      </c>
      <c r="K55" s="147">
        <v>5925</v>
      </c>
      <c r="L55" s="147">
        <v>6025</v>
      </c>
      <c r="M55" s="147">
        <v>6025</v>
      </c>
      <c r="N55" s="147">
        <v>6125</v>
      </c>
      <c r="O55" s="1"/>
      <c r="P55" s="1"/>
      <c r="Q55" s="1"/>
      <c r="R55" s="6">
        <f>SUM(C55:N55)</f>
        <v>71125</v>
      </c>
      <c r="S55" s="59"/>
      <c r="U55" s="26"/>
      <c r="X55" s="23"/>
      <c r="Y55" s="22"/>
    </row>
    <row r="56" spans="1:25" x14ac:dyDescent="0.2">
      <c r="A56" s="4">
        <v>45</v>
      </c>
      <c r="B56" s="1" t="s">
        <v>2</v>
      </c>
      <c r="C56" s="147">
        <v>39.6</v>
      </c>
      <c r="D56" s="147">
        <v>42.3</v>
      </c>
      <c r="E56" s="147">
        <v>115.69999999999999</v>
      </c>
      <c r="F56" s="147">
        <v>143.30000000000001</v>
      </c>
      <c r="G56" s="147">
        <v>173.89999999999998</v>
      </c>
      <c r="H56" s="147">
        <v>182.5</v>
      </c>
      <c r="I56" s="147">
        <v>70.400000000000006</v>
      </c>
      <c r="J56" s="147">
        <v>23.1</v>
      </c>
      <c r="K56" s="147">
        <v>25.8</v>
      </c>
      <c r="L56" s="147">
        <v>31.1</v>
      </c>
      <c r="M56" s="147">
        <v>34.4</v>
      </c>
      <c r="N56" s="147">
        <v>30.799999999999997</v>
      </c>
      <c r="O56" s="642"/>
      <c r="P56" s="1"/>
      <c r="Q56" s="1"/>
      <c r="R56" s="6">
        <f>SUM(C56:N56)</f>
        <v>912.89999999999986</v>
      </c>
      <c r="S56" s="59"/>
      <c r="X56" s="23"/>
      <c r="Y56" s="22"/>
    </row>
    <row r="57" spans="1:25" x14ac:dyDescent="0.2">
      <c r="A57" s="4">
        <v>46</v>
      </c>
      <c r="B57" s="1" t="s">
        <v>32</v>
      </c>
      <c r="C57" s="66">
        <v>33711</v>
      </c>
      <c r="D57" s="66">
        <v>35271</v>
      </c>
      <c r="E57" s="66">
        <v>36144</v>
      </c>
      <c r="F57" s="66">
        <v>36130</v>
      </c>
      <c r="G57" s="66">
        <v>36300</v>
      </c>
      <c r="H57" s="66">
        <v>36300</v>
      </c>
      <c r="I57" s="66">
        <v>36300</v>
      </c>
      <c r="J57" s="66">
        <v>35371</v>
      </c>
      <c r="K57" s="66">
        <v>34654</v>
      </c>
      <c r="L57" s="66">
        <v>33536</v>
      </c>
      <c r="M57" s="66">
        <v>33219</v>
      </c>
      <c r="N57" s="66">
        <v>33887</v>
      </c>
      <c r="O57" s="642"/>
      <c r="P57" s="6">
        <f>SUM(C57:N57)</f>
        <v>420823</v>
      </c>
      <c r="Q57" s="14">
        <f>'Rate Design'!F23</f>
        <v>1.4401000000000002</v>
      </c>
      <c r="R57" s="6">
        <f>P57*Q57</f>
        <v>606027.20230000012</v>
      </c>
      <c r="S57" s="59"/>
      <c r="X57" s="23"/>
    </row>
    <row r="58" spans="1:25" x14ac:dyDescent="0.2">
      <c r="A58" s="4">
        <v>47</v>
      </c>
      <c r="B58" s="1" t="s">
        <v>33</v>
      </c>
      <c r="C58" s="66">
        <v>377286</v>
      </c>
      <c r="D58" s="66">
        <v>435433</v>
      </c>
      <c r="E58" s="66">
        <v>539586</v>
      </c>
      <c r="F58" s="66">
        <v>547372</v>
      </c>
      <c r="G58" s="66">
        <v>630421</v>
      </c>
      <c r="H58" s="66">
        <v>627283</v>
      </c>
      <c r="I58" s="66">
        <v>545221</v>
      </c>
      <c r="J58" s="66">
        <v>424456</v>
      </c>
      <c r="K58" s="66">
        <v>394775</v>
      </c>
      <c r="L58" s="66">
        <v>377983</v>
      </c>
      <c r="M58" s="66">
        <v>365566</v>
      </c>
      <c r="N58" s="66">
        <v>381547</v>
      </c>
      <c r="O58" s="1"/>
      <c r="P58" s="6">
        <f>SUM(C58:N58)</f>
        <v>5646929</v>
      </c>
      <c r="Q58" s="14">
        <f>'Rate Design'!F24</f>
        <v>0.96149999999999991</v>
      </c>
      <c r="R58" s="6">
        <f>P58*Q58</f>
        <v>5429522.2334999992</v>
      </c>
      <c r="S58" s="59"/>
      <c r="X58" s="23"/>
    </row>
    <row r="59" spans="1:25" x14ac:dyDescent="0.2">
      <c r="A59" s="4">
        <v>48</v>
      </c>
      <c r="B59" s="1" t="s">
        <v>661</v>
      </c>
      <c r="C59" s="66">
        <v>82133</v>
      </c>
      <c r="D59" s="66">
        <v>100216</v>
      </c>
      <c r="E59" s="66">
        <v>114550</v>
      </c>
      <c r="F59" s="66">
        <v>118547</v>
      </c>
      <c r="G59" s="66">
        <v>159398</v>
      </c>
      <c r="H59" s="66">
        <v>147487</v>
      </c>
      <c r="I59" s="66">
        <v>114386</v>
      </c>
      <c r="J59" s="66">
        <v>79183</v>
      </c>
      <c r="K59" s="66">
        <v>68092</v>
      </c>
      <c r="L59" s="66">
        <v>65829</v>
      </c>
      <c r="M59" s="66">
        <v>74931</v>
      </c>
      <c r="N59" s="66">
        <v>67026</v>
      </c>
      <c r="O59" s="642"/>
      <c r="P59" s="6">
        <f>SUM(C59:N59)</f>
        <v>1191778</v>
      </c>
      <c r="Q59" s="14">
        <f>'Rate Design'!F25</f>
        <v>0.6774</v>
      </c>
      <c r="R59" s="6">
        <f>P59*Q59</f>
        <v>807310.41720000003</v>
      </c>
      <c r="S59" s="59"/>
      <c r="X59" s="23"/>
    </row>
    <row r="60" spans="1:25" x14ac:dyDescent="0.2">
      <c r="A60" s="4">
        <v>49</v>
      </c>
      <c r="B60" s="32" t="s">
        <v>79</v>
      </c>
      <c r="C60" s="67">
        <f>C57+C58+C59</f>
        <v>493130</v>
      </c>
      <c r="D60" s="67">
        <f t="shared" ref="D60:N60" si="6">D57+D58+D59</f>
        <v>570920</v>
      </c>
      <c r="E60" s="67">
        <f t="shared" si="6"/>
        <v>690280</v>
      </c>
      <c r="F60" s="67">
        <f t="shared" si="6"/>
        <v>702049</v>
      </c>
      <c r="G60" s="67">
        <f t="shared" si="6"/>
        <v>826119</v>
      </c>
      <c r="H60" s="67">
        <f t="shared" si="6"/>
        <v>811070</v>
      </c>
      <c r="I60" s="67">
        <f t="shared" si="6"/>
        <v>695907</v>
      </c>
      <c r="J60" s="67">
        <f t="shared" si="6"/>
        <v>539010</v>
      </c>
      <c r="K60" s="67">
        <f t="shared" si="6"/>
        <v>497521</v>
      </c>
      <c r="L60" s="67">
        <f t="shared" si="6"/>
        <v>477348</v>
      </c>
      <c r="M60" s="67">
        <f t="shared" si="6"/>
        <v>473716</v>
      </c>
      <c r="N60" s="67">
        <f t="shared" si="6"/>
        <v>482460</v>
      </c>
      <c r="O60" s="31">
        <f>SUM(O53:O59)</f>
        <v>1451</v>
      </c>
      <c r="P60" s="31">
        <f>SUM(P57:P59)</f>
        <v>7259530</v>
      </c>
      <c r="Q60" s="32"/>
      <c r="R60" s="33">
        <f>SUM(R53:R59)</f>
        <v>7552311.8729999987</v>
      </c>
      <c r="Y60" s="22"/>
    </row>
    <row r="61" spans="1:25" x14ac:dyDescent="0.2">
      <c r="A61" s="4">
        <v>50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Y61" s="22"/>
    </row>
    <row r="62" spans="1:25" x14ac:dyDescent="0.2">
      <c r="A62" s="4">
        <v>51</v>
      </c>
      <c r="B62" s="171" t="s">
        <v>663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Y62" s="22"/>
    </row>
    <row r="63" spans="1:25" x14ac:dyDescent="0.2">
      <c r="A63" s="4">
        <v>52</v>
      </c>
      <c r="B63" s="1" t="s">
        <v>32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/>
      <c r="P63" s="1">
        <f>SUM(C63:O63)</f>
        <v>0</v>
      </c>
      <c r="Q63" s="527">
        <f>'Rate Design'!P23</f>
        <v>0.98850000000000005</v>
      </c>
      <c r="R63" s="3">
        <f>O63*Q63</f>
        <v>0</v>
      </c>
      <c r="Y63" s="22"/>
    </row>
    <row r="64" spans="1:25" x14ac:dyDescent="0.2">
      <c r="A64" s="4">
        <v>53</v>
      </c>
      <c r="B64" s="1" t="s">
        <v>33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/>
      <c r="P64" s="1">
        <f t="shared" ref="P64:P66" si="7">SUM(C64:O64)</f>
        <v>0</v>
      </c>
      <c r="Q64" s="527">
        <f>'Rate Design'!P24</f>
        <v>0.66</v>
      </c>
      <c r="R64" s="6">
        <f t="shared" ref="R64:R65" si="8">P64*Q64</f>
        <v>0</v>
      </c>
      <c r="Y64" s="22"/>
    </row>
    <row r="65" spans="1:25" x14ac:dyDescent="0.2">
      <c r="A65" s="4">
        <v>54</v>
      </c>
      <c r="B65" s="1" t="s">
        <v>661</v>
      </c>
      <c r="C65" s="66">
        <v>0</v>
      </c>
      <c r="D65" s="66">
        <v>0</v>
      </c>
      <c r="E65" s="66">
        <v>0</v>
      </c>
      <c r="F65" s="66">
        <v>0</v>
      </c>
      <c r="G65" s="66">
        <v>11941</v>
      </c>
      <c r="H65" s="66">
        <v>7797</v>
      </c>
      <c r="I65" s="66">
        <v>12256</v>
      </c>
      <c r="J65" s="66">
        <v>14323</v>
      </c>
      <c r="K65" s="66">
        <v>13135</v>
      </c>
      <c r="L65" s="66">
        <v>11917</v>
      </c>
      <c r="M65" s="66">
        <v>10559</v>
      </c>
      <c r="N65" s="66">
        <v>10845</v>
      </c>
      <c r="O65" s="1"/>
      <c r="P65" s="643">
        <f t="shared" si="7"/>
        <v>92773</v>
      </c>
      <c r="Q65" s="644">
        <f>'Rate Design'!P25</f>
        <v>0.46500000000000002</v>
      </c>
      <c r="R65" s="6">
        <f t="shared" si="8"/>
        <v>43139.445</v>
      </c>
      <c r="Y65" s="22"/>
    </row>
    <row r="66" spans="1:25" x14ac:dyDescent="0.2">
      <c r="A66" s="4">
        <v>55</v>
      </c>
      <c r="B66" s="32" t="s">
        <v>79</v>
      </c>
      <c r="C66" s="67">
        <f>C63+C64+C65</f>
        <v>0</v>
      </c>
      <c r="D66" s="67">
        <f t="shared" ref="D66" si="9">D63+D64+D65</f>
        <v>0</v>
      </c>
      <c r="E66" s="67">
        <f t="shared" ref="E66" si="10">E63+E64+E65</f>
        <v>0</v>
      </c>
      <c r="F66" s="67">
        <f t="shared" ref="F66" si="11">F63+F64+F65</f>
        <v>0</v>
      </c>
      <c r="G66" s="67">
        <f t="shared" ref="G66" si="12">G63+G64+G65</f>
        <v>11941</v>
      </c>
      <c r="H66" s="67">
        <f t="shared" ref="H66" si="13">H63+H64+H65</f>
        <v>7797</v>
      </c>
      <c r="I66" s="67">
        <f t="shared" ref="I66" si="14">I63+I64+I65</f>
        <v>12256</v>
      </c>
      <c r="J66" s="67">
        <f t="shared" ref="J66" si="15">J63+J64+J65</f>
        <v>14323</v>
      </c>
      <c r="K66" s="67">
        <f t="shared" ref="K66" si="16">K63+K64+K65</f>
        <v>13135</v>
      </c>
      <c r="L66" s="67">
        <f t="shared" ref="L66" si="17">L63+L64+L65</f>
        <v>11917</v>
      </c>
      <c r="M66" s="67">
        <f t="shared" ref="M66" si="18">M63+M64+M65</f>
        <v>10559</v>
      </c>
      <c r="N66" s="67">
        <f t="shared" ref="N66" si="19">N63+N64+N65</f>
        <v>10845</v>
      </c>
      <c r="O66" s="1"/>
      <c r="P66" s="32">
        <f t="shared" si="7"/>
        <v>92773</v>
      </c>
      <c r="Q66" s="32"/>
      <c r="R66" s="33">
        <f>SUM(R63:R65)</f>
        <v>43139.445</v>
      </c>
      <c r="Y66" s="22"/>
    </row>
    <row r="67" spans="1:25" x14ac:dyDescent="0.2">
      <c r="A67" s="4">
        <v>56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Y67" s="22"/>
    </row>
    <row r="68" spans="1:25" x14ac:dyDescent="0.2">
      <c r="A68" s="4">
        <v>57</v>
      </c>
      <c r="B68" s="171" t="s">
        <v>89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Y68" s="22"/>
    </row>
    <row r="69" spans="1:25" x14ac:dyDescent="0.2">
      <c r="A69" s="4">
        <v>58</v>
      </c>
      <c r="B69" s="1" t="s">
        <v>87</v>
      </c>
      <c r="C69" s="191">
        <v>69</v>
      </c>
      <c r="D69" s="191">
        <v>69</v>
      </c>
      <c r="E69" s="191">
        <v>69</v>
      </c>
      <c r="F69" s="191">
        <v>69</v>
      </c>
      <c r="G69" s="191">
        <v>69</v>
      </c>
      <c r="H69" s="191">
        <v>70</v>
      </c>
      <c r="I69" s="191">
        <v>70</v>
      </c>
      <c r="J69" s="191">
        <v>70</v>
      </c>
      <c r="K69" s="191">
        <v>70</v>
      </c>
      <c r="L69" s="191">
        <v>69</v>
      </c>
      <c r="M69" s="191">
        <v>69</v>
      </c>
      <c r="N69" s="191">
        <v>70</v>
      </c>
      <c r="O69" s="6">
        <f>SUM(C69:N69)</f>
        <v>833</v>
      </c>
      <c r="P69" s="15"/>
      <c r="Q69" s="99">
        <f>'Rate Design'!F16</f>
        <v>388.79</v>
      </c>
      <c r="R69" s="3">
        <f>O69*Q69</f>
        <v>323862.07</v>
      </c>
      <c r="X69" s="23"/>
      <c r="Y69" s="22"/>
    </row>
    <row r="70" spans="1:25" x14ac:dyDescent="0.2">
      <c r="A70" s="4">
        <v>59</v>
      </c>
      <c r="B70" s="1" t="s">
        <v>1</v>
      </c>
      <c r="C70" s="147">
        <v>3450</v>
      </c>
      <c r="D70" s="147">
        <v>3450</v>
      </c>
      <c r="E70" s="147">
        <v>3450</v>
      </c>
      <c r="F70" s="147">
        <v>3450</v>
      </c>
      <c r="G70" s="147">
        <v>3450</v>
      </c>
      <c r="H70" s="147">
        <v>3500</v>
      </c>
      <c r="I70" s="147">
        <v>3500</v>
      </c>
      <c r="J70" s="147">
        <v>3500</v>
      </c>
      <c r="K70" s="147">
        <v>3500</v>
      </c>
      <c r="L70" s="147">
        <v>3450</v>
      </c>
      <c r="M70" s="147">
        <v>3450</v>
      </c>
      <c r="N70" s="147">
        <v>3500</v>
      </c>
      <c r="O70" s="1"/>
      <c r="P70" s="1"/>
      <c r="Q70" s="1"/>
      <c r="R70" s="6">
        <f>SUM(C70:N70)</f>
        <v>41650</v>
      </c>
      <c r="X70" s="23"/>
      <c r="Y70" s="22"/>
    </row>
    <row r="71" spans="1:25" x14ac:dyDescent="0.2">
      <c r="A71" s="4">
        <v>60</v>
      </c>
      <c r="B71" s="1" t="s">
        <v>62</v>
      </c>
      <c r="C71" s="147">
        <v>3050</v>
      </c>
      <c r="D71" s="147">
        <v>3150</v>
      </c>
      <c r="E71" s="147">
        <v>3150</v>
      </c>
      <c r="F71" s="147">
        <v>3150</v>
      </c>
      <c r="G71" s="147">
        <v>3150</v>
      </c>
      <c r="H71" s="147">
        <v>3250</v>
      </c>
      <c r="I71" s="147">
        <v>3250</v>
      </c>
      <c r="J71" s="147">
        <v>3250</v>
      </c>
      <c r="K71" s="147">
        <v>3525</v>
      </c>
      <c r="L71" s="147">
        <v>3350</v>
      </c>
      <c r="M71" s="147">
        <v>3500</v>
      </c>
      <c r="N71" s="147">
        <v>3600</v>
      </c>
      <c r="O71" s="1"/>
      <c r="P71" s="1"/>
      <c r="Q71" s="1"/>
      <c r="R71" s="6">
        <f>SUM(C71:N71)</f>
        <v>39375</v>
      </c>
      <c r="X71" s="23"/>
      <c r="Y71" s="22"/>
    </row>
    <row r="72" spans="1:25" x14ac:dyDescent="0.2">
      <c r="A72" s="4">
        <v>61</v>
      </c>
      <c r="B72" s="1" t="s">
        <v>2</v>
      </c>
      <c r="C72" s="147">
        <v>345.5</v>
      </c>
      <c r="D72" s="147">
        <v>318.29999999999995</v>
      </c>
      <c r="E72" s="147">
        <v>281.60000000000002</v>
      </c>
      <c r="F72" s="147">
        <v>379.4</v>
      </c>
      <c r="G72" s="147">
        <v>323.10000000000002</v>
      </c>
      <c r="H72" s="147">
        <v>226.7</v>
      </c>
      <c r="I72" s="147">
        <v>303.10000000000002</v>
      </c>
      <c r="J72" s="147">
        <v>315.3</v>
      </c>
      <c r="K72" s="147">
        <v>247.9</v>
      </c>
      <c r="L72" s="147">
        <v>402</v>
      </c>
      <c r="M72" s="147">
        <v>229.9</v>
      </c>
      <c r="N72" s="147">
        <v>310.8</v>
      </c>
      <c r="O72" s="1"/>
      <c r="P72" s="1"/>
      <c r="Q72" s="1"/>
      <c r="R72" s="6">
        <f>SUM(C72:N72)</f>
        <v>3683.6000000000008</v>
      </c>
      <c r="X72" s="23"/>
      <c r="Y72" s="22"/>
    </row>
    <row r="73" spans="1:25" x14ac:dyDescent="0.2">
      <c r="A73" s="4">
        <v>62</v>
      </c>
      <c r="B73" s="1" t="s">
        <v>46</v>
      </c>
      <c r="C73" s="66">
        <v>383113</v>
      </c>
      <c r="D73" s="66">
        <v>438287</v>
      </c>
      <c r="E73" s="66">
        <v>453188</v>
      </c>
      <c r="F73" s="66">
        <v>456921</v>
      </c>
      <c r="G73" s="66">
        <v>457478</v>
      </c>
      <c r="H73" s="66">
        <v>443700</v>
      </c>
      <c r="I73" s="66">
        <v>443522</v>
      </c>
      <c r="J73" s="66">
        <v>429100</v>
      </c>
      <c r="K73" s="66">
        <v>416119</v>
      </c>
      <c r="L73" s="66">
        <v>406060</v>
      </c>
      <c r="M73" s="66">
        <v>369087</v>
      </c>
      <c r="N73" s="66">
        <v>397892</v>
      </c>
      <c r="O73" s="1"/>
      <c r="P73" s="6">
        <f>SUM(C73:N73)</f>
        <v>5094467</v>
      </c>
      <c r="Q73" s="14">
        <f>'Rate Design'!F30</f>
        <v>0.877</v>
      </c>
      <c r="R73" s="6">
        <f>P73*Q73</f>
        <v>4467847.5590000004</v>
      </c>
      <c r="X73" s="23"/>
      <c r="Y73" s="22"/>
    </row>
    <row r="74" spans="1:25" x14ac:dyDescent="0.2">
      <c r="A74" s="4">
        <v>63</v>
      </c>
      <c r="B74" s="1" t="s">
        <v>47</v>
      </c>
      <c r="C74" s="66">
        <v>180121</v>
      </c>
      <c r="D74" s="66">
        <v>225209</v>
      </c>
      <c r="E74" s="66">
        <v>234740</v>
      </c>
      <c r="F74" s="66">
        <v>232537</v>
      </c>
      <c r="G74" s="66">
        <v>282676</v>
      </c>
      <c r="H74" s="66">
        <v>241360</v>
      </c>
      <c r="I74" s="66">
        <v>262807</v>
      </c>
      <c r="J74" s="66">
        <v>188680</v>
      </c>
      <c r="K74" s="66">
        <v>193844</v>
      </c>
      <c r="L74" s="66">
        <v>172643</v>
      </c>
      <c r="M74" s="66">
        <v>173313</v>
      </c>
      <c r="N74" s="66">
        <v>210564</v>
      </c>
      <c r="O74" s="1"/>
      <c r="P74" s="6">
        <f>SUM(C74:N74)</f>
        <v>2598494</v>
      </c>
      <c r="Q74" s="14">
        <f>'Rate Design'!F31</f>
        <v>0.58840000000000003</v>
      </c>
      <c r="R74" s="6">
        <f>P74*Q74</f>
        <v>1528953.8696000001</v>
      </c>
      <c r="X74" s="23"/>
      <c r="Y74" s="22"/>
    </row>
    <row r="75" spans="1:25" x14ac:dyDescent="0.2">
      <c r="A75" s="4">
        <v>64</v>
      </c>
      <c r="B75" s="32" t="s">
        <v>79</v>
      </c>
      <c r="C75" s="67">
        <f t="shared" ref="C75:N75" si="20">C73+C74</f>
        <v>563234</v>
      </c>
      <c r="D75" s="67">
        <f t="shared" si="20"/>
        <v>663496</v>
      </c>
      <c r="E75" s="67">
        <f t="shared" si="20"/>
        <v>687928</v>
      </c>
      <c r="F75" s="67">
        <f t="shared" si="20"/>
        <v>689458</v>
      </c>
      <c r="G75" s="67">
        <f t="shared" si="20"/>
        <v>740154</v>
      </c>
      <c r="H75" s="67">
        <f t="shared" si="20"/>
        <v>685060</v>
      </c>
      <c r="I75" s="67">
        <f t="shared" si="20"/>
        <v>706329</v>
      </c>
      <c r="J75" s="67">
        <f t="shared" si="20"/>
        <v>617780</v>
      </c>
      <c r="K75" s="67">
        <f t="shared" si="20"/>
        <v>609963</v>
      </c>
      <c r="L75" s="67">
        <f t="shared" si="20"/>
        <v>578703</v>
      </c>
      <c r="M75" s="67">
        <f t="shared" si="20"/>
        <v>542400</v>
      </c>
      <c r="N75" s="67">
        <f t="shared" si="20"/>
        <v>608456</v>
      </c>
      <c r="O75" s="31">
        <f>O69</f>
        <v>833</v>
      </c>
      <c r="P75" s="31">
        <f>SUM(P73:P74)</f>
        <v>7692961</v>
      </c>
      <c r="Q75" s="32"/>
      <c r="R75" s="33">
        <f>SUM(R69:R74)</f>
        <v>6405372.0986000001</v>
      </c>
      <c r="X75" s="23"/>
      <c r="Y75" s="22"/>
    </row>
    <row r="76" spans="1:25" x14ac:dyDescent="0.2">
      <c r="A76" s="4">
        <v>65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482"/>
      <c r="X76" s="23"/>
      <c r="Y76" s="22"/>
    </row>
    <row r="77" spans="1:25" x14ac:dyDescent="0.2">
      <c r="A77" s="4">
        <v>66</v>
      </c>
      <c r="B77" s="171" t="s">
        <v>90</v>
      </c>
      <c r="C77" s="147">
        <f>C79+C80+C81+C83</f>
        <v>120408.92</v>
      </c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"/>
      <c r="P77" s="1"/>
      <c r="Q77" s="1"/>
      <c r="R77" s="147"/>
      <c r="X77" s="23"/>
      <c r="Y77" s="22"/>
    </row>
    <row r="78" spans="1:25" x14ac:dyDescent="0.2">
      <c r="A78" s="4">
        <v>67</v>
      </c>
      <c r="B78" s="1" t="s">
        <v>87</v>
      </c>
      <c r="C78" s="191">
        <v>17</v>
      </c>
      <c r="D78" s="191">
        <v>17</v>
      </c>
      <c r="E78" s="191">
        <v>17</v>
      </c>
      <c r="F78" s="191">
        <v>17</v>
      </c>
      <c r="G78" s="191">
        <v>17</v>
      </c>
      <c r="H78" s="191">
        <v>17</v>
      </c>
      <c r="I78" s="191">
        <v>17</v>
      </c>
      <c r="J78" s="191">
        <v>17</v>
      </c>
      <c r="K78" s="191">
        <v>17</v>
      </c>
      <c r="L78" s="191">
        <v>17</v>
      </c>
      <c r="M78" s="191">
        <v>17</v>
      </c>
      <c r="N78" s="191">
        <v>17</v>
      </c>
      <c r="O78" s="6">
        <f>SUM(C78:N78)</f>
        <v>204</v>
      </c>
      <c r="P78" s="15"/>
      <c r="Q78" s="99">
        <f>'Rate Design'!F17</f>
        <v>350</v>
      </c>
      <c r="R78" s="3">
        <f>O78*Q78</f>
        <v>71400</v>
      </c>
      <c r="S78" s="59"/>
      <c r="X78" s="23"/>
      <c r="Y78" s="22"/>
    </row>
    <row r="79" spans="1:25" x14ac:dyDescent="0.2">
      <c r="A79" s="4">
        <v>68</v>
      </c>
      <c r="B79" s="1" t="s">
        <v>1</v>
      </c>
      <c r="C79" s="147">
        <v>850</v>
      </c>
      <c r="D79" s="147">
        <v>850</v>
      </c>
      <c r="E79" s="147">
        <v>850</v>
      </c>
      <c r="F79" s="147">
        <v>850</v>
      </c>
      <c r="G79" s="147">
        <v>850</v>
      </c>
      <c r="H79" s="147">
        <v>850</v>
      </c>
      <c r="I79" s="147">
        <v>850</v>
      </c>
      <c r="J79" s="147">
        <v>850</v>
      </c>
      <c r="K79" s="147">
        <v>850</v>
      </c>
      <c r="L79" s="147">
        <v>850</v>
      </c>
      <c r="M79" s="147">
        <v>850</v>
      </c>
      <c r="N79" s="147">
        <v>850</v>
      </c>
      <c r="O79" s="1"/>
      <c r="P79" s="1"/>
      <c r="Q79" s="1"/>
      <c r="R79" s="6">
        <f>SUM(C79:N79)</f>
        <v>10200</v>
      </c>
      <c r="X79" s="23"/>
      <c r="Y79" s="22"/>
    </row>
    <row r="80" spans="1:25" x14ac:dyDescent="0.2">
      <c r="A80" s="4">
        <v>69</v>
      </c>
      <c r="B80" s="1" t="s">
        <v>62</v>
      </c>
      <c r="C80" s="147">
        <v>850</v>
      </c>
      <c r="D80" s="147">
        <v>850</v>
      </c>
      <c r="E80" s="147">
        <v>850</v>
      </c>
      <c r="F80" s="147">
        <v>850</v>
      </c>
      <c r="G80" s="147">
        <v>850</v>
      </c>
      <c r="H80" s="147">
        <v>850</v>
      </c>
      <c r="I80" s="147">
        <v>850</v>
      </c>
      <c r="J80" s="147">
        <v>850</v>
      </c>
      <c r="K80" s="147">
        <v>850</v>
      </c>
      <c r="L80" s="147">
        <v>850</v>
      </c>
      <c r="M80" s="147">
        <v>850</v>
      </c>
      <c r="N80" s="147">
        <v>850</v>
      </c>
      <c r="O80" s="1"/>
      <c r="P80" s="1"/>
      <c r="Q80" s="1"/>
      <c r="R80" s="6">
        <f>SUM(C80:N80)</f>
        <v>10200</v>
      </c>
      <c r="X80" s="23"/>
      <c r="Y80" s="22"/>
    </row>
    <row r="81" spans="1:24" x14ac:dyDescent="0.2">
      <c r="A81" s="4">
        <v>70</v>
      </c>
      <c r="B81" s="1" t="s">
        <v>639</v>
      </c>
      <c r="C81" s="147">
        <v>5302.8</v>
      </c>
      <c r="D81" s="147">
        <v>4009.6000000000004</v>
      </c>
      <c r="E81" s="147">
        <v>11880.3</v>
      </c>
      <c r="F81" s="147">
        <v>13347.599999999999</v>
      </c>
      <c r="G81" s="147">
        <v>9687.6999999999989</v>
      </c>
      <c r="H81" s="147">
        <v>7007.9000000000005</v>
      </c>
      <c r="I81" s="147">
        <v>8230.7999999999993</v>
      </c>
      <c r="J81" s="147">
        <v>4601.3</v>
      </c>
      <c r="K81" s="147">
        <v>8004.5</v>
      </c>
      <c r="L81" s="147">
        <v>7314.7999999999993</v>
      </c>
      <c r="M81" s="147">
        <v>4248.3999999999996</v>
      </c>
      <c r="N81" s="147">
        <v>8166.9</v>
      </c>
      <c r="O81" s="1"/>
      <c r="P81" s="1"/>
      <c r="Q81" s="1"/>
      <c r="R81" s="6">
        <f>SUM(C81:N81)</f>
        <v>91802.599999999991</v>
      </c>
      <c r="X81" s="23"/>
    </row>
    <row r="82" spans="1:24" x14ac:dyDescent="0.2">
      <c r="A82" s="4">
        <v>71</v>
      </c>
      <c r="B82" s="1" t="s">
        <v>91</v>
      </c>
      <c r="C82" s="66">
        <v>1163394</v>
      </c>
      <c r="D82" s="66">
        <v>1252290</v>
      </c>
      <c r="E82" s="66">
        <v>1301966</v>
      </c>
      <c r="F82" s="66">
        <v>1320251</v>
      </c>
      <c r="G82" s="66">
        <v>1381425</v>
      </c>
      <c r="H82" s="66">
        <v>1291172</v>
      </c>
      <c r="I82" s="66">
        <v>1364999</v>
      </c>
      <c r="J82" s="66">
        <v>1289881</v>
      </c>
      <c r="K82" s="66">
        <v>1279436</v>
      </c>
      <c r="L82" s="66">
        <v>1147590</v>
      </c>
      <c r="M82" s="66">
        <v>1255199</v>
      </c>
      <c r="N82" s="66">
        <v>1330081</v>
      </c>
      <c r="O82" s="1"/>
      <c r="P82" s="6">
        <f>SUM(C82:N82)</f>
        <v>15377684</v>
      </c>
      <c r="Q82" s="69" t="s">
        <v>61</v>
      </c>
      <c r="R82" s="6"/>
      <c r="X82" s="23"/>
    </row>
    <row r="83" spans="1:24" x14ac:dyDescent="0.2">
      <c r="A83" s="4">
        <v>72</v>
      </c>
      <c r="B83" s="1" t="s">
        <v>92</v>
      </c>
      <c r="C83" s="147">
        <v>113406.12</v>
      </c>
      <c r="D83" s="147">
        <v>121788.31000000001</v>
      </c>
      <c r="E83" s="147">
        <v>127479.25</v>
      </c>
      <c r="F83" s="147">
        <v>127889.38999999998</v>
      </c>
      <c r="G83" s="147">
        <v>138552.37</v>
      </c>
      <c r="H83" s="147">
        <v>134255.22</v>
      </c>
      <c r="I83" s="147">
        <v>133159.66</v>
      </c>
      <c r="J83" s="147">
        <v>127850.78</v>
      </c>
      <c r="K83" s="147">
        <v>122523.21000000002</v>
      </c>
      <c r="L83" s="147">
        <v>113787.53</v>
      </c>
      <c r="M83" s="147">
        <v>119248.98</v>
      </c>
      <c r="N83" s="147">
        <v>123501.18000000001</v>
      </c>
      <c r="O83" s="1"/>
      <c r="P83" s="6"/>
      <c r="Q83" s="69"/>
      <c r="R83" s="6">
        <f>SUM(C83:N83)</f>
        <v>1503442</v>
      </c>
    </row>
    <row r="84" spans="1:24" x14ac:dyDescent="0.2">
      <c r="A84" s="4">
        <v>73</v>
      </c>
      <c r="B84" s="32" t="s">
        <v>79</v>
      </c>
      <c r="C84" s="67">
        <f>C82</f>
        <v>1163394</v>
      </c>
      <c r="D84" s="67">
        <f t="shared" ref="D84:N84" si="21">D82</f>
        <v>1252290</v>
      </c>
      <c r="E84" s="67">
        <f t="shared" si="21"/>
        <v>1301966</v>
      </c>
      <c r="F84" s="67">
        <f t="shared" si="21"/>
        <v>1320251</v>
      </c>
      <c r="G84" s="67">
        <f t="shared" si="21"/>
        <v>1381425</v>
      </c>
      <c r="H84" s="67">
        <f t="shared" si="21"/>
        <v>1291172</v>
      </c>
      <c r="I84" s="67">
        <f t="shared" si="21"/>
        <v>1364999</v>
      </c>
      <c r="J84" s="67">
        <f t="shared" si="21"/>
        <v>1289881</v>
      </c>
      <c r="K84" s="67">
        <f t="shared" si="21"/>
        <v>1279436</v>
      </c>
      <c r="L84" s="67">
        <f t="shared" si="21"/>
        <v>1147590</v>
      </c>
      <c r="M84" s="67">
        <f t="shared" si="21"/>
        <v>1255199</v>
      </c>
      <c r="N84" s="67">
        <f t="shared" si="21"/>
        <v>1330081</v>
      </c>
      <c r="O84" s="31">
        <f>O78</f>
        <v>204</v>
      </c>
      <c r="P84" s="31">
        <f>P82</f>
        <v>15377684</v>
      </c>
      <c r="Q84" s="32"/>
      <c r="R84" s="33">
        <f>SUM(R78:R83)</f>
        <v>1687044.6</v>
      </c>
    </row>
    <row r="85" spans="1:24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24" x14ac:dyDescent="0.2"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</row>
    <row r="87" spans="1:24" x14ac:dyDescent="0.2">
      <c r="A87" s="4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"/>
      <c r="P87" s="1"/>
      <c r="Q87" s="1"/>
      <c r="R87" s="1"/>
      <c r="S87" s="16"/>
      <c r="T87" s="16"/>
    </row>
    <row r="88" spans="1:24" x14ac:dyDescent="0.2">
      <c r="A88" s="4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1"/>
      <c r="R88" s="66"/>
      <c r="S88" s="16"/>
      <c r="T88" s="16"/>
    </row>
    <row r="89" spans="1:24" x14ac:dyDescent="0.2">
      <c r="A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70"/>
      <c r="P89" s="70"/>
      <c r="Q89" s="1"/>
      <c r="R89" s="60"/>
      <c r="S89" s="125"/>
      <c r="T89" s="16"/>
    </row>
    <row r="90" spans="1:24" x14ac:dyDescent="0.2">
      <c r="A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6"/>
      <c r="T90" s="16"/>
    </row>
    <row r="91" spans="1:24" x14ac:dyDescent="0.2">
      <c r="A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66"/>
      <c r="P91" s="66"/>
      <c r="Q91" s="1"/>
      <c r="R91" s="60"/>
      <c r="S91" s="16"/>
      <c r="T91" s="16"/>
    </row>
    <row r="92" spans="1:24" x14ac:dyDescent="0.2">
      <c r="A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66"/>
      <c r="Q92" s="1"/>
      <c r="R92" s="1"/>
      <c r="S92" s="16"/>
      <c r="T92" s="16"/>
    </row>
    <row r="93" spans="1:24" x14ac:dyDescent="0.2">
      <c r="A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6"/>
      <c r="T93" s="16"/>
    </row>
    <row r="94" spans="1:24" x14ac:dyDescent="0.2">
      <c r="A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70"/>
      <c r="N94" s="1"/>
      <c r="O94" s="1"/>
      <c r="P94" s="70"/>
      <c r="Q94" s="1"/>
      <c r="R94" s="70"/>
      <c r="S94" s="37"/>
      <c r="T94" s="16"/>
    </row>
    <row r="95" spans="1:24" x14ac:dyDescent="0.2">
      <c r="A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6"/>
      <c r="T95" s="16"/>
    </row>
    <row r="96" spans="1:24" x14ac:dyDescent="0.2">
      <c r="A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96"/>
      <c r="Q96" s="1"/>
      <c r="R96" s="1"/>
      <c r="S96" s="16"/>
      <c r="T96" s="16"/>
    </row>
    <row r="97" spans="1:25" x14ac:dyDescent="0.2">
      <c r="A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60"/>
      <c r="Q97" s="1"/>
      <c r="R97" s="1"/>
      <c r="S97" s="16"/>
      <c r="T97" s="16"/>
    </row>
    <row r="98" spans="1:25" x14ac:dyDescent="0.2">
      <c r="A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97"/>
      <c r="Q98" s="1"/>
      <c r="R98" s="197"/>
      <c r="S98" s="16"/>
      <c r="T98" s="16"/>
    </row>
    <row r="99" spans="1:25" x14ac:dyDescent="0.2">
      <c r="A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60"/>
      <c r="S99" s="16"/>
      <c r="T99" s="16"/>
    </row>
    <row r="100" spans="1:25" x14ac:dyDescent="0.2">
      <c r="A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97"/>
      <c r="S100" s="16"/>
      <c r="T100" s="16"/>
    </row>
    <row r="101" spans="1:25" x14ac:dyDescent="0.2">
      <c r="A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6"/>
      <c r="T101" s="16"/>
    </row>
    <row r="102" spans="1:25" x14ac:dyDescent="0.2">
      <c r="A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6"/>
      <c r="T102" s="16"/>
      <c r="Y102" s="22"/>
    </row>
    <row r="103" spans="1:25" x14ac:dyDescent="0.2">
      <c r="A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6"/>
      <c r="T103" s="16"/>
      <c r="Y103" s="22"/>
    </row>
    <row r="104" spans="1:25" x14ac:dyDescent="0.2">
      <c r="A104" s="16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96"/>
      <c r="S104" s="16"/>
      <c r="T104" s="16"/>
      <c r="Y104" s="22"/>
    </row>
    <row r="105" spans="1:25" x14ac:dyDescent="0.2">
      <c r="A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"/>
      <c r="P105" s="1"/>
      <c r="Q105" s="1"/>
      <c r="R105" s="1"/>
      <c r="S105" s="16"/>
      <c r="T105" s="16"/>
      <c r="X105" s="23"/>
      <c r="Y105" s="22"/>
    </row>
    <row r="106" spans="1:25" x14ac:dyDescent="0.2">
      <c r="A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"/>
      <c r="P106" s="1"/>
      <c r="Q106" s="11"/>
      <c r="R106" s="3"/>
      <c r="S106" s="37"/>
      <c r="T106" s="16"/>
      <c r="X106" s="23"/>
      <c r="Y106" s="22"/>
    </row>
    <row r="107" spans="1:25" x14ac:dyDescent="0.2">
      <c r="A107" s="16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6"/>
      <c r="P107" s="1"/>
      <c r="Q107" s="11"/>
      <c r="R107" s="6"/>
      <c r="S107" s="37"/>
      <c r="T107" s="16"/>
      <c r="X107" s="23"/>
      <c r="Y107" s="22"/>
    </row>
    <row r="108" spans="1:25" x14ac:dyDescent="0.2">
      <c r="A108" s="16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4"/>
      <c r="R108" s="70"/>
      <c r="S108" s="37"/>
      <c r="T108" s="16"/>
      <c r="X108" s="23"/>
      <c r="Y108" s="22"/>
    </row>
    <row r="109" spans="1:25" x14ac:dyDescent="0.2">
      <c r="A109" s="16"/>
      <c r="P109" s="57"/>
      <c r="Q109" s="13"/>
      <c r="R109" s="6"/>
      <c r="S109" s="52"/>
      <c r="T109" s="46"/>
      <c r="X109" s="23"/>
      <c r="Y109" s="22"/>
    </row>
    <row r="110" spans="1:25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22"/>
      <c r="Q110" s="23"/>
      <c r="R110" s="22"/>
      <c r="S110" s="52"/>
      <c r="T110" s="23"/>
      <c r="U110" s="16"/>
      <c r="V110" s="16"/>
      <c r="W110" s="22"/>
      <c r="X110" s="23"/>
      <c r="Y110" s="22"/>
    </row>
    <row r="111" spans="1:25" x14ac:dyDescent="0.2">
      <c r="A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P111" s="22"/>
      <c r="Q111" s="23"/>
      <c r="R111" s="22"/>
      <c r="S111" s="52"/>
      <c r="T111" s="23"/>
      <c r="U111" s="16"/>
      <c r="V111" s="16"/>
      <c r="W111" s="22"/>
      <c r="X111" s="23"/>
      <c r="Y111" s="22"/>
    </row>
    <row r="112" spans="1:25" x14ac:dyDescent="0.2">
      <c r="A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P112" s="22"/>
      <c r="Q112" s="23"/>
      <c r="R112" s="22"/>
      <c r="S112" s="52"/>
      <c r="T112" s="23"/>
      <c r="U112" s="16"/>
      <c r="V112" s="16"/>
      <c r="W112" s="22"/>
      <c r="X112" s="23"/>
      <c r="Y112" s="22"/>
    </row>
    <row r="113" spans="1:25" x14ac:dyDescent="0.2">
      <c r="A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22"/>
      <c r="P113" s="22"/>
      <c r="Q113" s="23"/>
      <c r="R113" s="22"/>
      <c r="S113" s="37"/>
      <c r="T113" s="22"/>
      <c r="U113" s="37"/>
      <c r="V113" s="16"/>
      <c r="W113" s="22"/>
      <c r="X113" s="23"/>
      <c r="Y113" s="22"/>
    </row>
    <row r="114" spans="1:25" x14ac:dyDescent="0.2">
      <c r="A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P114" s="22"/>
      <c r="Q114" s="23"/>
      <c r="R114" s="22"/>
      <c r="S114" s="37"/>
      <c r="T114" s="22"/>
      <c r="U114" s="37"/>
      <c r="V114" s="16"/>
      <c r="W114" s="22"/>
      <c r="X114" s="23"/>
      <c r="Y114" s="22"/>
    </row>
    <row r="115" spans="1:25" x14ac:dyDescent="0.2">
      <c r="A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P115" s="22"/>
      <c r="Q115" s="23"/>
      <c r="R115" s="22"/>
      <c r="S115" s="37"/>
      <c r="T115" s="23"/>
      <c r="U115" s="51"/>
      <c r="V115" s="16"/>
      <c r="W115" s="22"/>
      <c r="X115" s="23"/>
      <c r="Y115" s="22"/>
    </row>
    <row r="116" spans="1:25" x14ac:dyDescent="0.2">
      <c r="A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22"/>
      <c r="P116" s="22"/>
      <c r="Q116" s="23"/>
      <c r="R116" s="22"/>
      <c r="S116" s="37"/>
      <c r="T116" s="23"/>
      <c r="U116" s="16"/>
      <c r="V116" s="16"/>
      <c r="W116" s="22"/>
      <c r="X116" s="23"/>
      <c r="Y116" s="22"/>
    </row>
    <row r="117" spans="1:25" x14ac:dyDescent="0.2">
      <c r="A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P117" s="22"/>
      <c r="Q117" s="23"/>
      <c r="R117" s="22"/>
      <c r="S117" s="37"/>
      <c r="T117" s="23"/>
      <c r="U117" s="16"/>
      <c r="V117" s="16"/>
      <c r="W117" s="22"/>
      <c r="X117" s="23"/>
      <c r="Y117" s="22"/>
    </row>
    <row r="118" spans="1:25" x14ac:dyDescent="0.2">
      <c r="A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P118" s="22"/>
      <c r="Q118" s="23"/>
      <c r="R118" s="22"/>
      <c r="S118" s="37"/>
      <c r="T118" s="23"/>
      <c r="U118" s="16"/>
      <c r="V118" s="16"/>
      <c r="W118" s="22"/>
      <c r="X118" s="23"/>
      <c r="Y118" s="22"/>
    </row>
    <row r="119" spans="1:25" x14ac:dyDescent="0.2">
      <c r="A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22"/>
      <c r="Q119" s="23"/>
      <c r="R119" s="22"/>
      <c r="S119" s="52"/>
      <c r="T119" s="23"/>
      <c r="U119" s="16"/>
      <c r="V119" s="16"/>
      <c r="W119" s="22"/>
      <c r="X119" s="23"/>
      <c r="Y119" s="22"/>
    </row>
    <row r="120" spans="1:25" x14ac:dyDescent="0.2">
      <c r="A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P120" s="22"/>
      <c r="Q120" s="23"/>
      <c r="R120" s="22"/>
      <c r="S120" s="52"/>
      <c r="T120" s="23"/>
      <c r="U120" s="16"/>
      <c r="V120" s="16"/>
      <c r="W120" s="22"/>
      <c r="X120" s="23"/>
      <c r="Y120" s="22"/>
    </row>
    <row r="121" spans="1:25" x14ac:dyDescent="0.2">
      <c r="A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P121" s="22"/>
      <c r="Q121" s="23"/>
      <c r="R121" s="22"/>
      <c r="S121" s="52"/>
      <c r="T121" s="16"/>
      <c r="U121" s="16"/>
      <c r="V121" s="16"/>
      <c r="W121" s="16"/>
      <c r="X121" s="23"/>
      <c r="Y121" s="22"/>
    </row>
    <row r="122" spans="1:25" x14ac:dyDescent="0.2">
      <c r="A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22"/>
      <c r="Q122" s="23"/>
      <c r="R122" s="22"/>
      <c r="S122" s="52"/>
      <c r="T122" s="16"/>
      <c r="U122" s="16"/>
      <c r="V122" s="16"/>
      <c r="W122" s="16"/>
      <c r="X122" s="23"/>
      <c r="Y122" s="22"/>
    </row>
    <row r="123" spans="1:25" x14ac:dyDescent="0.2">
      <c r="A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P123" s="76"/>
      <c r="Q123" s="78"/>
      <c r="R123" s="22"/>
      <c r="S123" s="52"/>
      <c r="T123" s="16"/>
      <c r="U123" s="16"/>
      <c r="V123" s="16"/>
      <c r="W123" s="16"/>
      <c r="X123" s="23"/>
      <c r="Y123" s="22"/>
    </row>
    <row r="124" spans="1:25" x14ac:dyDescent="0.2">
      <c r="A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P124" s="44"/>
      <c r="Q124" s="23"/>
      <c r="R124" s="22"/>
      <c r="S124" s="37"/>
      <c r="T124" s="22"/>
      <c r="U124" s="16"/>
      <c r="V124" s="51"/>
      <c r="W124" s="22"/>
      <c r="X124" s="23"/>
      <c r="Y124" s="22"/>
    </row>
    <row r="125" spans="1:25" x14ac:dyDescent="0.2">
      <c r="A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44"/>
      <c r="Q125" s="78"/>
      <c r="R125" s="22"/>
      <c r="S125" s="37"/>
      <c r="T125" s="48"/>
      <c r="U125" s="16"/>
      <c r="V125" s="51"/>
      <c r="W125" s="22"/>
      <c r="X125" s="23"/>
      <c r="Y125" s="22"/>
    </row>
    <row r="126" spans="1:25" x14ac:dyDescent="0.2">
      <c r="A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P126" s="22"/>
      <c r="Q126" s="23"/>
      <c r="R126" s="22"/>
      <c r="S126" s="37"/>
      <c r="T126" s="23"/>
      <c r="U126" s="16"/>
      <c r="V126" s="16"/>
      <c r="W126" s="22"/>
      <c r="X126" s="23"/>
      <c r="Y126" s="22"/>
    </row>
    <row r="127" spans="1:25" x14ac:dyDescent="0.2">
      <c r="A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P127" s="22"/>
      <c r="Q127" s="78"/>
      <c r="R127" s="22"/>
      <c r="S127" s="37"/>
      <c r="T127" s="23"/>
      <c r="U127" s="16"/>
      <c r="V127" s="16"/>
      <c r="W127" s="22"/>
      <c r="X127" s="23"/>
      <c r="Y127" s="22"/>
    </row>
    <row r="128" spans="1:25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22"/>
      <c r="Q128" s="23"/>
      <c r="R128" s="22"/>
      <c r="S128" s="37"/>
      <c r="T128" s="23"/>
      <c r="U128" s="16"/>
      <c r="V128" s="16"/>
      <c r="W128" s="22"/>
      <c r="X128" s="23"/>
      <c r="Y128" s="22"/>
    </row>
    <row r="129" spans="1:25" x14ac:dyDescent="0.2">
      <c r="A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P129" s="22"/>
      <c r="Q129" s="78"/>
      <c r="R129" s="22"/>
      <c r="S129" s="37"/>
      <c r="T129" s="22"/>
      <c r="U129" s="16"/>
      <c r="V129" s="16"/>
      <c r="W129" s="22"/>
      <c r="X129" s="23"/>
      <c r="Y129" s="22"/>
    </row>
    <row r="130" spans="1:25" x14ac:dyDescent="0.2">
      <c r="A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P130" s="16"/>
      <c r="Q130" s="23"/>
      <c r="R130" s="22"/>
      <c r="S130" s="37"/>
      <c r="T130" s="23"/>
      <c r="U130" s="16"/>
      <c r="V130" s="16"/>
      <c r="W130" s="22"/>
      <c r="X130" s="23"/>
      <c r="Y130" s="22"/>
    </row>
    <row r="131" spans="1:25" x14ac:dyDescent="0.2">
      <c r="A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76"/>
      <c r="P131" s="16"/>
      <c r="Q131" s="23"/>
      <c r="R131" s="22"/>
      <c r="S131" s="37"/>
      <c r="T131" s="23"/>
      <c r="U131" s="16"/>
      <c r="V131" s="16"/>
      <c r="W131" s="22"/>
      <c r="X131" s="23"/>
      <c r="Y131" s="22"/>
    </row>
    <row r="132" spans="1:25" x14ac:dyDescent="0.2">
      <c r="A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P132" s="76"/>
      <c r="Q132" s="23"/>
      <c r="R132" s="22"/>
      <c r="S132" s="52"/>
      <c r="T132" s="23"/>
      <c r="U132" s="16"/>
      <c r="V132" s="16"/>
      <c r="W132" s="22"/>
      <c r="X132" s="23"/>
      <c r="Y132" s="22"/>
    </row>
    <row r="133" spans="1:25" x14ac:dyDescent="0.2">
      <c r="A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P133" s="44"/>
      <c r="Q133" s="79"/>
      <c r="R133" s="22"/>
      <c r="S133" s="37"/>
      <c r="T133" s="23"/>
      <c r="U133" s="16"/>
      <c r="V133" s="16"/>
      <c r="W133" s="22"/>
      <c r="X133" s="23"/>
      <c r="Y133" s="22"/>
    </row>
    <row r="134" spans="1:25" x14ac:dyDescent="0.2">
      <c r="A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37"/>
      <c r="P134" s="37"/>
      <c r="Q134" s="16"/>
      <c r="R134" s="38"/>
      <c r="S134" s="37"/>
      <c r="T134" s="48"/>
      <c r="U134" s="16"/>
      <c r="V134" s="16"/>
      <c r="W134" s="22"/>
      <c r="X134" s="23"/>
      <c r="Y134" s="22"/>
    </row>
    <row r="135" spans="1:25" x14ac:dyDescent="0.2">
      <c r="A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P135" s="22"/>
      <c r="Q135" s="23"/>
      <c r="R135" s="22"/>
      <c r="S135" s="44"/>
      <c r="T135" s="23"/>
      <c r="U135" s="16"/>
      <c r="V135" s="16"/>
      <c r="W135" s="22"/>
      <c r="X135" s="23"/>
      <c r="Y135" s="22"/>
    </row>
    <row r="136" spans="1:25" x14ac:dyDescent="0.2">
      <c r="A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P136" s="22"/>
      <c r="Q136" s="23"/>
      <c r="R136" s="22"/>
      <c r="S136" s="22"/>
      <c r="T136" s="23"/>
      <c r="U136" s="16"/>
      <c r="V136" s="16"/>
      <c r="W136" s="22"/>
      <c r="X136" s="23"/>
      <c r="Y136" s="22"/>
    </row>
    <row r="137" spans="1:25" x14ac:dyDescent="0.2">
      <c r="A137" s="16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22"/>
      <c r="P137" s="22"/>
      <c r="Q137" s="23"/>
      <c r="R137" s="22"/>
      <c r="S137" s="16"/>
      <c r="T137" s="23"/>
      <c r="U137" s="16"/>
      <c r="V137" s="16"/>
      <c r="W137" s="22"/>
      <c r="X137" s="23"/>
      <c r="Y137" s="22"/>
    </row>
    <row r="138" spans="1:25" x14ac:dyDescent="0.2">
      <c r="A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P138" s="22"/>
      <c r="Q138" s="55"/>
      <c r="R138" s="22"/>
      <c r="S138" s="16"/>
      <c r="T138" s="48"/>
      <c r="U138" s="16"/>
      <c r="V138" s="16"/>
      <c r="W138" s="22"/>
      <c r="X138" s="23"/>
      <c r="Y138" s="22"/>
    </row>
    <row r="139" spans="1:25" x14ac:dyDescent="0.2">
      <c r="A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P139" s="22"/>
      <c r="Q139" s="48"/>
      <c r="R139" s="16"/>
      <c r="S139" s="37"/>
      <c r="T139" s="48"/>
      <c r="U139" s="16"/>
      <c r="V139" s="16"/>
      <c r="W139" s="22"/>
      <c r="X139" s="23"/>
      <c r="Y139" s="22"/>
    </row>
    <row r="140" spans="1:25" x14ac:dyDescent="0.2">
      <c r="A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22"/>
      <c r="P140" s="22"/>
      <c r="Q140" s="79"/>
      <c r="R140" s="37"/>
      <c r="S140" s="37"/>
      <c r="T140" s="63"/>
      <c r="U140" s="16"/>
      <c r="V140" s="16"/>
      <c r="W140" s="22"/>
      <c r="X140" s="23"/>
      <c r="Y140" s="22"/>
    </row>
    <row r="141" spans="1:25" x14ac:dyDescent="0.2">
      <c r="A141" s="16"/>
    </row>
    <row r="142" spans="1:25" x14ac:dyDescent="0.2">
      <c r="A142" s="16"/>
    </row>
    <row r="143" spans="1:25" x14ac:dyDescent="0.2">
      <c r="A143" s="16"/>
    </row>
    <row r="144" spans="1:25" x14ac:dyDescent="0.2">
      <c r="A144" s="16"/>
    </row>
    <row r="145" spans="1:25" x14ac:dyDescent="0.2">
      <c r="A145" s="16"/>
    </row>
    <row r="146" spans="1:25" x14ac:dyDescent="0.2">
      <c r="A146" s="16"/>
    </row>
    <row r="147" spans="1:25" x14ac:dyDescent="0.2">
      <c r="A147" s="16"/>
    </row>
    <row r="148" spans="1:25" x14ac:dyDescent="0.2">
      <c r="A148" s="16"/>
    </row>
    <row r="149" spans="1:25" x14ac:dyDescent="0.2">
      <c r="A149" s="16"/>
    </row>
    <row r="150" spans="1:25" x14ac:dyDescent="0.2">
      <c r="A150" s="16"/>
    </row>
    <row r="151" spans="1:25" x14ac:dyDescent="0.2">
      <c r="A151" s="16"/>
    </row>
    <row r="152" spans="1:25" x14ac:dyDescent="0.2">
      <c r="A152" s="16"/>
    </row>
    <row r="153" spans="1:25" x14ac:dyDescent="0.2">
      <c r="A153" s="16"/>
    </row>
    <row r="154" spans="1:25" x14ac:dyDescent="0.2">
      <c r="A154" s="16"/>
    </row>
    <row r="155" spans="1:25" x14ac:dyDescent="0.2">
      <c r="A155" s="16"/>
    </row>
    <row r="156" spans="1:25" x14ac:dyDescent="0.2">
      <c r="A156" s="16"/>
    </row>
    <row r="157" spans="1:25" x14ac:dyDescent="0.2">
      <c r="A157" s="16"/>
    </row>
    <row r="158" spans="1:25" x14ac:dyDescent="0.2">
      <c r="A158" s="16"/>
    </row>
    <row r="159" spans="1:25" x14ac:dyDescent="0.2">
      <c r="A159" s="16"/>
    </row>
    <row r="160" spans="1:25" x14ac:dyDescent="0.2">
      <c r="A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P160" s="22"/>
      <c r="Q160" s="23"/>
      <c r="R160" s="22"/>
      <c r="S160" s="37"/>
      <c r="T160" s="23"/>
      <c r="U160" s="16"/>
      <c r="V160" s="16"/>
      <c r="W160" s="22"/>
      <c r="X160" s="23"/>
      <c r="Y160" s="22"/>
    </row>
    <row r="161" spans="1:25" x14ac:dyDescent="0.2">
      <c r="A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P161" s="22"/>
      <c r="Q161" s="23"/>
      <c r="R161" s="22"/>
      <c r="S161" s="37"/>
      <c r="T161" s="23"/>
      <c r="U161" s="16"/>
      <c r="V161" s="16"/>
      <c r="W161" s="22"/>
      <c r="X161" s="23"/>
      <c r="Y161" s="22"/>
    </row>
    <row r="162" spans="1:25" x14ac:dyDescent="0.2">
      <c r="A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22"/>
      <c r="P162" s="22"/>
      <c r="Q162" s="23"/>
      <c r="R162" s="22"/>
      <c r="S162" s="37"/>
      <c r="T162" s="23"/>
      <c r="U162" s="16"/>
      <c r="V162" s="16"/>
      <c r="W162" s="22"/>
      <c r="X162" s="23"/>
      <c r="Y162" s="22"/>
    </row>
    <row r="163" spans="1:25" x14ac:dyDescent="0.2">
      <c r="A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P163" s="22"/>
      <c r="Q163" s="23"/>
      <c r="R163" s="22"/>
      <c r="S163" s="37"/>
      <c r="T163" s="23"/>
      <c r="U163" s="16"/>
      <c r="V163" s="16"/>
      <c r="W163" s="22"/>
      <c r="X163" s="23"/>
      <c r="Y163" s="22"/>
    </row>
    <row r="164" spans="1:25" x14ac:dyDescent="0.2">
      <c r="A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P164" s="22"/>
      <c r="Q164" s="23"/>
      <c r="R164" s="22"/>
      <c r="S164" s="37"/>
      <c r="T164" s="23"/>
      <c r="U164" s="16"/>
      <c r="V164" s="16"/>
      <c r="W164" s="22"/>
      <c r="X164" s="23"/>
      <c r="Y164" s="22"/>
    </row>
    <row r="165" spans="1:25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22"/>
      <c r="P165" s="22"/>
      <c r="Q165" s="23"/>
      <c r="R165" s="22"/>
      <c r="S165" s="37"/>
      <c r="T165" s="23"/>
      <c r="U165" s="16"/>
      <c r="V165" s="16"/>
      <c r="W165" s="22"/>
      <c r="X165" s="23"/>
      <c r="Y165" s="22"/>
    </row>
    <row r="166" spans="1:25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22"/>
      <c r="Q166" s="23"/>
      <c r="R166" s="22"/>
      <c r="S166" s="37"/>
      <c r="T166" s="23"/>
      <c r="U166" s="16"/>
      <c r="V166" s="16"/>
      <c r="W166" s="22"/>
      <c r="X166" s="23"/>
      <c r="Y166" s="22"/>
    </row>
    <row r="167" spans="1:25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22"/>
      <c r="P167" s="22"/>
      <c r="Q167" s="23"/>
      <c r="R167" s="22"/>
      <c r="S167" s="37"/>
      <c r="T167" s="23"/>
      <c r="U167" s="16"/>
      <c r="V167" s="16"/>
      <c r="W167" s="22"/>
      <c r="X167" s="23"/>
      <c r="Y167" s="22"/>
    </row>
    <row r="168" spans="1:25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22"/>
      <c r="P168" s="22"/>
      <c r="Q168" s="23"/>
      <c r="R168" s="22"/>
      <c r="S168" s="37"/>
      <c r="T168" s="22"/>
      <c r="U168" s="37"/>
      <c r="V168" s="16"/>
      <c r="W168" s="22"/>
      <c r="X168" s="23"/>
      <c r="Y168" s="22"/>
    </row>
    <row r="169" spans="1:25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22"/>
      <c r="P169" s="22"/>
      <c r="Q169" s="78"/>
      <c r="R169" s="22"/>
      <c r="S169" s="37"/>
      <c r="T169" s="22"/>
      <c r="U169" s="37"/>
      <c r="V169" s="16"/>
      <c r="W169" s="22"/>
      <c r="X169" s="23"/>
      <c r="Y169" s="22"/>
    </row>
    <row r="170" spans="1:25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22"/>
      <c r="P170" s="22"/>
      <c r="Q170" s="23"/>
      <c r="R170" s="22"/>
      <c r="S170" s="37"/>
      <c r="T170" s="23"/>
      <c r="U170" s="16"/>
      <c r="V170" s="16"/>
      <c r="W170" s="22"/>
      <c r="X170" s="23"/>
      <c r="Y170" s="22"/>
    </row>
    <row r="171" spans="1:25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22"/>
      <c r="P171" s="22"/>
      <c r="Q171" s="78"/>
      <c r="R171" s="22"/>
      <c r="S171" s="37"/>
      <c r="T171" s="23"/>
      <c r="U171" s="16"/>
      <c r="V171" s="16"/>
      <c r="W171" s="22"/>
      <c r="X171" s="23"/>
      <c r="Y171" s="22"/>
    </row>
    <row r="172" spans="1:25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22"/>
      <c r="P172" s="22"/>
      <c r="Q172" s="23"/>
      <c r="R172" s="22"/>
      <c r="S172" s="37"/>
      <c r="T172" s="23"/>
      <c r="U172" s="16"/>
      <c r="V172" s="16"/>
      <c r="W172" s="22"/>
      <c r="X172" s="23"/>
      <c r="Y172" s="22"/>
    </row>
    <row r="173" spans="1:25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22"/>
      <c r="P173" s="22"/>
      <c r="Q173" s="78"/>
      <c r="R173" s="22"/>
      <c r="S173" s="37"/>
      <c r="T173" s="23"/>
      <c r="U173" s="16"/>
      <c r="V173" s="16"/>
      <c r="W173" s="22"/>
      <c r="X173" s="23"/>
      <c r="Y173" s="22"/>
    </row>
    <row r="174" spans="1:25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22"/>
      <c r="P174" s="22"/>
      <c r="Q174" s="23"/>
      <c r="R174" s="22"/>
      <c r="S174" s="37"/>
      <c r="T174" s="23"/>
      <c r="U174" s="16"/>
      <c r="V174" s="16"/>
      <c r="W174" s="22"/>
      <c r="X174" s="23"/>
      <c r="Y174" s="22"/>
    </row>
    <row r="175" spans="1:25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22"/>
      <c r="P175" s="22"/>
      <c r="Q175" s="23"/>
      <c r="R175" s="22"/>
      <c r="S175" s="37"/>
      <c r="T175" s="23"/>
      <c r="U175" s="16"/>
      <c r="V175" s="16"/>
      <c r="W175" s="22"/>
      <c r="X175" s="23"/>
      <c r="Y175" s="22"/>
    </row>
    <row r="176" spans="1:25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22"/>
      <c r="P176" s="22"/>
      <c r="Q176" s="23"/>
      <c r="R176" s="22"/>
      <c r="S176" s="37"/>
      <c r="T176" s="23"/>
      <c r="U176" s="16"/>
      <c r="V176" s="16"/>
      <c r="W176" s="22"/>
      <c r="X176" s="23"/>
      <c r="Y176" s="21"/>
    </row>
    <row r="177" spans="1:26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22"/>
      <c r="P177" s="22"/>
      <c r="Q177" s="79"/>
      <c r="R177" s="22"/>
      <c r="S177" s="37"/>
      <c r="T177" s="23"/>
      <c r="U177" s="16"/>
      <c r="V177" s="16"/>
      <c r="W177" s="22"/>
      <c r="X177" s="23"/>
      <c r="Y177" s="22"/>
    </row>
    <row r="178" spans="1:26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37"/>
      <c r="P178" s="37"/>
      <c r="Q178" s="16"/>
      <c r="R178" s="38"/>
      <c r="S178" s="37"/>
      <c r="T178" s="23"/>
      <c r="U178" s="16"/>
      <c r="V178" s="16"/>
      <c r="W178" s="22"/>
      <c r="X178" s="23"/>
      <c r="Y178" s="16"/>
    </row>
    <row r="179" spans="1:26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22"/>
      <c r="P179" s="22"/>
      <c r="Q179" s="55"/>
      <c r="R179" s="22"/>
      <c r="S179" s="16"/>
      <c r="T179" s="23"/>
      <c r="U179" s="16"/>
      <c r="V179" s="16"/>
      <c r="W179" s="22"/>
      <c r="X179" s="24"/>
      <c r="Y179" s="15"/>
    </row>
    <row r="180" spans="1:26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37"/>
      <c r="Q180" s="16"/>
      <c r="R180" s="16"/>
      <c r="S180" s="16"/>
      <c r="T180" s="23"/>
      <c r="U180" s="16"/>
      <c r="V180" s="16"/>
      <c r="W180" s="22"/>
      <c r="X180" s="23"/>
      <c r="Y180" s="15"/>
    </row>
    <row r="181" spans="1:26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22"/>
      <c r="P181" s="22"/>
      <c r="Q181" s="23"/>
      <c r="R181" s="22"/>
      <c r="S181" s="16"/>
      <c r="T181" s="23"/>
      <c r="U181" s="16"/>
      <c r="V181" s="16"/>
      <c r="W181" s="22"/>
      <c r="X181" s="16"/>
    </row>
    <row r="182" spans="1:26" x14ac:dyDescent="0.2">
      <c r="A182" s="16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22"/>
      <c r="P182" s="22"/>
      <c r="Q182" s="23"/>
      <c r="R182" s="21"/>
      <c r="S182" s="22"/>
      <c r="T182" s="23"/>
      <c r="U182" s="16"/>
      <c r="V182" s="16"/>
      <c r="W182" s="22"/>
      <c r="X182" s="16"/>
    </row>
    <row r="183" spans="1:26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22"/>
      <c r="P183" s="22"/>
      <c r="Q183" s="23"/>
      <c r="R183" s="22"/>
      <c r="S183" s="16"/>
      <c r="T183" s="23"/>
      <c r="U183" s="16"/>
      <c r="V183" s="16"/>
      <c r="W183" s="22"/>
      <c r="X183" s="15"/>
    </row>
    <row r="184" spans="1:26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22"/>
      <c r="P184" s="23"/>
      <c r="Q184" s="16"/>
      <c r="R184" s="22"/>
      <c r="S184" s="63"/>
      <c r="T184" s="23"/>
      <c r="U184" s="16"/>
      <c r="V184" s="16"/>
      <c r="W184" s="22"/>
      <c r="X184" s="16"/>
    </row>
    <row r="185" spans="1:26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22"/>
      <c r="P185" s="22"/>
      <c r="Q185" s="23"/>
      <c r="R185" s="22"/>
      <c r="S185" s="16"/>
      <c r="T185" s="23"/>
      <c r="U185" s="16"/>
      <c r="V185" s="16"/>
      <c r="W185" s="22"/>
      <c r="X185" s="16"/>
    </row>
    <row r="186" spans="1:26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80"/>
      <c r="P186" s="22"/>
      <c r="Q186" s="48"/>
      <c r="R186" s="22"/>
      <c r="S186" s="16"/>
      <c r="T186" s="23"/>
      <c r="U186" s="16"/>
      <c r="V186" s="16"/>
      <c r="W186" s="22"/>
      <c r="X186" s="16"/>
    </row>
    <row r="187" spans="1:26" x14ac:dyDescent="0.2">
      <c r="A187" s="16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22"/>
      <c r="P187" s="16"/>
      <c r="Q187" s="16"/>
      <c r="R187" s="22"/>
      <c r="S187" s="16"/>
      <c r="T187" s="23"/>
      <c r="U187" s="16"/>
      <c r="V187" s="16"/>
      <c r="W187" s="22"/>
      <c r="X187" s="16"/>
    </row>
    <row r="188" spans="1:26" x14ac:dyDescent="0.2">
      <c r="A188" s="16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22"/>
      <c r="P188" s="22"/>
      <c r="Q188" s="16"/>
      <c r="R188" s="22"/>
      <c r="S188" s="16"/>
      <c r="T188" s="23"/>
      <c r="U188" s="16"/>
      <c r="V188" s="16"/>
      <c r="W188" s="22"/>
      <c r="X188" s="16"/>
    </row>
    <row r="189" spans="1:26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22"/>
      <c r="P189" s="22"/>
      <c r="Q189" s="23"/>
      <c r="R189" s="22"/>
      <c r="S189" s="22"/>
      <c r="T189" s="23"/>
      <c r="U189" s="16"/>
      <c r="V189" s="16"/>
      <c r="W189" s="22"/>
      <c r="X189" s="16"/>
    </row>
    <row r="190" spans="1:26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22"/>
      <c r="P190" s="16"/>
      <c r="Q190" s="16"/>
      <c r="R190" s="16"/>
      <c r="S190" s="22"/>
      <c r="T190" s="23"/>
      <c r="U190" s="16"/>
      <c r="V190" s="16"/>
      <c r="W190" s="22"/>
      <c r="X190" s="16"/>
      <c r="Z190" s="26"/>
    </row>
    <row r="191" spans="1:26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22"/>
      <c r="P191" s="16"/>
      <c r="Q191" s="16"/>
      <c r="R191" s="37"/>
      <c r="S191" s="22"/>
      <c r="T191" s="62"/>
      <c r="U191" s="16"/>
      <c r="V191" s="16"/>
      <c r="W191" s="22"/>
      <c r="X191" s="16"/>
      <c r="Z191" s="26"/>
    </row>
    <row r="192" spans="1:26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22"/>
      <c r="P192" s="22"/>
      <c r="Q192" s="27"/>
      <c r="R192" s="22"/>
      <c r="S192" s="16"/>
      <c r="T192" s="23"/>
      <c r="U192" s="16"/>
      <c r="V192" s="16"/>
      <c r="W192" s="22"/>
      <c r="X192" s="16"/>
      <c r="Z192" s="26"/>
    </row>
    <row r="193" spans="1:2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37"/>
      <c r="P193" s="30"/>
      <c r="Q193" s="53"/>
      <c r="R193" s="30"/>
      <c r="S193" s="16"/>
      <c r="T193" s="23"/>
      <c r="U193" s="16"/>
      <c r="V193" s="16"/>
      <c r="W193" s="22"/>
      <c r="X193" s="16"/>
    </row>
    <row r="194" spans="1:2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37"/>
      <c r="P194" s="37"/>
      <c r="Q194" s="16"/>
      <c r="R194" s="30"/>
      <c r="S194" s="61"/>
      <c r="T194" s="23"/>
      <c r="U194" s="16"/>
      <c r="V194" s="16"/>
      <c r="W194" s="22"/>
      <c r="X194" s="16"/>
    </row>
    <row r="195" spans="1:2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22"/>
      <c r="Q195" s="16"/>
      <c r="R195" s="30"/>
      <c r="S195" s="16"/>
      <c r="T195" s="23"/>
      <c r="U195" s="16"/>
      <c r="V195" s="16"/>
      <c r="W195" s="22"/>
      <c r="X195" s="16"/>
    </row>
    <row r="196" spans="1:2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22"/>
      <c r="P196" s="22"/>
      <c r="Q196" s="16"/>
      <c r="R196" s="30"/>
      <c r="S196" s="16"/>
      <c r="T196" s="23"/>
      <c r="U196" s="16"/>
      <c r="V196" s="16"/>
      <c r="W196" s="22"/>
      <c r="X196" s="16"/>
    </row>
    <row r="197" spans="1:2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22"/>
      <c r="P197" s="22"/>
      <c r="Q197" s="16"/>
      <c r="R197" s="30"/>
      <c r="S197" s="37"/>
      <c r="T197" s="23"/>
      <c r="U197" s="16"/>
      <c r="V197" s="16"/>
      <c r="W197" s="22"/>
      <c r="X197" s="16"/>
    </row>
    <row r="198" spans="1:24" x14ac:dyDescent="0.2">
      <c r="A198" s="16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22"/>
      <c r="P198" s="22"/>
      <c r="Q198" s="55"/>
      <c r="R198" s="21"/>
      <c r="S198" s="16"/>
      <c r="T198" s="23"/>
      <c r="U198" s="16"/>
      <c r="V198" s="16"/>
      <c r="W198" s="22"/>
      <c r="X198" s="16"/>
    </row>
    <row r="199" spans="1:2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22"/>
      <c r="P199" s="22"/>
      <c r="Q199" s="55"/>
      <c r="R199" s="21"/>
      <c r="S199" s="37"/>
      <c r="T199" s="23"/>
      <c r="U199" s="16"/>
      <c r="V199" s="16"/>
      <c r="W199" s="22"/>
      <c r="X199" s="16"/>
    </row>
    <row r="200" spans="1:2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22"/>
      <c r="P200" s="22"/>
      <c r="Q200" s="56"/>
      <c r="R200" s="22"/>
      <c r="S200" s="16"/>
      <c r="T200" s="23"/>
      <c r="U200" s="16"/>
      <c r="V200" s="16"/>
      <c r="W200" s="22"/>
      <c r="X200" s="16"/>
    </row>
    <row r="201" spans="1:2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22"/>
      <c r="Q201" s="16"/>
      <c r="R201" s="22"/>
      <c r="S201" s="16"/>
      <c r="T201" s="23"/>
      <c r="U201" s="16"/>
      <c r="V201" s="16"/>
      <c r="W201" s="22"/>
      <c r="X201" s="16"/>
    </row>
    <row r="202" spans="1:2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22"/>
      <c r="Q202" s="16"/>
      <c r="R202" s="22"/>
      <c r="S202" s="16"/>
      <c r="T202" s="23"/>
      <c r="U202" s="16"/>
      <c r="V202" s="16"/>
      <c r="W202" s="22"/>
      <c r="X202" s="16"/>
    </row>
    <row r="203" spans="1:2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22"/>
      <c r="Q203" s="16"/>
      <c r="R203" s="22"/>
      <c r="S203" s="16"/>
      <c r="T203" s="23"/>
      <c r="U203" s="16"/>
      <c r="V203" s="16"/>
      <c r="W203" s="22"/>
      <c r="X203" s="16"/>
    </row>
    <row r="204" spans="1:2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22"/>
      <c r="Q204" s="16"/>
      <c r="R204" s="22"/>
      <c r="S204" s="16"/>
      <c r="T204" s="23"/>
      <c r="U204" s="16"/>
      <c r="V204" s="16"/>
      <c r="W204" s="22"/>
      <c r="X204" s="16"/>
    </row>
    <row r="205" spans="1:2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22"/>
      <c r="Q205" s="16"/>
      <c r="R205" s="22"/>
      <c r="S205" s="16"/>
      <c r="T205" s="23"/>
      <c r="U205" s="16"/>
      <c r="V205" s="16"/>
      <c r="W205" s="22"/>
      <c r="X205" s="16"/>
    </row>
    <row r="206" spans="1:2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22"/>
      <c r="Q206" s="16"/>
      <c r="R206" s="22"/>
      <c r="S206" s="16"/>
      <c r="T206" s="23"/>
      <c r="U206" s="16"/>
      <c r="V206" s="16"/>
      <c r="W206" s="22"/>
      <c r="X206" s="16"/>
    </row>
    <row r="207" spans="1:2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22"/>
      <c r="Q207" s="16"/>
      <c r="R207" s="22"/>
      <c r="S207" s="16"/>
      <c r="T207" s="23"/>
      <c r="U207" s="16"/>
      <c r="V207" s="16"/>
      <c r="W207" s="22"/>
      <c r="X207" s="16"/>
    </row>
    <row r="208" spans="1:2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22"/>
      <c r="Q208" s="16"/>
      <c r="R208" s="22"/>
      <c r="S208" s="16"/>
      <c r="T208" s="23"/>
      <c r="U208" s="16"/>
      <c r="V208" s="16"/>
      <c r="W208" s="22"/>
      <c r="X208" s="16"/>
    </row>
    <row r="209" spans="1:2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22"/>
      <c r="Q209" s="16"/>
      <c r="R209" s="22"/>
      <c r="S209" s="16"/>
      <c r="T209" s="23"/>
      <c r="U209" s="16"/>
      <c r="V209" s="16"/>
      <c r="W209" s="22"/>
      <c r="X209" s="16"/>
    </row>
    <row r="210" spans="1:2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22"/>
      <c r="Q210" s="16"/>
      <c r="R210" s="22"/>
      <c r="S210" s="16"/>
      <c r="T210" s="23"/>
      <c r="U210" s="16"/>
      <c r="V210" s="16"/>
      <c r="W210" s="22"/>
      <c r="X210" s="16"/>
    </row>
    <row r="211" spans="1:2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37"/>
      <c r="P211" s="37"/>
      <c r="Q211" s="16"/>
      <c r="R211" s="38"/>
      <c r="S211" s="16"/>
      <c r="T211" s="23"/>
      <c r="U211" s="16"/>
      <c r="V211" s="16"/>
      <c r="W211" s="22"/>
      <c r="X211" s="16"/>
    </row>
    <row r="212" spans="1:2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</row>
    <row r="216" spans="1:2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</row>
    <row r="217" spans="1:2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</row>
    <row r="218" spans="1:2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</row>
    <row r="219" spans="1:2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</row>
    <row r="220" spans="1:2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</row>
    <row r="221" spans="1:2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</row>
    <row r="222" spans="1:2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</row>
    <row r="223" spans="1:2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</row>
    <row r="224" spans="1:2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</row>
    <row r="225" spans="1:18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</row>
    <row r="226" spans="1:18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</row>
    <row r="227" spans="1:18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</row>
    <row r="228" spans="1:18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</row>
    <row r="229" spans="1:18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</row>
    <row r="230" spans="1:18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</row>
    <row r="231" spans="1:18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</row>
    <row r="232" spans="1:18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</row>
    <row r="233" spans="1:18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</row>
    <row r="234" spans="1:18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</row>
    <row r="235" spans="1:18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</row>
    <row r="236" spans="1:18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</row>
    <row r="237" spans="1:18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</row>
    <row r="238" spans="1:18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</row>
    <row r="239" spans="1:18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</row>
    <row r="240" spans="1:18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</row>
    <row r="241" spans="1:18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</row>
    <row r="242" spans="1:18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</row>
    <row r="243" spans="1:18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</row>
    <row r="244" spans="1:18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</row>
    <row r="245" spans="1:18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</row>
    <row r="246" spans="1:18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</row>
    <row r="247" spans="1:18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</row>
    <row r="248" spans="1:18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</row>
    <row r="249" spans="1:18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</row>
    <row r="250" spans="1:18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</row>
    <row r="251" spans="1:18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</row>
    <row r="252" spans="1:18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</row>
    <row r="253" spans="1:18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</row>
    <row r="254" spans="1:18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</row>
    <row r="255" spans="1:18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</row>
    <row r="256" spans="1:18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</row>
    <row r="257" spans="1:18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</row>
    <row r="258" spans="1:18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</row>
    <row r="259" spans="1:18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</row>
    <row r="260" spans="1:18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</row>
    <row r="261" spans="1:18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</row>
    <row r="262" spans="1:18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</row>
    <row r="263" spans="1:18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</row>
    <row r="264" spans="1:18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</row>
    <row r="265" spans="1:18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</row>
    <row r="266" spans="1:18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</row>
    <row r="267" spans="1:18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</row>
    <row r="268" spans="1:18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</row>
    <row r="269" spans="1:18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</row>
    <row r="270" spans="1:18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</row>
    <row r="271" spans="1:18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</row>
    <row r="272" spans="1:18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</row>
    <row r="273" spans="1:18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</row>
    <row r="274" spans="1:18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</row>
    <row r="275" spans="1:18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</row>
    <row r="276" spans="1:18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</row>
    <row r="277" spans="1:18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</row>
    <row r="278" spans="1:18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</row>
    <row r="279" spans="1:18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</row>
    <row r="280" spans="1:18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</row>
    <row r="281" spans="1:18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</row>
    <row r="282" spans="1:18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</row>
    <row r="283" spans="1:18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</row>
    <row r="284" spans="1:18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</row>
    <row r="285" spans="1:18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</row>
    <row r="286" spans="1:18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</row>
    <row r="287" spans="1:18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</row>
    <row r="288" spans="1:18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</row>
    <row r="289" spans="1:18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</row>
    <row r="290" spans="1:18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</row>
    <row r="291" spans="1:18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</row>
    <row r="292" spans="1:18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</row>
    <row r="293" spans="1:18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</row>
    <row r="294" spans="1:18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</row>
    <row r="295" spans="1:18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</row>
    <row r="296" spans="1:18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</row>
    <row r="297" spans="1:18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</row>
    <row r="298" spans="1:18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</row>
    <row r="299" spans="1:18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</row>
    <row r="300" spans="1:18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</row>
    <row r="301" spans="1:18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</row>
    <row r="302" spans="1:18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</row>
    <row r="303" spans="1:18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</row>
    <row r="304" spans="1:18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</row>
    <row r="305" spans="1:18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</row>
    <row r="306" spans="1:18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</row>
    <row r="307" spans="1:18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</row>
    <row r="308" spans="1:18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</row>
    <row r="309" spans="1:18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</row>
    <row r="310" spans="1:18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</row>
    <row r="311" spans="1:18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</row>
    <row r="312" spans="1:18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</row>
    <row r="313" spans="1:18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</row>
    <row r="314" spans="1:18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</row>
    <row r="315" spans="1:18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</row>
    <row r="316" spans="1:18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</row>
    <row r="317" spans="1:18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</row>
    <row r="318" spans="1:18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</row>
    <row r="319" spans="1:18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</row>
    <row r="320" spans="1:18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</row>
    <row r="321" spans="1:18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</row>
    <row r="322" spans="1:18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</row>
    <row r="323" spans="1:18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</row>
    <row r="324" spans="1:18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</row>
    <row r="325" spans="1:18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</row>
    <row r="326" spans="1:18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</row>
    <row r="327" spans="1:18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</row>
    <row r="328" spans="1:18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</row>
    <row r="329" spans="1:18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</row>
    <row r="330" spans="1:18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</row>
    <row r="331" spans="1:18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</row>
    <row r="332" spans="1:18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</row>
    <row r="333" spans="1:18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</row>
    <row r="334" spans="1:18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</row>
    <row r="335" spans="1:18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</row>
    <row r="336" spans="1:18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</row>
    <row r="337" spans="1:18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</row>
    <row r="338" spans="1:18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</row>
    <row r="339" spans="1:18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</row>
    <row r="340" spans="1:18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</row>
    <row r="341" spans="1:18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</row>
    <row r="342" spans="1:18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</row>
    <row r="343" spans="1:18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</row>
    <row r="344" spans="1:18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</row>
    <row r="345" spans="1:18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</row>
    <row r="346" spans="1:18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</row>
    <row r="347" spans="1:18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</row>
    <row r="348" spans="1:18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</row>
    <row r="349" spans="1:18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</row>
    <row r="350" spans="1:18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</row>
    <row r="351" spans="1:18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</row>
    <row r="352" spans="1:18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</row>
    <row r="353" spans="1:18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</row>
    <row r="354" spans="1:18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</row>
    <row r="355" spans="1:18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</row>
    <row r="356" spans="1:18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</row>
    <row r="357" spans="1:18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</row>
    <row r="358" spans="1:18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</row>
    <row r="359" spans="1:18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</row>
    <row r="360" spans="1:18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</row>
    <row r="361" spans="1:18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</row>
    <row r="362" spans="1:18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</row>
    <row r="363" spans="1:18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</row>
    <row r="364" spans="1:18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</row>
    <row r="365" spans="1:18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</row>
    <row r="366" spans="1:18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</row>
    <row r="367" spans="1:18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</row>
    <row r="368" spans="1:18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</row>
    <row r="369" spans="1:18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</row>
    <row r="370" spans="1:18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</row>
    <row r="371" spans="1:18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</row>
    <row r="372" spans="1:18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</row>
    <row r="373" spans="1:18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</row>
    <row r="374" spans="1:18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</row>
    <row r="375" spans="1:18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</row>
    <row r="376" spans="1:18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</row>
    <row r="377" spans="1:18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</row>
    <row r="378" spans="1:18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</row>
    <row r="379" spans="1:18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</row>
    <row r="380" spans="1:18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</row>
    <row r="381" spans="1:18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</row>
    <row r="382" spans="1:18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</row>
    <row r="383" spans="1:18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</row>
    <row r="384" spans="1:18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</row>
    <row r="385" spans="1:18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</row>
    <row r="386" spans="1:18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</row>
    <row r="387" spans="1:18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</row>
    <row r="388" spans="1:18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</row>
    <row r="389" spans="1:18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</row>
    <row r="390" spans="1:18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</row>
    <row r="391" spans="1:18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</row>
    <row r="392" spans="1:18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</row>
    <row r="393" spans="1:18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</row>
    <row r="394" spans="1:18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</row>
    <row r="395" spans="1:18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</row>
    <row r="396" spans="1:18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</row>
    <row r="397" spans="1:18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</row>
    <row r="398" spans="1:18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</row>
    <row r="399" spans="1:18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</row>
    <row r="400" spans="1:18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</row>
    <row r="401" spans="1:18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</row>
    <row r="402" spans="1:18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</row>
    <row r="403" spans="1:18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</row>
    <row r="404" spans="1:18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</row>
    <row r="405" spans="1:18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</row>
    <row r="406" spans="1:18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</row>
    <row r="407" spans="1:18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</row>
    <row r="408" spans="1:18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</row>
    <row r="409" spans="1:18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</row>
    <row r="410" spans="1:18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</row>
    <row r="411" spans="1:18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</row>
    <row r="412" spans="1:18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</row>
    <row r="413" spans="1:18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</row>
    <row r="414" spans="1:18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</row>
    <row r="415" spans="1:18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</row>
    <row r="416" spans="1:18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</row>
    <row r="417" spans="1:18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</row>
    <row r="418" spans="1:18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</row>
    <row r="419" spans="1:18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</row>
    <row r="420" spans="1:18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</row>
    <row r="421" spans="1:18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</row>
    <row r="422" spans="1:18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</row>
    <row r="423" spans="1:18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</row>
    <row r="424" spans="1:18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</row>
    <row r="425" spans="1:18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</row>
    <row r="426" spans="1:18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</row>
    <row r="427" spans="1:18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</row>
    <row r="428" spans="1:18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</row>
    <row r="429" spans="1:18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</row>
    <row r="430" spans="1:18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</row>
    <row r="431" spans="1:18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</row>
    <row r="432" spans="1:18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</row>
    <row r="433" spans="1:18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</row>
    <row r="434" spans="1:18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</row>
    <row r="435" spans="1:18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</row>
    <row r="436" spans="1:18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</row>
    <row r="437" spans="1:18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</row>
    <row r="438" spans="1:18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</row>
    <row r="439" spans="1:18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</row>
    <row r="440" spans="1:18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</row>
    <row r="441" spans="1:18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</row>
    <row r="442" spans="1:18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</row>
    <row r="443" spans="1:18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</row>
    <row r="444" spans="1:18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</row>
    <row r="445" spans="1:18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</row>
    <row r="446" spans="1:18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</row>
    <row r="447" spans="1:18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</row>
    <row r="448" spans="1:18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</row>
    <row r="449" spans="1:18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</row>
    <row r="450" spans="1:18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</row>
    <row r="451" spans="1:18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</row>
    <row r="452" spans="1:18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</row>
    <row r="453" spans="1:18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</row>
    <row r="454" spans="1:18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</row>
    <row r="455" spans="1:18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</row>
    <row r="456" spans="1:18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</row>
    <row r="457" spans="1:18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</row>
    <row r="458" spans="1:18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</row>
    <row r="459" spans="1:18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</row>
    <row r="460" spans="1:18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</row>
    <row r="461" spans="1:18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</row>
    <row r="462" spans="1:18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</row>
    <row r="463" spans="1:18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</row>
    <row r="464" spans="1:18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</row>
    <row r="465" spans="1:18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</row>
    <row r="466" spans="1:18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</row>
    <row r="467" spans="1:18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</row>
    <row r="468" spans="1:18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</row>
    <row r="469" spans="1:18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</row>
    <row r="470" spans="1:18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</row>
    <row r="471" spans="1:18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</row>
    <row r="472" spans="1:18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</row>
    <row r="473" spans="1:18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</row>
    <row r="474" spans="1:18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</row>
    <row r="475" spans="1:18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</row>
    <row r="476" spans="1:18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</row>
    <row r="477" spans="1:18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</row>
    <row r="478" spans="1:18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</row>
    <row r="479" spans="1:18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</row>
    <row r="480" spans="1:18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</row>
    <row r="481" spans="1:18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</row>
    <row r="482" spans="1:18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</row>
    <row r="483" spans="1:18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</row>
    <row r="484" spans="1:18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</row>
    <row r="485" spans="1:18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</row>
    <row r="486" spans="1:18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</row>
    <row r="487" spans="1:18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</row>
    <row r="488" spans="1:18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</row>
    <row r="489" spans="1:18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</row>
    <row r="490" spans="1:18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</row>
    <row r="491" spans="1:18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</row>
    <row r="492" spans="1:18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</row>
    <row r="493" spans="1:18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</row>
    <row r="494" spans="1:18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</row>
    <row r="495" spans="1:18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</row>
    <row r="496" spans="1:18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</row>
    <row r="497" spans="1:18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</row>
    <row r="498" spans="1:18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</row>
    <row r="499" spans="1:18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</row>
    <row r="500" spans="1:18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</row>
    <row r="501" spans="1:18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</row>
    <row r="502" spans="1:18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</row>
    <row r="503" spans="1:18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</row>
    <row r="504" spans="1:18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</row>
    <row r="505" spans="1:18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</row>
    <row r="506" spans="1:18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</row>
    <row r="507" spans="1:18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</row>
    <row r="508" spans="1:18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</row>
    <row r="509" spans="1:18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</row>
    <row r="510" spans="1:18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</row>
    <row r="511" spans="1:18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</row>
    <row r="512" spans="1:18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</row>
    <row r="513" spans="1:18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</row>
    <row r="514" spans="1:18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</row>
    <row r="515" spans="1:18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</row>
    <row r="516" spans="1:18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</row>
    <row r="517" spans="1:18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</row>
    <row r="518" spans="1:18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</row>
    <row r="519" spans="1:18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</row>
    <row r="520" spans="1:18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</row>
    <row r="521" spans="1:18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</row>
    <row r="522" spans="1:18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</row>
    <row r="523" spans="1:18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</row>
    <row r="524" spans="1:18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</row>
    <row r="525" spans="1:18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</row>
    <row r="526" spans="1:18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</row>
    <row r="527" spans="1:18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</row>
    <row r="528" spans="1:18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</row>
    <row r="529" spans="1:18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</row>
    <row r="530" spans="1:18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</row>
    <row r="531" spans="1:18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</row>
    <row r="532" spans="1:18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</row>
    <row r="533" spans="1:18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</row>
    <row r="534" spans="1:18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</row>
    <row r="535" spans="1:18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</row>
    <row r="536" spans="1:18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</row>
    <row r="537" spans="1:18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</row>
    <row r="538" spans="1:18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</row>
    <row r="539" spans="1:18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</row>
    <row r="540" spans="1:18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</row>
    <row r="541" spans="1:18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</row>
    <row r="542" spans="1:18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</row>
    <row r="543" spans="1:18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</row>
    <row r="544" spans="1:18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</row>
    <row r="545" spans="1:18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</row>
    <row r="546" spans="1:18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</row>
    <row r="547" spans="1:18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</row>
    <row r="548" spans="1:18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</row>
    <row r="549" spans="1:18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</row>
    <row r="550" spans="1:18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</row>
    <row r="551" spans="1:18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</row>
    <row r="552" spans="1:18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</row>
    <row r="553" spans="1:18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</row>
    <row r="554" spans="1:18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</row>
    <row r="555" spans="1:18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</row>
    <row r="556" spans="1:18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</row>
    <row r="557" spans="1:18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</row>
    <row r="558" spans="1:18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</row>
    <row r="559" spans="1:18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</row>
    <row r="560" spans="1:18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</row>
    <row r="561" spans="1:18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</row>
    <row r="562" spans="1:18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</row>
    <row r="563" spans="1:18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</row>
    <row r="564" spans="1:18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</row>
    <row r="565" spans="1:18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</row>
    <row r="566" spans="1:18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</row>
    <row r="567" spans="1:18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</row>
    <row r="568" spans="1:18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</row>
    <row r="569" spans="1:18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</row>
    <row r="570" spans="1:18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</row>
    <row r="571" spans="1:18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</row>
    <row r="572" spans="1:18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</row>
    <row r="573" spans="1:18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</row>
    <row r="574" spans="1:18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</row>
    <row r="575" spans="1:18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</row>
    <row r="576" spans="1:18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</row>
    <row r="577" spans="1:18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</row>
    <row r="578" spans="1:18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</row>
    <row r="579" spans="1:18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</row>
    <row r="580" spans="1:18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</row>
    <row r="581" spans="1:18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</row>
    <row r="582" spans="1:18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</row>
    <row r="583" spans="1:18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</row>
    <row r="584" spans="1:18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</row>
    <row r="585" spans="1:18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</row>
    <row r="586" spans="1:18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</row>
    <row r="587" spans="1:18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</row>
    <row r="588" spans="1:18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</row>
    <row r="589" spans="1:18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</row>
    <row r="590" spans="1:18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</row>
    <row r="591" spans="1:18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</row>
    <row r="592" spans="1:18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</row>
    <row r="593" spans="1:18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</row>
    <row r="594" spans="1:18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</row>
    <row r="595" spans="1:18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</row>
    <row r="596" spans="1:18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</row>
    <row r="597" spans="1:18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</row>
    <row r="598" spans="1:18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</row>
    <row r="599" spans="1:18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</row>
    <row r="600" spans="1:18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</row>
    <row r="601" spans="1:18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</row>
    <row r="602" spans="1:18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</row>
    <row r="603" spans="1:18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</row>
    <row r="604" spans="1:18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</row>
    <row r="605" spans="1:18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</row>
    <row r="606" spans="1:18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</row>
    <row r="607" spans="1:18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</row>
    <row r="608" spans="1:18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</row>
    <row r="609" spans="1:18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</row>
    <row r="610" spans="1:18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</row>
    <row r="611" spans="1:18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</row>
    <row r="612" spans="1:18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</row>
    <row r="613" spans="1:18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</row>
    <row r="614" spans="1:18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</row>
    <row r="615" spans="1:18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</row>
    <row r="616" spans="1:18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</row>
    <row r="617" spans="1:18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</row>
    <row r="618" spans="1:18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</row>
    <row r="619" spans="1:18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</row>
    <row r="620" spans="1:18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</row>
    <row r="621" spans="1:18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</row>
    <row r="622" spans="1:18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</row>
    <row r="623" spans="1:18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</row>
    <row r="624" spans="1:18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</row>
    <row r="625" spans="1:18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</row>
    <row r="626" spans="1:18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</row>
    <row r="627" spans="1:18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</row>
    <row r="628" spans="1:18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</row>
    <row r="629" spans="1:18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</row>
    <row r="630" spans="1:18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</row>
    <row r="631" spans="1:18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</row>
    <row r="632" spans="1:18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</row>
    <row r="633" spans="1:18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</row>
    <row r="634" spans="1:18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</row>
    <row r="635" spans="1:18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</row>
    <row r="636" spans="1:18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</row>
    <row r="637" spans="1:18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</row>
    <row r="638" spans="1:18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</row>
    <row r="639" spans="1:18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</row>
    <row r="640" spans="1:18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</row>
    <row r="641" spans="1:18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</row>
    <row r="642" spans="1:18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</row>
    <row r="643" spans="1:18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</row>
    <row r="644" spans="1:18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</row>
    <row r="645" spans="1:18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</row>
    <row r="646" spans="1:18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</row>
    <row r="647" spans="1:18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</row>
    <row r="648" spans="1:18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</row>
    <row r="649" spans="1:18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</row>
    <row r="650" spans="1:18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</row>
    <row r="651" spans="1:18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</row>
    <row r="652" spans="1:18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</row>
    <row r="653" spans="1:18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</row>
    <row r="654" spans="1:18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</row>
    <row r="655" spans="1:18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</row>
    <row r="656" spans="1:18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</row>
    <row r="657" spans="1:18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</row>
    <row r="658" spans="1:18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</row>
    <row r="659" spans="1:18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</row>
    <row r="660" spans="1:18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</row>
    <row r="661" spans="1:18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</row>
    <row r="662" spans="1:18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</row>
    <row r="663" spans="1:18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</row>
    <row r="664" spans="1:18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</row>
    <row r="665" spans="1:18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</row>
    <row r="666" spans="1:18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</row>
    <row r="667" spans="1:18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</row>
    <row r="668" spans="1:18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</row>
    <row r="669" spans="1:18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</row>
    <row r="670" spans="1:18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</row>
    <row r="671" spans="1:18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</row>
    <row r="672" spans="1:18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</row>
    <row r="673" spans="1:18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</row>
    <row r="674" spans="1:18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</row>
    <row r="675" spans="1:18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</row>
    <row r="676" spans="1:18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</row>
    <row r="677" spans="1:18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</row>
    <row r="678" spans="1:18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</row>
    <row r="679" spans="1:18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</row>
    <row r="680" spans="1:18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</row>
    <row r="681" spans="1:18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</row>
    <row r="682" spans="1:18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</row>
    <row r="683" spans="1:18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</row>
    <row r="684" spans="1:18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</row>
    <row r="685" spans="1:18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</row>
    <row r="686" spans="1:18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</row>
    <row r="687" spans="1:18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</row>
    <row r="688" spans="1:18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</row>
    <row r="689" spans="1:18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</row>
    <row r="690" spans="1:18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</row>
    <row r="691" spans="1:18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</row>
    <row r="692" spans="1:18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</row>
    <row r="693" spans="1:18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</row>
    <row r="694" spans="1:18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</row>
    <row r="695" spans="1:18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</row>
    <row r="696" spans="1:18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</row>
    <row r="697" spans="1:18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</row>
    <row r="698" spans="1:18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</row>
    <row r="699" spans="1:18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</row>
    <row r="700" spans="1:18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</row>
    <row r="701" spans="1:18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</row>
    <row r="702" spans="1:18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</row>
    <row r="703" spans="1:18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</row>
    <row r="704" spans="1:18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</row>
    <row r="705" spans="1:18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</row>
    <row r="706" spans="1:18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</row>
    <row r="707" spans="1:18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</row>
    <row r="708" spans="1:18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</row>
    <row r="709" spans="1:18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</row>
    <row r="710" spans="1:18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</row>
    <row r="711" spans="1:18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</row>
    <row r="712" spans="1:18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</row>
    <row r="713" spans="1:18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</row>
    <row r="714" spans="1:18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</row>
    <row r="715" spans="1:18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</row>
    <row r="716" spans="1:18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</row>
    <row r="717" spans="1:18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</row>
    <row r="718" spans="1:18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</row>
    <row r="719" spans="1:18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</row>
    <row r="720" spans="1:18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</row>
    <row r="721" spans="1:18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</row>
    <row r="722" spans="1:18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</row>
    <row r="723" spans="1:18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</row>
    <row r="724" spans="1:18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</row>
    <row r="725" spans="1:18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</row>
    <row r="726" spans="1:18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</row>
    <row r="727" spans="1:18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</row>
    <row r="728" spans="1:18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</row>
    <row r="729" spans="1:18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</row>
    <row r="730" spans="1:18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</row>
    <row r="731" spans="1:18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</row>
    <row r="732" spans="1:18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</row>
    <row r="733" spans="1:18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</row>
    <row r="734" spans="1:18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</row>
    <row r="735" spans="1:18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</row>
    <row r="736" spans="1:18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</row>
    <row r="737" spans="1:18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</row>
    <row r="738" spans="1:18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</row>
    <row r="739" spans="1:18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</row>
    <row r="740" spans="1:18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</row>
    <row r="741" spans="1:18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</row>
    <row r="742" spans="1:18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</row>
    <row r="743" spans="1:18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</row>
    <row r="744" spans="1:18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</row>
    <row r="745" spans="1:18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</row>
    <row r="746" spans="1:18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</row>
    <row r="747" spans="1:18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</row>
    <row r="748" spans="1:18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</row>
    <row r="749" spans="1:18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</row>
    <row r="750" spans="1:18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</row>
    <row r="751" spans="1:18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</row>
    <row r="752" spans="1:18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</row>
    <row r="753" spans="1:18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</row>
    <row r="754" spans="1:18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</row>
    <row r="755" spans="1:18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</row>
    <row r="756" spans="1:18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</row>
    <row r="757" spans="1:18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</row>
    <row r="758" spans="1:18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</row>
    <row r="759" spans="1:18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</row>
    <row r="760" spans="1:18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</row>
    <row r="761" spans="1:18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</row>
    <row r="762" spans="1:18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</row>
    <row r="763" spans="1:18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</row>
    <row r="764" spans="1:18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</row>
    <row r="765" spans="1:18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</row>
    <row r="766" spans="1:18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</row>
    <row r="767" spans="1:18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</row>
    <row r="768" spans="1:18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</row>
    <row r="769" spans="1:18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</row>
    <row r="770" spans="1:18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</row>
    <row r="771" spans="1:18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</row>
    <row r="772" spans="1:18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</row>
    <row r="773" spans="1:18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</row>
    <row r="774" spans="1:18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</row>
    <row r="775" spans="1:18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</row>
    <row r="776" spans="1:18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</row>
    <row r="777" spans="1:18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</row>
    <row r="778" spans="1:18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</row>
    <row r="779" spans="1:18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</row>
    <row r="780" spans="1:18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</row>
    <row r="781" spans="1:18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</row>
    <row r="782" spans="1:18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</row>
    <row r="783" spans="1:18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</row>
    <row r="784" spans="1:18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</row>
    <row r="785" spans="1:18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</row>
    <row r="786" spans="1:18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</row>
    <row r="787" spans="1:18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</row>
    <row r="788" spans="1:18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</row>
    <row r="789" spans="1:18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</row>
    <row r="790" spans="1:18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</row>
    <row r="791" spans="1:18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</row>
    <row r="792" spans="1:18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</row>
    <row r="793" spans="1:18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</row>
    <row r="794" spans="1:18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</row>
    <row r="795" spans="1:18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</row>
    <row r="796" spans="1:18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</row>
    <row r="797" spans="1:18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</row>
    <row r="798" spans="1:18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</row>
    <row r="799" spans="1:18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</row>
    <row r="800" spans="1:18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</row>
    <row r="801" spans="1:18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</row>
    <row r="802" spans="1:18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</row>
    <row r="803" spans="1:18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</row>
    <row r="804" spans="1:18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</row>
    <row r="805" spans="1:18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</row>
    <row r="806" spans="1:18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</row>
    <row r="807" spans="1:18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</row>
    <row r="808" spans="1:18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</row>
    <row r="809" spans="1:18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</row>
    <row r="810" spans="1:18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</row>
    <row r="811" spans="1:18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</row>
    <row r="812" spans="1:18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</row>
    <row r="813" spans="1:18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</row>
    <row r="814" spans="1:18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</row>
    <row r="815" spans="1:18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</row>
    <row r="816" spans="1:18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</row>
    <row r="817" spans="1:18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</row>
    <row r="818" spans="1:18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</row>
    <row r="819" spans="1:18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</row>
    <row r="820" spans="1:18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</row>
    <row r="821" spans="1:18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</row>
    <row r="822" spans="1:18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</row>
    <row r="823" spans="1:18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</row>
    <row r="824" spans="1:18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</row>
    <row r="825" spans="1:18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</row>
    <row r="826" spans="1:18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</row>
    <row r="827" spans="1:18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</row>
    <row r="828" spans="1:18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</row>
    <row r="829" spans="1:18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</row>
    <row r="830" spans="1:18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</row>
    <row r="831" spans="1:18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</row>
    <row r="832" spans="1:18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</row>
    <row r="833" spans="1:18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</row>
    <row r="834" spans="1:18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</row>
    <row r="835" spans="1:18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</row>
    <row r="836" spans="1:18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</row>
    <row r="837" spans="1:18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</row>
    <row r="838" spans="1:18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</row>
    <row r="839" spans="1:18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</row>
    <row r="840" spans="1:18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</row>
    <row r="841" spans="1:18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</row>
    <row r="842" spans="1:18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</row>
    <row r="843" spans="1:18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</row>
    <row r="844" spans="1:18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</row>
    <row r="845" spans="1:18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</row>
    <row r="846" spans="1:18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</row>
    <row r="847" spans="1:18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</row>
    <row r="848" spans="1:18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</row>
    <row r="849" spans="1:18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</row>
    <row r="850" spans="1:18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</row>
    <row r="851" spans="1:18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</row>
    <row r="852" spans="1:18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</row>
    <row r="853" spans="1:18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</row>
    <row r="854" spans="1:18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</row>
    <row r="855" spans="1:18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</row>
    <row r="856" spans="1:18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</row>
    <row r="857" spans="1:18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</row>
    <row r="858" spans="1:18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</row>
    <row r="859" spans="1:18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</row>
    <row r="860" spans="1:18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</row>
    <row r="861" spans="1:18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</row>
    <row r="862" spans="1:18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</row>
    <row r="863" spans="1:18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</row>
    <row r="864" spans="1:18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</row>
    <row r="865" spans="1:18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</row>
    <row r="866" spans="1:18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</row>
    <row r="867" spans="1:18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</row>
    <row r="868" spans="1:18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</row>
    <row r="869" spans="1:18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</row>
    <row r="870" spans="1:18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</row>
    <row r="871" spans="1:18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</row>
    <row r="872" spans="1:18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</row>
    <row r="873" spans="1:18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</row>
    <row r="874" spans="1:18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</row>
    <row r="875" spans="1:18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</row>
    <row r="876" spans="1:18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</row>
    <row r="877" spans="1:18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</row>
    <row r="878" spans="1:18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</row>
    <row r="879" spans="1:18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</row>
    <row r="880" spans="1:18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</row>
    <row r="881" spans="1:18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</row>
    <row r="882" spans="1:18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</row>
    <row r="883" spans="1:18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</row>
    <row r="884" spans="1:18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</row>
    <row r="885" spans="1:18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</row>
    <row r="886" spans="1:18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</row>
    <row r="887" spans="1:18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</row>
    <row r="888" spans="1:18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</row>
    <row r="889" spans="1:18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</row>
    <row r="890" spans="1:18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</row>
    <row r="891" spans="1:18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</row>
    <row r="892" spans="1:18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</row>
    <row r="893" spans="1:18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</row>
    <row r="894" spans="1:18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</row>
    <row r="895" spans="1:18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</row>
    <row r="896" spans="1:18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</row>
    <row r="897" spans="1:18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</row>
    <row r="898" spans="1:18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</row>
    <row r="899" spans="1:18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</row>
    <row r="900" spans="1:18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</row>
    <row r="901" spans="1:18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</row>
    <row r="902" spans="1:18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</row>
    <row r="903" spans="1:18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</row>
    <row r="904" spans="1:18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</row>
    <row r="905" spans="1:18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</row>
    <row r="906" spans="1:18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</row>
    <row r="907" spans="1:18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</row>
    <row r="908" spans="1:18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</row>
    <row r="909" spans="1:18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</row>
    <row r="910" spans="1:18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</row>
    <row r="911" spans="1:18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</row>
    <row r="912" spans="1:18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</row>
    <row r="913" spans="1:18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</row>
    <row r="914" spans="1:18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</row>
    <row r="915" spans="1:18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</row>
    <row r="916" spans="1:18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</row>
    <row r="917" spans="1:18" x14ac:dyDescent="0.2">
      <c r="A917" s="16"/>
      <c r="B917" s="16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</row>
    <row r="918" spans="1:18" x14ac:dyDescent="0.2">
      <c r="A918" s="16"/>
      <c r="B918" s="16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</row>
    <row r="919" spans="1:18" x14ac:dyDescent="0.2">
      <c r="A919" s="16"/>
      <c r="B919" s="16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</row>
    <row r="920" spans="1:18" x14ac:dyDescent="0.2">
      <c r="A920" s="16"/>
      <c r="B920" s="16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</row>
    <row r="921" spans="1:18" x14ac:dyDescent="0.2">
      <c r="A921" s="16"/>
      <c r="B921" s="16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</row>
    <row r="922" spans="1:18" x14ac:dyDescent="0.2">
      <c r="A922" s="16"/>
      <c r="B922" s="16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</row>
    <row r="923" spans="1:18" x14ac:dyDescent="0.2">
      <c r="A923" s="16"/>
      <c r="B923" s="16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</row>
    <row r="924" spans="1:18" x14ac:dyDescent="0.2">
      <c r="A924" s="16"/>
      <c r="B924" s="16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</row>
    <row r="925" spans="1:18" x14ac:dyDescent="0.2">
      <c r="A925" s="16"/>
      <c r="B925" s="16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</row>
    <row r="926" spans="1:18" x14ac:dyDescent="0.2">
      <c r="A926" s="16"/>
      <c r="B926" s="16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</row>
    <row r="927" spans="1:18" x14ac:dyDescent="0.2">
      <c r="A927" s="16"/>
      <c r="B927" s="16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</row>
    <row r="928" spans="1:18" x14ac:dyDescent="0.2">
      <c r="A928" s="16"/>
      <c r="B928" s="16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</row>
    <row r="929" spans="1:18" x14ac:dyDescent="0.2">
      <c r="A929" s="16"/>
      <c r="B929" s="16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</row>
    <row r="930" spans="1:18" x14ac:dyDescent="0.2">
      <c r="A930" s="16"/>
      <c r="B930" s="16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</row>
    <row r="931" spans="1:18" x14ac:dyDescent="0.2">
      <c r="A931" s="16"/>
      <c r="B931" s="16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</row>
    <row r="932" spans="1:18" x14ac:dyDescent="0.2">
      <c r="A932" s="16"/>
      <c r="B932" s="16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</row>
    <row r="933" spans="1:18" x14ac:dyDescent="0.2">
      <c r="A933" s="16"/>
      <c r="B933" s="16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</row>
    <row r="934" spans="1:18" x14ac:dyDescent="0.2">
      <c r="A934" s="16"/>
      <c r="B934" s="16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</row>
    <row r="935" spans="1:18" x14ac:dyDescent="0.2">
      <c r="A935" s="16"/>
      <c r="B935" s="16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</row>
    <row r="936" spans="1:18" x14ac:dyDescent="0.2">
      <c r="A936" s="16"/>
      <c r="B936" s="16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</row>
    <row r="937" spans="1:18" x14ac:dyDescent="0.2">
      <c r="A937" s="16"/>
      <c r="B937" s="16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</row>
    <row r="938" spans="1:18" x14ac:dyDescent="0.2">
      <c r="A938" s="16"/>
      <c r="B938" s="16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</row>
    <row r="939" spans="1:18" x14ac:dyDescent="0.2">
      <c r="A939" s="16"/>
      <c r="B939" s="16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</row>
    <row r="940" spans="1:18" x14ac:dyDescent="0.2">
      <c r="A940" s="16"/>
      <c r="B940" s="16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</row>
    <row r="941" spans="1:18" x14ac:dyDescent="0.2">
      <c r="A941" s="16"/>
      <c r="B941" s="16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</row>
    <row r="942" spans="1:18" x14ac:dyDescent="0.2">
      <c r="A942" s="16"/>
      <c r="B942" s="16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</row>
    <row r="943" spans="1:18" x14ac:dyDescent="0.2">
      <c r="A943" s="16"/>
      <c r="B943" s="16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</row>
    <row r="944" spans="1:18" x14ac:dyDescent="0.2">
      <c r="A944" s="16"/>
      <c r="B944" s="16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</row>
    <row r="945" spans="1:18" x14ac:dyDescent="0.2">
      <c r="A945" s="16"/>
      <c r="B945" s="16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</row>
    <row r="946" spans="1:18" x14ac:dyDescent="0.2">
      <c r="A946" s="16"/>
      <c r="B946" s="16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</row>
    <row r="947" spans="1:18" x14ac:dyDescent="0.2">
      <c r="A947" s="16"/>
      <c r="B947" s="16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</row>
    <row r="948" spans="1:18" x14ac:dyDescent="0.2">
      <c r="A948" s="16"/>
      <c r="B948" s="16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</row>
    <row r="949" spans="1:18" x14ac:dyDescent="0.2">
      <c r="A949" s="16"/>
      <c r="B949" s="16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</row>
    <row r="950" spans="1:18" x14ac:dyDescent="0.2">
      <c r="A950" s="16"/>
      <c r="B950" s="16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</row>
    <row r="951" spans="1:18" x14ac:dyDescent="0.2">
      <c r="A951" s="16"/>
      <c r="B951" s="16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</row>
    <row r="952" spans="1:18" x14ac:dyDescent="0.2">
      <c r="A952" s="16"/>
      <c r="B952" s="16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</row>
    <row r="953" spans="1:18" x14ac:dyDescent="0.2">
      <c r="A953" s="16"/>
      <c r="B953" s="16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</row>
    <row r="954" spans="1:18" x14ac:dyDescent="0.2">
      <c r="A954" s="16"/>
      <c r="B954" s="16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</row>
    <row r="955" spans="1:18" x14ac:dyDescent="0.2">
      <c r="A955" s="16"/>
      <c r="B955" s="16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</row>
    <row r="956" spans="1:18" x14ac:dyDescent="0.2">
      <c r="A956" s="16"/>
      <c r="B956" s="16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</row>
    <row r="957" spans="1:18" x14ac:dyDescent="0.2">
      <c r="A957" s="16"/>
      <c r="B957" s="16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</row>
    <row r="958" spans="1:18" x14ac:dyDescent="0.2">
      <c r="A958" s="16"/>
      <c r="B958" s="16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</row>
    <row r="959" spans="1:18" x14ac:dyDescent="0.2">
      <c r="A959" s="16"/>
      <c r="B959" s="16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</row>
    <row r="960" spans="1:18" x14ac:dyDescent="0.2">
      <c r="A960" s="16"/>
      <c r="B960" s="16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</row>
    <row r="961" spans="1:18" x14ac:dyDescent="0.2">
      <c r="A961" s="16"/>
      <c r="B961" s="16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</row>
    <row r="962" spans="1:18" x14ac:dyDescent="0.2">
      <c r="A962" s="16"/>
      <c r="B962" s="16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</row>
    <row r="963" spans="1:18" x14ac:dyDescent="0.2">
      <c r="A963" s="16"/>
      <c r="B963" s="16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</row>
    <row r="964" spans="1:18" x14ac:dyDescent="0.2">
      <c r="A964" s="16"/>
      <c r="B964" s="16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</row>
    <row r="965" spans="1:18" x14ac:dyDescent="0.2">
      <c r="A965" s="16"/>
      <c r="B965" s="16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</row>
    <row r="966" spans="1:18" x14ac:dyDescent="0.2">
      <c r="A966" s="16"/>
      <c r="B966" s="16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</row>
    <row r="967" spans="1:18" x14ac:dyDescent="0.2">
      <c r="A967" s="16"/>
      <c r="B967" s="16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</row>
    <row r="968" spans="1:18" x14ac:dyDescent="0.2">
      <c r="A968" s="16"/>
      <c r="B968" s="16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</row>
    <row r="969" spans="1:18" x14ac:dyDescent="0.2">
      <c r="A969" s="16"/>
      <c r="B969" s="16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</row>
    <row r="970" spans="1:18" x14ac:dyDescent="0.2">
      <c r="A970" s="16"/>
      <c r="B970" s="16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</row>
    <row r="971" spans="1:18" x14ac:dyDescent="0.2">
      <c r="A971" s="16"/>
      <c r="B971" s="16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</row>
    <row r="972" spans="1:18" x14ac:dyDescent="0.2">
      <c r="A972" s="16"/>
      <c r="B972" s="16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</row>
    <row r="973" spans="1:18" x14ac:dyDescent="0.2">
      <c r="A973" s="16"/>
      <c r="B973" s="16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</row>
    <row r="974" spans="1:18" x14ac:dyDescent="0.2">
      <c r="A974" s="16"/>
      <c r="B974" s="16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</row>
    <row r="975" spans="1:18" x14ac:dyDescent="0.2">
      <c r="A975" s="16"/>
      <c r="B975" s="16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</row>
    <row r="976" spans="1:18" x14ac:dyDescent="0.2">
      <c r="A976" s="16"/>
      <c r="B976" s="16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</row>
    <row r="977" spans="1:18" x14ac:dyDescent="0.2">
      <c r="A977" s="16"/>
      <c r="B977" s="16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</row>
    <row r="978" spans="1:18" x14ac:dyDescent="0.2">
      <c r="A978" s="16"/>
      <c r="B978" s="16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</row>
    <row r="979" spans="1:18" x14ac:dyDescent="0.2">
      <c r="A979" s="16"/>
      <c r="B979" s="16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</row>
    <row r="980" spans="1:18" x14ac:dyDescent="0.2">
      <c r="A980" s="16"/>
      <c r="B980" s="16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</row>
    <row r="981" spans="1:18" x14ac:dyDescent="0.2">
      <c r="A981" s="16"/>
      <c r="B981" s="16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</row>
    <row r="982" spans="1:18" x14ac:dyDescent="0.2">
      <c r="A982" s="16"/>
      <c r="B982" s="16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</row>
    <row r="983" spans="1:18" x14ac:dyDescent="0.2">
      <c r="A983" s="16"/>
      <c r="B983" s="16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</row>
    <row r="984" spans="1:18" x14ac:dyDescent="0.2">
      <c r="A984" s="16"/>
      <c r="B984" s="16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</row>
    <row r="985" spans="1:18" x14ac:dyDescent="0.2">
      <c r="A985" s="16"/>
      <c r="B985" s="16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</row>
    <row r="986" spans="1:18" x14ac:dyDescent="0.2">
      <c r="A986" s="16"/>
      <c r="B986" s="16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</row>
    <row r="987" spans="1:18" x14ac:dyDescent="0.2">
      <c r="A987" s="16"/>
      <c r="B987" s="16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</row>
    <row r="988" spans="1:18" x14ac:dyDescent="0.2">
      <c r="A988" s="16"/>
      <c r="B988" s="16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</row>
    <row r="989" spans="1:18" x14ac:dyDescent="0.2">
      <c r="A989" s="16"/>
      <c r="B989" s="16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</row>
    <row r="990" spans="1:18" x14ac:dyDescent="0.2">
      <c r="A990" s="16"/>
      <c r="B990" s="16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</row>
    <row r="991" spans="1:18" x14ac:dyDescent="0.2">
      <c r="A991" s="16"/>
      <c r="B991" s="16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</row>
    <row r="992" spans="1:18" x14ac:dyDescent="0.2">
      <c r="A992" s="16"/>
      <c r="B992" s="16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</row>
    <row r="993" spans="1:18" x14ac:dyDescent="0.2">
      <c r="A993" s="16"/>
      <c r="B993" s="16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</row>
    <row r="994" spans="1:18" x14ac:dyDescent="0.2">
      <c r="A994" s="16"/>
      <c r="B994" s="16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</row>
    <row r="995" spans="1:18" x14ac:dyDescent="0.2">
      <c r="A995" s="16"/>
      <c r="B995" s="16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</row>
    <row r="996" spans="1:18" x14ac:dyDescent="0.2">
      <c r="A996" s="16"/>
      <c r="B996" s="16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</row>
    <row r="997" spans="1:18" x14ac:dyDescent="0.2">
      <c r="A997" s="16"/>
      <c r="B997" s="16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</row>
    <row r="998" spans="1:18" x14ac:dyDescent="0.2">
      <c r="A998" s="16"/>
      <c r="B998" s="16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</row>
    <row r="999" spans="1:18" x14ac:dyDescent="0.2">
      <c r="A999" s="16"/>
      <c r="B999" s="16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</row>
    <row r="1000" spans="1:18" x14ac:dyDescent="0.2">
      <c r="A1000" s="16"/>
      <c r="B1000" s="16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</row>
    <row r="1001" spans="1:18" x14ac:dyDescent="0.2">
      <c r="A1001" s="16"/>
      <c r="B1001" s="16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</row>
    <row r="1002" spans="1:18" x14ac:dyDescent="0.2">
      <c r="A1002" s="16"/>
      <c r="B1002" s="16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</row>
    <row r="1003" spans="1:18" x14ac:dyDescent="0.2">
      <c r="A1003" s="16"/>
      <c r="B1003" s="16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</row>
    <row r="1004" spans="1:18" x14ac:dyDescent="0.2">
      <c r="A1004" s="16"/>
      <c r="B1004" s="16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</row>
    <row r="1005" spans="1:18" x14ac:dyDescent="0.2">
      <c r="A1005" s="16"/>
      <c r="B1005" s="16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</row>
    <row r="1006" spans="1:18" x14ac:dyDescent="0.2">
      <c r="A1006" s="16"/>
      <c r="B1006" s="16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</row>
    <row r="1007" spans="1:18" x14ac:dyDescent="0.2">
      <c r="A1007" s="16"/>
      <c r="B1007" s="16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</row>
    <row r="1008" spans="1:18" x14ac:dyDescent="0.2">
      <c r="A1008" s="16"/>
      <c r="B1008" s="16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</row>
    <row r="1009" spans="1:18" x14ac:dyDescent="0.2">
      <c r="A1009" s="16"/>
      <c r="B1009" s="16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</row>
    <row r="1010" spans="1:18" x14ac:dyDescent="0.2">
      <c r="A1010" s="16"/>
      <c r="B1010" s="16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</row>
    <row r="1011" spans="1:18" x14ac:dyDescent="0.2">
      <c r="A1011" s="16"/>
      <c r="B1011" s="16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</row>
    <row r="1012" spans="1:18" x14ac:dyDescent="0.2">
      <c r="A1012" s="16"/>
      <c r="B1012" s="16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</row>
    <row r="1013" spans="1:18" x14ac:dyDescent="0.2">
      <c r="A1013" s="16"/>
      <c r="B1013" s="16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</row>
    <row r="1014" spans="1:18" x14ac:dyDescent="0.2">
      <c r="A1014" s="16"/>
      <c r="B1014" s="16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</row>
    <row r="1015" spans="1:18" x14ac:dyDescent="0.2">
      <c r="A1015" s="16"/>
      <c r="B1015" s="16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</row>
    <row r="1016" spans="1:18" x14ac:dyDescent="0.2">
      <c r="A1016" s="16"/>
      <c r="B1016" s="16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</row>
    <row r="1017" spans="1:18" x14ac:dyDescent="0.2">
      <c r="A1017" s="16"/>
      <c r="B1017" s="16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</row>
    <row r="1018" spans="1:18" x14ac:dyDescent="0.2">
      <c r="A1018" s="16"/>
      <c r="B1018" s="16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</row>
    <row r="1019" spans="1:18" x14ac:dyDescent="0.2">
      <c r="A1019" s="16"/>
      <c r="B1019" s="16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</row>
    <row r="1020" spans="1:18" x14ac:dyDescent="0.2">
      <c r="A1020" s="16"/>
      <c r="B1020" s="16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</row>
    <row r="1021" spans="1:18" x14ac:dyDescent="0.2">
      <c r="A1021" s="16"/>
      <c r="B1021" s="16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</row>
    <row r="1022" spans="1:18" x14ac:dyDescent="0.2">
      <c r="A1022" s="16"/>
      <c r="B1022" s="16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</row>
    <row r="1023" spans="1:18" x14ac:dyDescent="0.2">
      <c r="A1023" s="16"/>
      <c r="B1023" s="16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</row>
    <row r="1024" spans="1:18" x14ac:dyDescent="0.2">
      <c r="A1024" s="16"/>
      <c r="B1024" s="16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</row>
    <row r="1025" spans="1:18" x14ac:dyDescent="0.2">
      <c r="A1025" s="16"/>
      <c r="B1025" s="16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</row>
    <row r="1026" spans="1:18" x14ac:dyDescent="0.2">
      <c r="A1026" s="16"/>
      <c r="B1026" s="16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</row>
    <row r="1027" spans="1:18" x14ac:dyDescent="0.2">
      <c r="A1027" s="16"/>
      <c r="B1027" s="16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</row>
    <row r="1028" spans="1:18" x14ac:dyDescent="0.2">
      <c r="A1028" s="16"/>
      <c r="B1028" s="16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</row>
    <row r="1029" spans="1:18" x14ac:dyDescent="0.2">
      <c r="A1029" s="16"/>
      <c r="B1029" s="16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</row>
    <row r="1030" spans="1:18" x14ac:dyDescent="0.2">
      <c r="A1030" s="16"/>
      <c r="B1030" s="16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</row>
    <row r="1031" spans="1:18" x14ac:dyDescent="0.2">
      <c r="A1031" s="16"/>
      <c r="B1031" s="16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</row>
    <row r="1032" spans="1:18" x14ac:dyDescent="0.2">
      <c r="A1032" s="16"/>
      <c r="B1032" s="16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</row>
    <row r="1033" spans="1:18" x14ac:dyDescent="0.2">
      <c r="A1033" s="16"/>
      <c r="B1033" s="16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</row>
    <row r="1034" spans="1:18" x14ac:dyDescent="0.2">
      <c r="A1034" s="16"/>
      <c r="B1034" s="16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</row>
    <row r="1035" spans="1:18" x14ac:dyDescent="0.2">
      <c r="A1035" s="16"/>
      <c r="B1035" s="16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</row>
    <row r="1036" spans="1:18" x14ac:dyDescent="0.2">
      <c r="A1036" s="16"/>
      <c r="B1036" s="16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</row>
    <row r="1037" spans="1:18" x14ac:dyDescent="0.2">
      <c r="A1037" s="16"/>
      <c r="B1037" s="16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</row>
    <row r="1038" spans="1:18" x14ac:dyDescent="0.2">
      <c r="A1038" s="16"/>
      <c r="B1038" s="16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</row>
    <row r="1039" spans="1:18" x14ac:dyDescent="0.2">
      <c r="A1039" s="16"/>
      <c r="B1039" s="16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</row>
    <row r="1040" spans="1:18" x14ac:dyDescent="0.2">
      <c r="A1040" s="16"/>
      <c r="B1040" s="16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</row>
    <row r="1041" spans="1:18" x14ac:dyDescent="0.2">
      <c r="A1041" s="16"/>
      <c r="B1041" s="16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</row>
    <row r="1042" spans="1:18" x14ac:dyDescent="0.2">
      <c r="A1042" s="16"/>
      <c r="B1042" s="16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</row>
    <row r="1043" spans="1:18" x14ac:dyDescent="0.2">
      <c r="A1043" s="16"/>
      <c r="B1043" s="16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</row>
    <row r="1044" spans="1:18" x14ac:dyDescent="0.2">
      <c r="A1044" s="16"/>
      <c r="B1044" s="16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</row>
    <row r="1045" spans="1:18" x14ac:dyDescent="0.2">
      <c r="A1045" s="16"/>
      <c r="B1045" s="16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</row>
    <row r="1046" spans="1:18" x14ac:dyDescent="0.2">
      <c r="A1046" s="16"/>
      <c r="B1046" s="16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</row>
    <row r="1047" spans="1:18" x14ac:dyDescent="0.2">
      <c r="A1047" s="16"/>
      <c r="B1047" s="16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</row>
    <row r="1048" spans="1:18" x14ac:dyDescent="0.2">
      <c r="A1048" s="16"/>
      <c r="B1048" s="16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</row>
    <row r="1049" spans="1:18" x14ac:dyDescent="0.2">
      <c r="A1049" s="16"/>
      <c r="B1049" s="16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</row>
    <row r="1050" spans="1:18" x14ac:dyDescent="0.2">
      <c r="A1050" s="16"/>
      <c r="B1050" s="16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</row>
    <row r="1051" spans="1:18" x14ac:dyDescent="0.2">
      <c r="A1051" s="16"/>
      <c r="B1051" s="16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</row>
    <row r="1052" spans="1:18" x14ac:dyDescent="0.2">
      <c r="A1052" s="16"/>
      <c r="B1052" s="16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</row>
    <row r="1053" spans="1:18" x14ac:dyDescent="0.2">
      <c r="A1053" s="16"/>
      <c r="B1053" s="16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</row>
    <row r="1054" spans="1:18" x14ac:dyDescent="0.2">
      <c r="A1054" s="16"/>
      <c r="B1054" s="16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</row>
    <row r="1055" spans="1:18" x14ac:dyDescent="0.2">
      <c r="A1055" s="16"/>
      <c r="B1055" s="16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</row>
    <row r="1056" spans="1:18" x14ac:dyDescent="0.2">
      <c r="A1056" s="16"/>
      <c r="B1056" s="16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</row>
    <row r="1057" spans="1:18" x14ac:dyDescent="0.2">
      <c r="A1057" s="16"/>
      <c r="B1057" s="16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</row>
    <row r="1058" spans="1:18" x14ac:dyDescent="0.2">
      <c r="A1058" s="16"/>
      <c r="B1058" s="16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</row>
    <row r="1059" spans="1:18" x14ac:dyDescent="0.2">
      <c r="A1059" s="16"/>
      <c r="B1059" s="16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</row>
    <row r="1060" spans="1:18" x14ac:dyDescent="0.2">
      <c r="A1060" s="16"/>
      <c r="B1060" s="16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</row>
    <row r="1061" spans="1:18" x14ac:dyDescent="0.2">
      <c r="A1061" s="16"/>
      <c r="B1061" s="16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</row>
    <row r="1062" spans="1:18" x14ac:dyDescent="0.2">
      <c r="A1062" s="16"/>
      <c r="B1062" s="16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</row>
    <row r="1063" spans="1:18" x14ac:dyDescent="0.2">
      <c r="A1063" s="16"/>
      <c r="B1063" s="16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</row>
    <row r="1064" spans="1:18" x14ac:dyDescent="0.2">
      <c r="A1064" s="16"/>
      <c r="B1064" s="16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</row>
    <row r="1065" spans="1:18" x14ac:dyDescent="0.2">
      <c r="A1065" s="16"/>
      <c r="B1065" s="16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</row>
    <row r="1066" spans="1:18" x14ac:dyDescent="0.2">
      <c r="A1066" s="16"/>
      <c r="B1066" s="16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</row>
    <row r="1067" spans="1:18" x14ac:dyDescent="0.2">
      <c r="A1067" s="16"/>
      <c r="B1067" s="16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</row>
    <row r="1068" spans="1:18" x14ac:dyDescent="0.2">
      <c r="A1068" s="16"/>
      <c r="B1068" s="16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</row>
    <row r="1069" spans="1:18" x14ac:dyDescent="0.2">
      <c r="A1069" s="16"/>
      <c r="B1069" s="16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</row>
    <row r="1070" spans="1:18" x14ac:dyDescent="0.2">
      <c r="A1070" s="16"/>
      <c r="B1070" s="16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</row>
    <row r="1071" spans="1:18" x14ac:dyDescent="0.2">
      <c r="A1071" s="16"/>
      <c r="B1071" s="16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</row>
    <row r="1072" spans="1:18" x14ac:dyDescent="0.2">
      <c r="A1072" s="16"/>
      <c r="B1072" s="16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</row>
    <row r="1073" spans="1:18" x14ac:dyDescent="0.2">
      <c r="A1073" s="16"/>
      <c r="B1073" s="16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</row>
    <row r="1074" spans="1:18" x14ac:dyDescent="0.2">
      <c r="A1074" s="16"/>
      <c r="B1074" s="16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</row>
    <row r="1075" spans="1:18" x14ac:dyDescent="0.2">
      <c r="A1075" s="16"/>
      <c r="B1075" s="16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</row>
    <row r="1076" spans="1:18" x14ac:dyDescent="0.2">
      <c r="A1076" s="16"/>
      <c r="B1076" s="16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</row>
    <row r="1077" spans="1:18" x14ac:dyDescent="0.2">
      <c r="A1077" s="16"/>
      <c r="B1077" s="16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</row>
    <row r="1078" spans="1:18" x14ac:dyDescent="0.2">
      <c r="A1078" s="16"/>
      <c r="B1078" s="16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</row>
    <row r="1079" spans="1:18" x14ac:dyDescent="0.2">
      <c r="A1079" s="16"/>
      <c r="B1079" s="16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</row>
    <row r="1080" spans="1:18" x14ac:dyDescent="0.2">
      <c r="A1080" s="16"/>
      <c r="B1080" s="16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</row>
    <row r="1081" spans="1:18" x14ac:dyDescent="0.2">
      <c r="A1081" s="16"/>
      <c r="B1081" s="16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</row>
    <row r="1082" spans="1:18" x14ac:dyDescent="0.2">
      <c r="A1082" s="16"/>
      <c r="B1082" s="16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</row>
    <row r="1083" spans="1:18" x14ac:dyDescent="0.2">
      <c r="A1083" s="16"/>
      <c r="B1083" s="16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</row>
    <row r="1084" spans="1:18" x14ac:dyDescent="0.2">
      <c r="A1084" s="16"/>
      <c r="B1084" s="16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</row>
    <row r="1085" spans="1:18" x14ac:dyDescent="0.2">
      <c r="A1085" s="16"/>
      <c r="B1085" s="16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</row>
    <row r="1086" spans="1:18" x14ac:dyDescent="0.2">
      <c r="A1086" s="16"/>
      <c r="B1086" s="16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</row>
    <row r="1087" spans="1:18" x14ac:dyDescent="0.2">
      <c r="A1087" s="16"/>
      <c r="B1087" s="16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</row>
    <row r="1088" spans="1:18" x14ac:dyDescent="0.2">
      <c r="A1088" s="16"/>
      <c r="B1088" s="16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</row>
    <row r="1089" spans="1:18" x14ac:dyDescent="0.2">
      <c r="A1089" s="16"/>
      <c r="B1089" s="16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</row>
    <row r="1090" spans="1:18" x14ac:dyDescent="0.2">
      <c r="A1090" s="16"/>
      <c r="B1090" s="16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</row>
    <row r="1091" spans="1:18" x14ac:dyDescent="0.2">
      <c r="A1091" s="16"/>
      <c r="B1091" s="16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</row>
    <row r="1092" spans="1:18" x14ac:dyDescent="0.2">
      <c r="A1092" s="16"/>
      <c r="B1092" s="16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</row>
    <row r="1093" spans="1:18" x14ac:dyDescent="0.2">
      <c r="A1093" s="16"/>
      <c r="B1093" s="16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</row>
    <row r="1094" spans="1:18" x14ac:dyDescent="0.2">
      <c r="A1094" s="16"/>
      <c r="B1094" s="16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</row>
    <row r="1095" spans="1:18" x14ac:dyDescent="0.2">
      <c r="A1095" s="16"/>
      <c r="B1095" s="16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</row>
    <row r="1096" spans="1:18" x14ac:dyDescent="0.2">
      <c r="A1096" s="16"/>
      <c r="B1096" s="16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</row>
    <row r="1097" spans="1:18" x14ac:dyDescent="0.2">
      <c r="A1097" s="16"/>
      <c r="B1097" s="16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</row>
    <row r="1098" spans="1:18" x14ac:dyDescent="0.2">
      <c r="A1098" s="16"/>
      <c r="B1098" s="16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</row>
    <row r="1099" spans="1:18" x14ac:dyDescent="0.2">
      <c r="A1099" s="16"/>
      <c r="B1099" s="16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</row>
    <row r="1100" spans="1:18" x14ac:dyDescent="0.2">
      <c r="A1100" s="16"/>
      <c r="B1100" s="16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</row>
    <row r="1101" spans="1:18" x14ac:dyDescent="0.2">
      <c r="A1101" s="16"/>
      <c r="B1101" s="16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</row>
    <row r="1102" spans="1:18" x14ac:dyDescent="0.2">
      <c r="A1102" s="16"/>
      <c r="B1102" s="16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</row>
    <row r="1103" spans="1:18" x14ac:dyDescent="0.2">
      <c r="A1103" s="16"/>
      <c r="B1103" s="16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</row>
    <row r="1104" spans="1:18" x14ac:dyDescent="0.2">
      <c r="A1104" s="16"/>
      <c r="B1104" s="16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</row>
    <row r="1105" spans="1:18" x14ac:dyDescent="0.2">
      <c r="A1105" s="16"/>
      <c r="B1105" s="16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</row>
    <row r="1106" spans="1:18" x14ac:dyDescent="0.2">
      <c r="A1106" s="16"/>
      <c r="B1106" s="16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</row>
    <row r="1107" spans="1:18" x14ac:dyDescent="0.2">
      <c r="A1107" s="16"/>
      <c r="B1107" s="16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</row>
    <row r="1108" spans="1:18" x14ac:dyDescent="0.2">
      <c r="A1108" s="16"/>
      <c r="B1108" s="16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</row>
    <row r="1109" spans="1:18" x14ac:dyDescent="0.2">
      <c r="A1109" s="16"/>
      <c r="B1109" s="16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</row>
    <row r="1110" spans="1:18" x14ac:dyDescent="0.2">
      <c r="A1110" s="16"/>
      <c r="B1110" s="16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</row>
    <row r="1111" spans="1:18" x14ac:dyDescent="0.2">
      <c r="A1111" s="16"/>
      <c r="B1111" s="16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</row>
    <row r="1112" spans="1:18" x14ac:dyDescent="0.2">
      <c r="A1112" s="16"/>
      <c r="B1112" s="16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</row>
    <row r="1113" spans="1:18" x14ac:dyDescent="0.2">
      <c r="A1113" s="16"/>
      <c r="B1113" s="16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</row>
    <row r="1114" spans="1:18" x14ac:dyDescent="0.2">
      <c r="A1114" s="16"/>
      <c r="B1114" s="16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</row>
    <row r="1115" spans="1:18" x14ac:dyDescent="0.2">
      <c r="A1115" s="16"/>
      <c r="B1115" s="16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</row>
    <row r="1116" spans="1:18" x14ac:dyDescent="0.2">
      <c r="A1116" s="16"/>
      <c r="B1116" s="16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</row>
    <row r="1117" spans="1:18" x14ac:dyDescent="0.2">
      <c r="A1117" s="16"/>
      <c r="B1117" s="16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</row>
    <row r="1118" spans="1:18" x14ac:dyDescent="0.2">
      <c r="A1118" s="16"/>
      <c r="B1118" s="16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</row>
    <row r="1119" spans="1:18" x14ac:dyDescent="0.2">
      <c r="A1119" s="16"/>
      <c r="B1119" s="16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</row>
    <row r="1120" spans="1:18" x14ac:dyDescent="0.2">
      <c r="A1120" s="16"/>
      <c r="B1120" s="16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</row>
    <row r="1121" spans="1:18" x14ac:dyDescent="0.2">
      <c r="A1121" s="16"/>
      <c r="B1121" s="16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</row>
    <row r="1122" spans="1:18" x14ac:dyDescent="0.2">
      <c r="A1122" s="16"/>
      <c r="B1122" s="16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</row>
    <row r="1123" spans="1:18" x14ac:dyDescent="0.2">
      <c r="A1123" s="16"/>
      <c r="B1123" s="16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</row>
    <row r="1124" spans="1:18" x14ac:dyDescent="0.2">
      <c r="A1124" s="16"/>
      <c r="B1124" s="16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</row>
    <row r="1125" spans="1:18" x14ac:dyDescent="0.2">
      <c r="A1125" s="16"/>
      <c r="B1125" s="16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</row>
    <row r="1126" spans="1:18" x14ac:dyDescent="0.2">
      <c r="A1126" s="16"/>
      <c r="B1126" s="16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</row>
    <row r="1127" spans="1:18" x14ac:dyDescent="0.2">
      <c r="A1127" s="16"/>
      <c r="B1127" s="16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</row>
    <row r="1128" spans="1:18" x14ac:dyDescent="0.2">
      <c r="A1128" s="16"/>
      <c r="B1128" s="16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</row>
    <row r="1129" spans="1:18" x14ac:dyDescent="0.2">
      <c r="A1129" s="16"/>
      <c r="B1129" s="16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</row>
    <row r="1130" spans="1:18" x14ac:dyDescent="0.2">
      <c r="A1130" s="16"/>
      <c r="B1130" s="16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</row>
    <row r="1131" spans="1:18" x14ac:dyDescent="0.2">
      <c r="A1131" s="16"/>
      <c r="B1131" s="16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</row>
    <row r="1132" spans="1:18" x14ac:dyDescent="0.2">
      <c r="A1132" s="16"/>
      <c r="B1132" s="16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</row>
    <row r="1133" spans="1:18" x14ac:dyDescent="0.2">
      <c r="A1133" s="16"/>
      <c r="B1133" s="16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</row>
    <row r="1134" spans="1:18" x14ac:dyDescent="0.2">
      <c r="A1134" s="16"/>
      <c r="B1134" s="16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</row>
    <row r="1135" spans="1:18" x14ac:dyDescent="0.2">
      <c r="A1135" s="16"/>
      <c r="B1135" s="16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</row>
    <row r="1136" spans="1:18" x14ac:dyDescent="0.2">
      <c r="A1136" s="16"/>
      <c r="B1136" s="16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</row>
    <row r="1137" spans="1:18" x14ac:dyDescent="0.2">
      <c r="A1137" s="16"/>
      <c r="B1137" s="16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</row>
    <row r="1138" spans="1:18" x14ac:dyDescent="0.2">
      <c r="A1138" s="16"/>
      <c r="B1138" s="16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</row>
    <row r="1139" spans="1:18" x14ac:dyDescent="0.2">
      <c r="A1139" s="16"/>
      <c r="B1139" s="16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</row>
    <row r="1140" spans="1:18" x14ac:dyDescent="0.2">
      <c r="A1140" s="16"/>
      <c r="B1140" s="16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</row>
    <row r="1141" spans="1:18" x14ac:dyDescent="0.2">
      <c r="A1141" s="16"/>
      <c r="B1141" s="16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</row>
    <row r="1142" spans="1:18" x14ac:dyDescent="0.2">
      <c r="A1142" s="16"/>
      <c r="B1142" s="16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</row>
    <row r="1143" spans="1:18" x14ac:dyDescent="0.2">
      <c r="A1143" s="16"/>
      <c r="B1143" s="16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</row>
    <row r="1144" spans="1:18" x14ac:dyDescent="0.2">
      <c r="A1144" s="16"/>
      <c r="B1144" s="16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</row>
    <row r="1145" spans="1:18" x14ac:dyDescent="0.2">
      <c r="A1145" s="16"/>
      <c r="B1145" s="16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</row>
    <row r="1146" spans="1:18" x14ac:dyDescent="0.2">
      <c r="A1146" s="16"/>
      <c r="B1146" s="16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</row>
    <row r="1147" spans="1:18" x14ac:dyDescent="0.2">
      <c r="A1147" s="16"/>
      <c r="B1147" s="16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</row>
    <row r="1148" spans="1:18" x14ac:dyDescent="0.2">
      <c r="A1148" s="16"/>
      <c r="B1148" s="16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</row>
    <row r="1149" spans="1:18" x14ac:dyDescent="0.2">
      <c r="A1149" s="16"/>
      <c r="B1149" s="16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</row>
    <row r="1150" spans="1:18" x14ac:dyDescent="0.2">
      <c r="A1150" s="16"/>
      <c r="B1150" s="16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</row>
    <row r="1151" spans="1:18" x14ac:dyDescent="0.2">
      <c r="A1151" s="16"/>
      <c r="B1151" s="16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</row>
    <row r="1152" spans="1:18" x14ac:dyDescent="0.2">
      <c r="A1152" s="16"/>
      <c r="B1152" s="16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</row>
    <row r="1153" spans="1:18" x14ac:dyDescent="0.2">
      <c r="A1153" s="16"/>
      <c r="B1153" s="16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</row>
    <row r="1154" spans="1:18" x14ac:dyDescent="0.2">
      <c r="A1154" s="16"/>
      <c r="B1154" s="16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</row>
    <row r="1155" spans="1:18" x14ac:dyDescent="0.2">
      <c r="A1155" s="16"/>
      <c r="B1155" s="16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</row>
    <row r="1156" spans="1:18" x14ac:dyDescent="0.2">
      <c r="A1156" s="16"/>
      <c r="B1156" s="16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</row>
    <row r="1157" spans="1:18" x14ac:dyDescent="0.2">
      <c r="A1157" s="16"/>
      <c r="B1157" s="16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</row>
    <row r="1158" spans="1:18" x14ac:dyDescent="0.2">
      <c r="A1158" s="16"/>
      <c r="B1158" s="16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</row>
    <row r="1159" spans="1:18" x14ac:dyDescent="0.2">
      <c r="A1159" s="16"/>
      <c r="B1159" s="16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</row>
    <row r="1160" spans="1:18" x14ac:dyDescent="0.2">
      <c r="A1160" s="16"/>
      <c r="B1160" s="16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</row>
    <row r="1161" spans="1:18" x14ac:dyDescent="0.2">
      <c r="A1161" s="16"/>
      <c r="B1161" s="16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</row>
    <row r="1162" spans="1:18" x14ac:dyDescent="0.2">
      <c r="A1162" s="16"/>
      <c r="B1162" s="16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</row>
    <row r="1163" spans="1:18" x14ac:dyDescent="0.2">
      <c r="A1163" s="16"/>
      <c r="B1163" s="16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</row>
    <row r="1164" spans="1:18" x14ac:dyDescent="0.2">
      <c r="A1164" s="16"/>
      <c r="B1164" s="16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</row>
    <row r="1165" spans="1:18" x14ac:dyDescent="0.2">
      <c r="A1165" s="16"/>
      <c r="B1165" s="16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</row>
    <row r="1166" spans="1:18" x14ac:dyDescent="0.2">
      <c r="A1166" s="16"/>
      <c r="B1166" s="16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</row>
    <row r="1167" spans="1:18" x14ac:dyDescent="0.2">
      <c r="A1167" s="16"/>
      <c r="B1167" s="16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</row>
    <row r="1168" spans="1:18" x14ac:dyDescent="0.2">
      <c r="A1168" s="16"/>
      <c r="B1168" s="16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</row>
    <row r="1169" spans="1:18" x14ac:dyDescent="0.2">
      <c r="A1169" s="16"/>
      <c r="B1169" s="16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</row>
    <row r="1170" spans="1:18" x14ac:dyDescent="0.2">
      <c r="A1170" s="16"/>
      <c r="B1170" s="16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</row>
    <row r="1171" spans="1:18" x14ac:dyDescent="0.2">
      <c r="A1171" s="16"/>
      <c r="B1171" s="16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</row>
    <row r="1172" spans="1:18" x14ac:dyDescent="0.2">
      <c r="A1172" s="16"/>
      <c r="B1172" s="16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</row>
    <row r="1173" spans="1:18" x14ac:dyDescent="0.2">
      <c r="A1173" s="16"/>
      <c r="B1173" s="16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</row>
    <row r="1174" spans="1:18" x14ac:dyDescent="0.2">
      <c r="A1174" s="16"/>
      <c r="B1174" s="16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</row>
    <row r="1175" spans="1:18" x14ac:dyDescent="0.2">
      <c r="A1175" s="16"/>
      <c r="B1175" s="16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</row>
    <row r="1176" spans="1:18" x14ac:dyDescent="0.2">
      <c r="A1176" s="16"/>
      <c r="B1176" s="16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</row>
    <row r="1177" spans="1:18" x14ac:dyDescent="0.2">
      <c r="A1177" s="16"/>
      <c r="B1177" s="16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</row>
    <row r="1178" spans="1:18" x14ac:dyDescent="0.2">
      <c r="A1178" s="16"/>
      <c r="B1178" s="16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</row>
    <row r="1179" spans="1:18" x14ac:dyDescent="0.2">
      <c r="A1179" s="16"/>
      <c r="B1179" s="16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</row>
    <row r="1180" spans="1:18" x14ac:dyDescent="0.2">
      <c r="A1180" s="16"/>
      <c r="B1180" s="16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</row>
    <row r="1181" spans="1:18" x14ac:dyDescent="0.2">
      <c r="A1181" s="16"/>
      <c r="B1181" s="16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</row>
    <row r="1182" spans="1:18" x14ac:dyDescent="0.2">
      <c r="A1182" s="16"/>
      <c r="B1182" s="16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</row>
    <row r="1183" spans="1:18" x14ac:dyDescent="0.2">
      <c r="A1183" s="16"/>
      <c r="B1183" s="16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</row>
    <row r="1184" spans="1:18" x14ac:dyDescent="0.2">
      <c r="A1184" s="16"/>
      <c r="B1184" s="16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</row>
    <row r="1185" spans="1:18" x14ac:dyDescent="0.2">
      <c r="A1185" s="16"/>
      <c r="B1185" s="16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</row>
    <row r="1186" spans="1:18" x14ac:dyDescent="0.2">
      <c r="A1186" s="16"/>
      <c r="B1186" s="16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</row>
    <row r="1187" spans="1:18" x14ac:dyDescent="0.2">
      <c r="A1187" s="16"/>
      <c r="B1187" s="16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</row>
    <row r="1188" spans="1:18" x14ac:dyDescent="0.2">
      <c r="A1188" s="16"/>
      <c r="B1188" s="16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</row>
    <row r="1189" spans="1:18" x14ac:dyDescent="0.2">
      <c r="A1189" s="16"/>
      <c r="B1189" s="16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</row>
    <row r="1190" spans="1:18" x14ac:dyDescent="0.2">
      <c r="A1190" s="16"/>
      <c r="B1190" s="16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</row>
    <row r="1191" spans="1:18" x14ac:dyDescent="0.2">
      <c r="A1191" s="16"/>
      <c r="B1191" s="16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</row>
    <row r="1192" spans="1:18" x14ac:dyDescent="0.2">
      <c r="A1192" s="16"/>
      <c r="B1192" s="16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</row>
    <row r="1193" spans="1:18" x14ac:dyDescent="0.2">
      <c r="A1193" s="16"/>
      <c r="B1193" s="16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</row>
    <row r="1194" spans="1:18" x14ac:dyDescent="0.2">
      <c r="A1194" s="16"/>
      <c r="B1194" s="16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</row>
    <row r="1195" spans="1:18" x14ac:dyDescent="0.2">
      <c r="A1195" s="16"/>
      <c r="B1195" s="16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</row>
    <row r="1196" spans="1:18" x14ac:dyDescent="0.2">
      <c r="A1196" s="16"/>
      <c r="B1196" s="16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</row>
    <row r="1197" spans="1:18" x14ac:dyDescent="0.2">
      <c r="A1197" s="16"/>
      <c r="B1197" s="16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</row>
    <row r="1198" spans="1:18" x14ac:dyDescent="0.2">
      <c r="A1198" s="16"/>
      <c r="B1198" s="16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</row>
    <row r="1199" spans="1:18" x14ac:dyDescent="0.2">
      <c r="A1199" s="16"/>
      <c r="B1199" s="16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</row>
    <row r="1200" spans="1:18" x14ac:dyDescent="0.2">
      <c r="A1200" s="16"/>
      <c r="B1200" s="16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</row>
    <row r="1201" spans="1:18" x14ac:dyDescent="0.2">
      <c r="A1201" s="16"/>
      <c r="B1201" s="16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</row>
    <row r="1202" spans="1:18" x14ac:dyDescent="0.2">
      <c r="A1202" s="16"/>
      <c r="B1202" s="16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</row>
    <row r="1203" spans="1:18" x14ac:dyDescent="0.2">
      <c r="A1203" s="16"/>
      <c r="B1203" s="16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</row>
    <row r="1204" spans="1:18" x14ac:dyDescent="0.2">
      <c r="A1204" s="16"/>
      <c r="B1204" s="16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</row>
    <row r="1205" spans="1:18" x14ac:dyDescent="0.2">
      <c r="A1205" s="16"/>
      <c r="B1205" s="16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</row>
    <row r="1206" spans="1:18" x14ac:dyDescent="0.2">
      <c r="A1206" s="16"/>
      <c r="B1206" s="16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</row>
    <row r="1207" spans="1:18" x14ac:dyDescent="0.2">
      <c r="A1207" s="16"/>
      <c r="B1207" s="16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</row>
    <row r="1208" spans="1:18" x14ac:dyDescent="0.2">
      <c r="A1208" s="16"/>
      <c r="B1208" s="16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</row>
    <row r="1209" spans="1:18" x14ac:dyDescent="0.2">
      <c r="A1209" s="16"/>
      <c r="B1209" s="16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</row>
    <row r="1210" spans="1:18" x14ac:dyDescent="0.2">
      <c r="A1210" s="16"/>
      <c r="B1210" s="16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</row>
    <row r="1211" spans="1:18" x14ac:dyDescent="0.2">
      <c r="A1211" s="16"/>
      <c r="B1211" s="16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</row>
    <row r="1212" spans="1:18" x14ac:dyDescent="0.2">
      <c r="A1212" s="16"/>
      <c r="B1212" s="16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</row>
    <row r="1213" spans="1:18" x14ac:dyDescent="0.2">
      <c r="A1213" s="16"/>
      <c r="B1213" s="16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</row>
    <row r="1214" spans="1:18" x14ac:dyDescent="0.2">
      <c r="A1214" s="16"/>
      <c r="B1214" s="16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</row>
    <row r="1215" spans="1:18" x14ac:dyDescent="0.2">
      <c r="A1215" s="16"/>
      <c r="B1215" s="16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</row>
    <row r="1216" spans="1:18" x14ac:dyDescent="0.2">
      <c r="A1216" s="16"/>
      <c r="B1216" s="16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</row>
    <row r="1217" spans="1:18" x14ac:dyDescent="0.2">
      <c r="A1217" s="16"/>
      <c r="B1217" s="16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</row>
    <row r="1218" spans="1:18" x14ac:dyDescent="0.2">
      <c r="A1218" s="16"/>
      <c r="B1218" s="16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</row>
    <row r="1219" spans="1:18" x14ac:dyDescent="0.2">
      <c r="A1219" s="16"/>
      <c r="B1219" s="16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</row>
    <row r="1220" spans="1:18" x14ac:dyDescent="0.2">
      <c r="A1220" s="16"/>
      <c r="B1220" s="16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</row>
    <row r="1221" spans="1:18" x14ac:dyDescent="0.2">
      <c r="A1221" s="16"/>
      <c r="B1221" s="16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</row>
    <row r="1222" spans="1:18" x14ac:dyDescent="0.2">
      <c r="A1222" s="16"/>
      <c r="B1222" s="16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</row>
    <row r="1223" spans="1:18" x14ac:dyDescent="0.2">
      <c r="A1223" s="16"/>
      <c r="B1223" s="16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</row>
    <row r="1224" spans="1:18" x14ac:dyDescent="0.2">
      <c r="A1224" s="16"/>
      <c r="B1224" s="16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</row>
    <row r="1225" spans="1:18" x14ac:dyDescent="0.2">
      <c r="A1225" s="16"/>
      <c r="B1225" s="16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</row>
    <row r="1226" spans="1:18" x14ac:dyDescent="0.2">
      <c r="A1226" s="16"/>
      <c r="B1226" s="16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</row>
    <row r="1227" spans="1:18" x14ac:dyDescent="0.2">
      <c r="A1227" s="16"/>
      <c r="B1227" s="16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</row>
    <row r="1228" spans="1:18" x14ac:dyDescent="0.2">
      <c r="A1228" s="16"/>
      <c r="B1228" s="16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</row>
    <row r="1229" spans="1:18" x14ac:dyDescent="0.2">
      <c r="A1229" s="16"/>
      <c r="B1229" s="16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</row>
    <row r="1230" spans="1:18" x14ac:dyDescent="0.2">
      <c r="A1230" s="16"/>
      <c r="B1230" s="16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</row>
    <row r="1231" spans="1:18" x14ac:dyDescent="0.2">
      <c r="A1231" s="16"/>
      <c r="B1231" s="16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</row>
    <row r="1232" spans="1:18" x14ac:dyDescent="0.2">
      <c r="A1232" s="16"/>
      <c r="B1232" s="16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</row>
    <row r="1233" spans="1:18" x14ac:dyDescent="0.2">
      <c r="A1233" s="16"/>
      <c r="B1233" s="16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</row>
    <row r="1234" spans="1:18" x14ac:dyDescent="0.2">
      <c r="A1234" s="16"/>
      <c r="B1234" s="16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</row>
    <row r="1235" spans="1:18" x14ac:dyDescent="0.2">
      <c r="A1235" s="16"/>
      <c r="B1235" s="16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</row>
    <row r="1236" spans="1:18" x14ac:dyDescent="0.2">
      <c r="A1236" s="16"/>
      <c r="B1236" s="16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</row>
    <row r="1237" spans="1:18" x14ac:dyDescent="0.2">
      <c r="A1237" s="16"/>
      <c r="B1237" s="16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</row>
    <row r="1238" spans="1:18" x14ac:dyDescent="0.2">
      <c r="A1238" s="16"/>
      <c r="B1238" s="16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</row>
    <row r="1239" spans="1:18" x14ac:dyDescent="0.2">
      <c r="A1239" s="16"/>
      <c r="B1239" s="16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</row>
    <row r="1240" spans="1:18" x14ac:dyDescent="0.2">
      <c r="A1240" s="16"/>
      <c r="B1240" s="16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</row>
    <row r="1241" spans="1:18" x14ac:dyDescent="0.2">
      <c r="A1241" s="16"/>
      <c r="B1241" s="16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</row>
    <row r="1242" spans="1:18" x14ac:dyDescent="0.2">
      <c r="A1242" s="16"/>
      <c r="B1242" s="16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</row>
    <row r="1243" spans="1:18" x14ac:dyDescent="0.2">
      <c r="A1243" s="16"/>
      <c r="B1243" s="16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</row>
    <row r="1244" spans="1:18" x14ac:dyDescent="0.2">
      <c r="A1244" s="16"/>
      <c r="B1244" s="16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</row>
    <row r="1245" spans="1:18" x14ac:dyDescent="0.2">
      <c r="A1245" s="16"/>
      <c r="B1245" s="16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</row>
    <row r="1246" spans="1:18" x14ac:dyDescent="0.2">
      <c r="A1246" s="16"/>
      <c r="B1246" s="16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</row>
    <row r="1247" spans="1:18" x14ac:dyDescent="0.2">
      <c r="A1247" s="16"/>
      <c r="B1247" s="16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</row>
    <row r="1248" spans="1:18" x14ac:dyDescent="0.2">
      <c r="A1248" s="16"/>
      <c r="B1248" s="16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</row>
    <row r="1249" spans="1:18" x14ac:dyDescent="0.2">
      <c r="A1249" s="16"/>
      <c r="B1249" s="16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</row>
    <row r="1250" spans="1:18" x14ac:dyDescent="0.2">
      <c r="A1250" s="16"/>
      <c r="B1250" s="16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</row>
    <row r="1251" spans="1:18" x14ac:dyDescent="0.2">
      <c r="A1251" s="16"/>
      <c r="B1251" s="16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</row>
    <row r="1252" spans="1:18" x14ac:dyDescent="0.2">
      <c r="A1252" s="16"/>
      <c r="B1252" s="16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</row>
    <row r="1253" spans="1:18" x14ac:dyDescent="0.2">
      <c r="A1253" s="16"/>
      <c r="B1253" s="16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</row>
    <row r="1254" spans="1:18" x14ac:dyDescent="0.2">
      <c r="A1254" s="16"/>
      <c r="B1254" s="16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</row>
    <row r="1255" spans="1:18" x14ac:dyDescent="0.2">
      <c r="A1255" s="16"/>
      <c r="B1255" s="16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</row>
    <row r="1256" spans="1:18" x14ac:dyDescent="0.2">
      <c r="A1256" s="16"/>
      <c r="B1256" s="16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</row>
    <row r="1257" spans="1:18" x14ac:dyDescent="0.2">
      <c r="A1257" s="16"/>
      <c r="B1257" s="16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</row>
    <row r="1258" spans="1:18" x14ac:dyDescent="0.2">
      <c r="A1258" s="16"/>
      <c r="B1258" s="16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</row>
    <row r="1259" spans="1:18" x14ac:dyDescent="0.2">
      <c r="A1259" s="16"/>
      <c r="B1259" s="16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</row>
    <row r="1260" spans="1:18" x14ac:dyDescent="0.2">
      <c r="A1260" s="16"/>
      <c r="B1260" s="16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</row>
    <row r="1261" spans="1:18" x14ac:dyDescent="0.2">
      <c r="A1261" s="16"/>
      <c r="B1261" s="16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</row>
    <row r="1262" spans="1:18" x14ac:dyDescent="0.2">
      <c r="A1262" s="16"/>
      <c r="B1262" s="16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</row>
    <row r="1263" spans="1:18" x14ac:dyDescent="0.2">
      <c r="A1263" s="16"/>
      <c r="B1263" s="16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</row>
    <row r="1264" spans="1:18" x14ac:dyDescent="0.2">
      <c r="A1264" s="16"/>
      <c r="B1264" s="16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</row>
    <row r="1265" spans="1:18" x14ac:dyDescent="0.2">
      <c r="A1265" s="16"/>
      <c r="B1265" s="16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</row>
    <row r="1266" spans="1:18" x14ac:dyDescent="0.2">
      <c r="A1266" s="16"/>
      <c r="B1266" s="16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</row>
    <row r="1267" spans="1:18" x14ac:dyDescent="0.2">
      <c r="A1267" s="16"/>
      <c r="B1267" s="16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</row>
    <row r="1268" spans="1:18" x14ac:dyDescent="0.2">
      <c r="A1268" s="16"/>
      <c r="B1268" s="16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</row>
    <row r="1269" spans="1:18" x14ac:dyDescent="0.2">
      <c r="A1269" s="16"/>
      <c r="B1269" s="16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</row>
    <row r="1270" spans="1:18" x14ac:dyDescent="0.2">
      <c r="A1270" s="16"/>
      <c r="B1270" s="16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</row>
    <row r="1271" spans="1:18" x14ac:dyDescent="0.2">
      <c r="A1271" s="16"/>
      <c r="B1271" s="16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</row>
    <row r="1272" spans="1:18" x14ac:dyDescent="0.2">
      <c r="A1272" s="16"/>
      <c r="B1272" s="16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</row>
    <row r="1273" spans="1:18" x14ac:dyDescent="0.2">
      <c r="A1273" s="16"/>
      <c r="B1273" s="16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</row>
    <row r="1274" spans="1:18" x14ac:dyDescent="0.2">
      <c r="A1274" s="16"/>
      <c r="B1274" s="16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</row>
    <row r="1275" spans="1:18" x14ac:dyDescent="0.2">
      <c r="A1275" s="16"/>
      <c r="B1275" s="16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</row>
    <row r="1276" spans="1:18" x14ac:dyDescent="0.2">
      <c r="A1276" s="16"/>
      <c r="B1276" s="16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</row>
    <row r="1277" spans="1:18" x14ac:dyDescent="0.2">
      <c r="A1277" s="16"/>
      <c r="B1277" s="16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</row>
    <row r="1278" spans="1:18" x14ac:dyDescent="0.2">
      <c r="A1278" s="16"/>
      <c r="B1278" s="16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</row>
    <row r="1279" spans="1:18" x14ac:dyDescent="0.2">
      <c r="A1279" s="16"/>
      <c r="B1279" s="16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</row>
    <row r="1280" spans="1:18" x14ac:dyDescent="0.2">
      <c r="A1280" s="16"/>
      <c r="B1280" s="16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</row>
    <row r="1281" spans="1:18" x14ac:dyDescent="0.2">
      <c r="A1281" s="16"/>
      <c r="B1281" s="16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</row>
    <row r="1282" spans="1:18" x14ac:dyDescent="0.2">
      <c r="A1282" s="16"/>
      <c r="B1282" s="16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</row>
    <row r="1283" spans="1:18" x14ac:dyDescent="0.2">
      <c r="A1283" s="16"/>
      <c r="B1283" s="16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</row>
    <row r="1284" spans="1:18" x14ac:dyDescent="0.2">
      <c r="A1284" s="16"/>
      <c r="B1284" s="16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</row>
    <row r="1285" spans="1:18" x14ac:dyDescent="0.2">
      <c r="A1285" s="16"/>
      <c r="B1285" s="16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</row>
    <row r="1286" spans="1:18" x14ac:dyDescent="0.2">
      <c r="A1286" s="16"/>
      <c r="B1286" s="16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</row>
    <row r="1287" spans="1:18" x14ac:dyDescent="0.2">
      <c r="A1287" s="16"/>
      <c r="B1287" s="16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</row>
    <row r="1288" spans="1:18" x14ac:dyDescent="0.2">
      <c r="A1288" s="16"/>
      <c r="B1288" s="16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</row>
    <row r="1289" spans="1:18" x14ac:dyDescent="0.2">
      <c r="A1289" s="16"/>
      <c r="B1289" s="16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</row>
    <row r="1290" spans="1:18" x14ac:dyDescent="0.2">
      <c r="A1290" s="16"/>
      <c r="B1290" s="16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</row>
    <row r="1291" spans="1:18" x14ac:dyDescent="0.2">
      <c r="A1291" s="16"/>
      <c r="B1291" s="16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</row>
    <row r="1292" spans="1:18" x14ac:dyDescent="0.2">
      <c r="A1292" s="16"/>
      <c r="B1292" s="16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</row>
    <row r="1293" spans="1:18" x14ac:dyDescent="0.2">
      <c r="A1293" s="16"/>
      <c r="B1293" s="16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</row>
    <row r="1294" spans="1:18" x14ac:dyDescent="0.2">
      <c r="A1294" s="16"/>
      <c r="B1294" s="16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</row>
    <row r="1295" spans="1:18" x14ac:dyDescent="0.2">
      <c r="A1295" s="16"/>
      <c r="B1295" s="16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</row>
    <row r="1296" spans="1:18" x14ac:dyDescent="0.2">
      <c r="A1296" s="16"/>
      <c r="B1296" s="16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</row>
    <row r="1297" spans="1:18" x14ac:dyDescent="0.2">
      <c r="A1297" s="16"/>
      <c r="B1297" s="16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</row>
    <row r="1298" spans="1:18" x14ac:dyDescent="0.2">
      <c r="A1298" s="16"/>
      <c r="B1298" s="16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</row>
    <row r="1299" spans="1:18" x14ac:dyDescent="0.2">
      <c r="A1299" s="16"/>
      <c r="B1299" s="16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</row>
    <row r="1300" spans="1:18" x14ac:dyDescent="0.2">
      <c r="A1300" s="16"/>
      <c r="B1300" s="16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</row>
    <row r="1301" spans="1:18" x14ac:dyDescent="0.2">
      <c r="A1301" s="16"/>
      <c r="B1301" s="16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</row>
    <row r="1302" spans="1:18" x14ac:dyDescent="0.2">
      <c r="A1302" s="16"/>
      <c r="B1302" s="16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</row>
    <row r="1303" spans="1:18" x14ac:dyDescent="0.2">
      <c r="A1303" s="16"/>
      <c r="B1303" s="16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</row>
    <row r="1304" spans="1:18" x14ac:dyDescent="0.2">
      <c r="A1304" s="16"/>
      <c r="B1304" s="16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</row>
    <row r="1305" spans="1:18" x14ac:dyDescent="0.2">
      <c r="A1305" s="16"/>
      <c r="B1305" s="16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</row>
    <row r="1306" spans="1:18" x14ac:dyDescent="0.2">
      <c r="A1306" s="16"/>
      <c r="B1306" s="16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</row>
    <row r="1307" spans="1:18" x14ac:dyDescent="0.2">
      <c r="A1307" s="16"/>
      <c r="B1307" s="16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</row>
    <row r="1308" spans="1:18" x14ac:dyDescent="0.2">
      <c r="A1308" s="16"/>
      <c r="B1308" s="16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</row>
    <row r="1309" spans="1:18" x14ac:dyDescent="0.2">
      <c r="A1309" s="16"/>
      <c r="B1309" s="16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</row>
    <row r="1310" spans="1:18" x14ac:dyDescent="0.2">
      <c r="A1310" s="16"/>
      <c r="B1310" s="16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</row>
    <row r="1311" spans="1:18" x14ac:dyDescent="0.2">
      <c r="A1311" s="16"/>
      <c r="B1311" s="16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</row>
    <row r="1312" spans="1:18" x14ac:dyDescent="0.2">
      <c r="A1312" s="16"/>
      <c r="B1312" s="16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</row>
    <row r="1313" spans="1:18" x14ac:dyDescent="0.2">
      <c r="A1313" s="16"/>
      <c r="B1313" s="16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</row>
    <row r="1314" spans="1:18" x14ac:dyDescent="0.2">
      <c r="A1314" s="16"/>
      <c r="B1314" s="16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</row>
    <row r="1315" spans="1:18" x14ac:dyDescent="0.2">
      <c r="A1315" s="16"/>
      <c r="B1315" s="16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</row>
    <row r="1316" spans="1:18" x14ac:dyDescent="0.2">
      <c r="A1316" s="16"/>
      <c r="B1316" s="16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</row>
    <row r="1317" spans="1:18" x14ac:dyDescent="0.2">
      <c r="A1317" s="16"/>
      <c r="B1317" s="16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</row>
    <row r="1318" spans="1:18" x14ac:dyDescent="0.2">
      <c r="A1318" s="16"/>
      <c r="B1318" s="16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</row>
    <row r="1319" spans="1:18" x14ac:dyDescent="0.2">
      <c r="A1319" s="16"/>
      <c r="B1319" s="16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</row>
    <row r="1320" spans="1:18" x14ac:dyDescent="0.2">
      <c r="A1320" s="16"/>
      <c r="B1320" s="16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</row>
    <row r="1321" spans="1:18" x14ac:dyDescent="0.2">
      <c r="A1321" s="16"/>
      <c r="B1321" s="16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</row>
    <row r="1322" spans="1:18" x14ac:dyDescent="0.2">
      <c r="A1322" s="16"/>
      <c r="B1322" s="16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</row>
    <row r="1323" spans="1:18" x14ac:dyDescent="0.2">
      <c r="A1323" s="16"/>
      <c r="B1323" s="16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</row>
    <row r="1324" spans="1:18" x14ac:dyDescent="0.2">
      <c r="A1324" s="16"/>
      <c r="B1324" s="16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</row>
    <row r="1325" spans="1:18" x14ac:dyDescent="0.2">
      <c r="A1325" s="16"/>
      <c r="B1325" s="16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</row>
    <row r="1326" spans="1:18" x14ac:dyDescent="0.2">
      <c r="A1326" s="16"/>
      <c r="B1326" s="16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</row>
    <row r="1327" spans="1:18" x14ac:dyDescent="0.2">
      <c r="A1327" s="16"/>
      <c r="B1327" s="16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</row>
    <row r="1328" spans="1:18" x14ac:dyDescent="0.2">
      <c r="A1328" s="16"/>
      <c r="B1328" s="16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</row>
    <row r="1329" spans="1:18" x14ac:dyDescent="0.2">
      <c r="A1329" s="16"/>
      <c r="B1329" s="16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</row>
    <row r="1330" spans="1:18" x14ac:dyDescent="0.2">
      <c r="A1330" s="16"/>
      <c r="B1330" s="16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</row>
    <row r="1331" spans="1:18" x14ac:dyDescent="0.2">
      <c r="A1331" s="16"/>
      <c r="B1331" s="16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</row>
    <row r="1332" spans="1:18" x14ac:dyDescent="0.2">
      <c r="A1332" s="16"/>
      <c r="B1332" s="16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</row>
    <row r="1333" spans="1:18" x14ac:dyDescent="0.2">
      <c r="A1333" s="16"/>
      <c r="B1333" s="16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</row>
    <row r="1334" spans="1:18" x14ac:dyDescent="0.2">
      <c r="A1334" s="16"/>
      <c r="B1334" s="16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</row>
    <row r="1335" spans="1:18" x14ac:dyDescent="0.2">
      <c r="A1335" s="16"/>
      <c r="B1335" s="16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</row>
    <row r="1336" spans="1:18" x14ac:dyDescent="0.2">
      <c r="A1336" s="16"/>
      <c r="B1336" s="16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</row>
    <row r="1337" spans="1:18" x14ac:dyDescent="0.2">
      <c r="A1337" s="16"/>
      <c r="B1337" s="16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</row>
    <row r="1338" spans="1:18" x14ac:dyDescent="0.2">
      <c r="A1338" s="16"/>
      <c r="B1338" s="16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</row>
    <row r="1339" spans="1:18" x14ac:dyDescent="0.2">
      <c r="A1339" s="16"/>
      <c r="B1339" s="16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</row>
    <row r="1340" spans="1:18" x14ac:dyDescent="0.2">
      <c r="A1340" s="16"/>
      <c r="B1340" s="16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</row>
    <row r="1341" spans="1:18" x14ac:dyDescent="0.2">
      <c r="A1341" s="16"/>
      <c r="B1341" s="16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</row>
    <row r="1342" spans="1:18" x14ac:dyDescent="0.2">
      <c r="A1342" s="16"/>
      <c r="B1342" s="16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</row>
    <row r="1343" spans="1:18" x14ac:dyDescent="0.2">
      <c r="A1343" s="16"/>
      <c r="B1343" s="16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</row>
    <row r="1344" spans="1:18" x14ac:dyDescent="0.2">
      <c r="A1344" s="16"/>
      <c r="B1344" s="16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</row>
    <row r="1345" spans="1:18" x14ac:dyDescent="0.2">
      <c r="A1345" s="16"/>
      <c r="B1345" s="16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</row>
    <row r="1346" spans="1:18" x14ac:dyDescent="0.2">
      <c r="A1346" s="16"/>
      <c r="B1346" s="16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</row>
    <row r="1347" spans="1:18" x14ac:dyDescent="0.2">
      <c r="A1347" s="16"/>
      <c r="B1347" s="16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</row>
    <row r="1348" spans="1:18" x14ac:dyDescent="0.2">
      <c r="A1348" s="16"/>
      <c r="B1348" s="16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</row>
    <row r="1349" spans="1:18" x14ac:dyDescent="0.2">
      <c r="A1349" s="16"/>
      <c r="B1349" s="16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</row>
    <row r="1350" spans="1:18" x14ac:dyDescent="0.2">
      <c r="A1350" s="16"/>
      <c r="B1350" s="16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</row>
    <row r="1351" spans="1:18" x14ac:dyDescent="0.2">
      <c r="A1351" s="16"/>
      <c r="B1351" s="16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</row>
    <row r="1352" spans="1:18" x14ac:dyDescent="0.2">
      <c r="A1352" s="16"/>
      <c r="B1352" s="16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</row>
    <row r="1353" spans="1:18" x14ac:dyDescent="0.2">
      <c r="A1353" s="16"/>
      <c r="B1353" s="16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</row>
    <row r="1354" spans="1:18" x14ac:dyDescent="0.2">
      <c r="A1354" s="16"/>
      <c r="B1354" s="16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</row>
    <row r="1355" spans="1:18" x14ac:dyDescent="0.2">
      <c r="A1355" s="16"/>
      <c r="B1355" s="16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</row>
    <row r="1356" spans="1:18" x14ac:dyDescent="0.2">
      <c r="A1356" s="16"/>
      <c r="B1356" s="16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</row>
    <row r="1357" spans="1:18" x14ac:dyDescent="0.2">
      <c r="A1357" s="16"/>
      <c r="B1357" s="16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</row>
    <row r="1358" spans="1:18" x14ac:dyDescent="0.2">
      <c r="A1358" s="16"/>
      <c r="B1358" s="16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</row>
    <row r="1359" spans="1:18" x14ac:dyDescent="0.2">
      <c r="A1359" s="16"/>
      <c r="B1359" s="16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</row>
    <row r="1360" spans="1:18" x14ac:dyDescent="0.2">
      <c r="A1360" s="16"/>
      <c r="B1360" s="16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</row>
    <row r="1361" spans="1:18" x14ac:dyDescent="0.2">
      <c r="A1361" s="16"/>
      <c r="B1361" s="16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</row>
    <row r="1362" spans="1:18" x14ac:dyDescent="0.2">
      <c r="A1362" s="16"/>
      <c r="B1362" s="16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</row>
    <row r="1363" spans="1:18" x14ac:dyDescent="0.2">
      <c r="A1363" s="16"/>
      <c r="B1363" s="16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</row>
    <row r="1364" spans="1:18" x14ac:dyDescent="0.2">
      <c r="A1364" s="16"/>
      <c r="B1364" s="16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</row>
    <row r="1365" spans="1:18" x14ac:dyDescent="0.2">
      <c r="A1365" s="16"/>
      <c r="B1365" s="16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</row>
    <row r="1366" spans="1:18" x14ac:dyDescent="0.2">
      <c r="A1366" s="16"/>
      <c r="B1366" s="16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</row>
    <row r="1367" spans="1:18" x14ac:dyDescent="0.2">
      <c r="A1367" s="16"/>
      <c r="B1367" s="16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</row>
    <row r="1368" spans="1:18" x14ac:dyDescent="0.2">
      <c r="A1368" s="16"/>
      <c r="B1368" s="16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</row>
    <row r="1369" spans="1:18" x14ac:dyDescent="0.2">
      <c r="A1369" s="16"/>
      <c r="B1369" s="16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</row>
    <row r="1370" spans="1:18" x14ac:dyDescent="0.2">
      <c r="A1370" s="16"/>
      <c r="B1370" s="16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</row>
    <row r="1371" spans="1:18" x14ac:dyDescent="0.2">
      <c r="A1371" s="16"/>
      <c r="B1371" s="16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</row>
    <row r="1372" spans="1:18" x14ac:dyDescent="0.2">
      <c r="A1372" s="16"/>
      <c r="B1372" s="16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</row>
    <row r="1373" spans="1:18" x14ac:dyDescent="0.2">
      <c r="A1373" s="16"/>
      <c r="B1373" s="16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</row>
    <row r="1374" spans="1:18" x14ac:dyDescent="0.2">
      <c r="A1374" s="16"/>
      <c r="B1374" s="16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</row>
    <row r="1375" spans="1:18" x14ac:dyDescent="0.2">
      <c r="A1375" s="16"/>
      <c r="B1375" s="16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</row>
    <row r="1376" spans="1:18" x14ac:dyDescent="0.2">
      <c r="A1376" s="16"/>
      <c r="B1376" s="16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</row>
    <row r="1377" spans="1:18" x14ac:dyDescent="0.2">
      <c r="A1377" s="16"/>
      <c r="B1377" s="16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</row>
    <row r="1378" spans="1:18" x14ac:dyDescent="0.2">
      <c r="A1378" s="16"/>
      <c r="B1378" s="16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</row>
    <row r="1379" spans="1:18" x14ac:dyDescent="0.2">
      <c r="A1379" s="16"/>
      <c r="B1379" s="16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</row>
    <row r="1380" spans="1:18" x14ac:dyDescent="0.2">
      <c r="A1380" s="16"/>
      <c r="B1380" s="16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</row>
    <row r="1381" spans="1:18" x14ac:dyDescent="0.2">
      <c r="A1381" s="16"/>
      <c r="B1381" s="16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</row>
    <row r="1382" spans="1:18" x14ac:dyDescent="0.2">
      <c r="A1382" s="16"/>
      <c r="B1382" s="16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</row>
    <row r="1383" spans="1:18" x14ac:dyDescent="0.2">
      <c r="A1383" s="16"/>
      <c r="B1383" s="16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</row>
    <row r="1384" spans="1:18" x14ac:dyDescent="0.2">
      <c r="A1384" s="16"/>
      <c r="B1384" s="16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</row>
    <row r="1385" spans="1:18" x14ac:dyDescent="0.2">
      <c r="A1385" s="16"/>
      <c r="B1385" s="16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</row>
    <row r="1386" spans="1:18" x14ac:dyDescent="0.2">
      <c r="A1386" s="16"/>
      <c r="B1386" s="16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</row>
    <row r="1387" spans="1:18" x14ac:dyDescent="0.2">
      <c r="A1387" s="16"/>
      <c r="B1387" s="16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</row>
    <row r="1388" spans="1:18" x14ac:dyDescent="0.2">
      <c r="A1388" s="16"/>
      <c r="B1388" s="16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</row>
    <row r="1389" spans="1:18" x14ac:dyDescent="0.2">
      <c r="A1389" s="16"/>
      <c r="B1389" s="16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</row>
    <row r="1390" spans="1:18" x14ac:dyDescent="0.2">
      <c r="A1390" s="16"/>
      <c r="B1390" s="16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</row>
    <row r="1391" spans="1:18" x14ac:dyDescent="0.2">
      <c r="A1391" s="16"/>
      <c r="B1391" s="16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</row>
    <row r="1392" spans="1:18" x14ac:dyDescent="0.2">
      <c r="A1392" s="16"/>
      <c r="B1392" s="16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</row>
    <row r="1393" spans="1:18" x14ac:dyDescent="0.2">
      <c r="A1393" s="16"/>
      <c r="B1393" s="16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</row>
    <row r="1394" spans="1:18" x14ac:dyDescent="0.2">
      <c r="A1394" s="16"/>
      <c r="B1394" s="16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</row>
    <row r="1395" spans="1:18" x14ac:dyDescent="0.2">
      <c r="A1395" s="16"/>
      <c r="B1395" s="16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</row>
    <row r="1396" spans="1:18" x14ac:dyDescent="0.2">
      <c r="A1396" s="16"/>
      <c r="B1396" s="16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</row>
    <row r="1397" spans="1:18" x14ac:dyDescent="0.2">
      <c r="A1397" s="16"/>
      <c r="B1397" s="16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</row>
    <row r="1398" spans="1:18" x14ac:dyDescent="0.2">
      <c r="A1398" s="16"/>
      <c r="B1398" s="16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</row>
    <row r="1399" spans="1:18" x14ac:dyDescent="0.2">
      <c r="A1399" s="16"/>
      <c r="B1399" s="16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</row>
    <row r="1400" spans="1:18" x14ac:dyDescent="0.2">
      <c r="A1400" s="16"/>
      <c r="B1400" s="16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</row>
    <row r="1401" spans="1:18" x14ac:dyDescent="0.2">
      <c r="A1401" s="16"/>
      <c r="B1401" s="16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</row>
    <row r="1402" spans="1:18" x14ac:dyDescent="0.2">
      <c r="A1402" s="16"/>
      <c r="B1402" s="16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</row>
    <row r="1403" spans="1:18" x14ac:dyDescent="0.2">
      <c r="A1403" s="16"/>
      <c r="B1403" s="16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</row>
    <row r="1404" spans="1:18" x14ac:dyDescent="0.2">
      <c r="A1404" s="16"/>
      <c r="B1404" s="16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</row>
    <row r="1405" spans="1:18" x14ac:dyDescent="0.2">
      <c r="A1405" s="16"/>
      <c r="B1405" s="16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</row>
    <row r="1406" spans="1:18" x14ac:dyDescent="0.2">
      <c r="A1406" s="16"/>
      <c r="B1406" s="16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</row>
    <row r="1407" spans="1:18" x14ac:dyDescent="0.2">
      <c r="A1407" s="16"/>
      <c r="B1407" s="16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</row>
    <row r="1408" spans="1:18" x14ac:dyDescent="0.2">
      <c r="A1408" s="16"/>
      <c r="B1408" s="16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</row>
    <row r="1409" spans="1:18" x14ac:dyDescent="0.2">
      <c r="A1409" s="16"/>
      <c r="B1409" s="16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</row>
    <row r="1410" spans="1:18" x14ac:dyDescent="0.2">
      <c r="A1410" s="16"/>
      <c r="B1410" s="16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</row>
    <row r="1411" spans="1:18" x14ac:dyDescent="0.2">
      <c r="A1411" s="16"/>
      <c r="B1411" s="16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</row>
    <row r="1412" spans="1:18" x14ac:dyDescent="0.2">
      <c r="A1412" s="16"/>
      <c r="B1412" s="16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</row>
    <row r="1413" spans="1:18" x14ac:dyDescent="0.2">
      <c r="A1413" s="16"/>
      <c r="B1413" s="16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</row>
    <row r="1414" spans="1:18" x14ac:dyDescent="0.2">
      <c r="A1414" s="16"/>
      <c r="B1414" s="16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</row>
    <row r="1415" spans="1:18" x14ac:dyDescent="0.2">
      <c r="A1415" s="16"/>
      <c r="B1415" s="16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</row>
    <row r="1416" spans="1:18" x14ac:dyDescent="0.2">
      <c r="A1416" s="16"/>
      <c r="B1416" s="16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</row>
    <row r="1417" spans="1:18" x14ac:dyDescent="0.2">
      <c r="A1417" s="16"/>
      <c r="B1417" s="16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</row>
    <row r="1418" spans="1:18" x14ac:dyDescent="0.2">
      <c r="A1418" s="16"/>
      <c r="B1418" s="16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</row>
    <row r="1419" spans="1:18" x14ac:dyDescent="0.2">
      <c r="A1419" s="16"/>
      <c r="B1419" s="16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</row>
    <row r="1420" spans="1:18" x14ac:dyDescent="0.2">
      <c r="A1420" s="16"/>
      <c r="B1420" s="16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</row>
    <row r="1421" spans="1:18" x14ac:dyDescent="0.2">
      <c r="A1421" s="16"/>
      <c r="B1421" s="16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</row>
    <row r="1422" spans="1:18" x14ac:dyDescent="0.2">
      <c r="A1422" s="16"/>
      <c r="B1422" s="16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</row>
    <row r="1423" spans="1:18" x14ac:dyDescent="0.2">
      <c r="A1423" s="16"/>
      <c r="B1423" s="16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</row>
    <row r="1424" spans="1:18" x14ac:dyDescent="0.2">
      <c r="A1424" s="16"/>
      <c r="B1424" s="16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</row>
    <row r="1425" spans="1:18" x14ac:dyDescent="0.2">
      <c r="A1425" s="16"/>
      <c r="B1425" s="16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</row>
    <row r="1426" spans="1:18" x14ac:dyDescent="0.2">
      <c r="A1426" s="16"/>
      <c r="B1426" s="16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</row>
    <row r="1427" spans="1:18" x14ac:dyDescent="0.2">
      <c r="A1427" s="16"/>
      <c r="B1427" s="16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</row>
    <row r="1428" spans="1:18" x14ac:dyDescent="0.2">
      <c r="A1428" s="16"/>
      <c r="B1428" s="16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</row>
    <row r="1429" spans="1:18" x14ac:dyDescent="0.2">
      <c r="A1429" s="16"/>
      <c r="B1429" s="16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</row>
    <row r="1430" spans="1:18" x14ac:dyDescent="0.2">
      <c r="A1430" s="16"/>
      <c r="B1430" s="16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</row>
    <row r="1431" spans="1:18" x14ac:dyDescent="0.2">
      <c r="A1431" s="16"/>
      <c r="B1431" s="16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</row>
    <row r="1432" spans="1:18" x14ac:dyDescent="0.2">
      <c r="A1432" s="16"/>
      <c r="B1432" s="16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</row>
    <row r="1433" spans="1:18" x14ac:dyDescent="0.2">
      <c r="A1433" s="16"/>
      <c r="B1433" s="16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</row>
    <row r="1434" spans="1:18" x14ac:dyDescent="0.2">
      <c r="A1434" s="16"/>
      <c r="B1434" s="16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</row>
    <row r="1435" spans="1:18" x14ac:dyDescent="0.2">
      <c r="A1435" s="16"/>
      <c r="B1435" s="16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</row>
    <row r="1436" spans="1:18" x14ac:dyDescent="0.2">
      <c r="A1436" s="16"/>
      <c r="B1436" s="16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</row>
    <row r="1437" spans="1:18" x14ac:dyDescent="0.2">
      <c r="A1437" s="16"/>
      <c r="B1437" s="16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</row>
    <row r="1438" spans="1:18" x14ac:dyDescent="0.2">
      <c r="A1438" s="16"/>
      <c r="B1438" s="16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</row>
    <row r="1439" spans="1:18" x14ac:dyDescent="0.2">
      <c r="A1439" s="16"/>
      <c r="B1439" s="16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</row>
    <row r="1440" spans="1:18" x14ac:dyDescent="0.2">
      <c r="A1440" s="16"/>
      <c r="B1440" s="16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</row>
    <row r="1441" spans="1:18" x14ac:dyDescent="0.2">
      <c r="A1441" s="16"/>
      <c r="B1441" s="16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</row>
    <row r="1442" spans="1:18" x14ac:dyDescent="0.2">
      <c r="A1442" s="16"/>
      <c r="B1442" s="16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</row>
    <row r="1443" spans="1:18" x14ac:dyDescent="0.2">
      <c r="A1443" s="16"/>
      <c r="B1443" s="16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</row>
    <row r="1444" spans="1:18" x14ac:dyDescent="0.2">
      <c r="A1444" s="16"/>
      <c r="B1444" s="16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</row>
    <row r="1445" spans="1:18" x14ac:dyDescent="0.2">
      <c r="A1445" s="16"/>
      <c r="B1445" s="16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</row>
    <row r="1446" spans="1:18" x14ac:dyDescent="0.2">
      <c r="A1446" s="16"/>
      <c r="B1446" s="16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</row>
    <row r="1447" spans="1:18" x14ac:dyDescent="0.2">
      <c r="A1447" s="16"/>
      <c r="B1447" s="16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</row>
    <row r="1448" spans="1:18" x14ac:dyDescent="0.2">
      <c r="A1448" s="16"/>
      <c r="B1448" s="16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</row>
    <row r="1449" spans="1:18" x14ac:dyDescent="0.2">
      <c r="A1449" s="16"/>
      <c r="B1449" s="16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</row>
    <row r="1450" spans="1:18" x14ac:dyDescent="0.2">
      <c r="A1450" s="16"/>
      <c r="B1450" s="16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</row>
    <row r="1451" spans="1:18" x14ac:dyDescent="0.2">
      <c r="A1451" s="16"/>
      <c r="B1451" s="16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</row>
    <row r="1452" spans="1:18" x14ac:dyDescent="0.2">
      <c r="A1452" s="16"/>
      <c r="B1452" s="16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</row>
    <row r="1453" spans="1:18" x14ac:dyDescent="0.2">
      <c r="A1453" s="16"/>
      <c r="B1453" s="16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</row>
    <row r="1454" spans="1:18" x14ac:dyDescent="0.2">
      <c r="A1454" s="16"/>
      <c r="B1454" s="16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</row>
    <row r="1455" spans="1:18" x14ac:dyDescent="0.2">
      <c r="A1455" s="16"/>
      <c r="B1455" s="16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</row>
    <row r="1456" spans="1:18" x14ac:dyDescent="0.2">
      <c r="A1456" s="16"/>
      <c r="B1456" s="16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</row>
    <row r="1457" spans="1:18" x14ac:dyDescent="0.2">
      <c r="A1457" s="16"/>
      <c r="B1457" s="16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</row>
    <row r="1458" spans="1:18" x14ac:dyDescent="0.2">
      <c r="A1458" s="16"/>
      <c r="B1458" s="16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</row>
    <row r="1459" spans="1:18" x14ac:dyDescent="0.2">
      <c r="A1459" s="16"/>
      <c r="B1459" s="16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</row>
    <row r="1460" spans="1:18" x14ac:dyDescent="0.2">
      <c r="A1460" s="16"/>
      <c r="B1460" s="16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</row>
    <row r="1461" spans="1:18" x14ac:dyDescent="0.2">
      <c r="A1461" s="16"/>
      <c r="B1461" s="16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</row>
    <row r="1462" spans="1:18" x14ac:dyDescent="0.2">
      <c r="A1462" s="16"/>
      <c r="B1462" s="16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</row>
    <row r="1463" spans="1:18" x14ac:dyDescent="0.2">
      <c r="A1463" s="16"/>
      <c r="B1463" s="16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</row>
    <row r="1464" spans="1:18" x14ac:dyDescent="0.2">
      <c r="A1464" s="16"/>
      <c r="B1464" s="16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</row>
    <row r="1465" spans="1:18" x14ac:dyDescent="0.2">
      <c r="A1465" s="16"/>
      <c r="B1465" s="16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</row>
    <row r="1466" spans="1:18" x14ac:dyDescent="0.2">
      <c r="A1466" s="16"/>
      <c r="B1466" s="16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</row>
    <row r="1467" spans="1:18" x14ac:dyDescent="0.2">
      <c r="A1467" s="16"/>
      <c r="B1467" s="16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</row>
    <row r="1468" spans="1:18" x14ac:dyDescent="0.2">
      <c r="A1468" s="16"/>
      <c r="B1468" s="16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</row>
    <row r="1469" spans="1:18" x14ac:dyDescent="0.2">
      <c r="A1469" s="16"/>
      <c r="B1469" s="16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</row>
    <row r="1470" spans="1:18" x14ac:dyDescent="0.2">
      <c r="A1470" s="16"/>
      <c r="B1470" s="16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</row>
    <row r="1471" spans="1:18" x14ac:dyDescent="0.2">
      <c r="A1471" s="16"/>
      <c r="B1471" s="16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</row>
    <row r="1472" spans="1:18" x14ac:dyDescent="0.2">
      <c r="A1472" s="16"/>
      <c r="B1472" s="16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</row>
    <row r="1473" spans="1:18" x14ac:dyDescent="0.2">
      <c r="A1473" s="16"/>
      <c r="B1473" s="16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</row>
    <row r="1474" spans="1:18" x14ac:dyDescent="0.2">
      <c r="A1474" s="16"/>
      <c r="B1474" s="16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</row>
    <row r="1475" spans="1:18" x14ac:dyDescent="0.2">
      <c r="A1475" s="16"/>
      <c r="B1475" s="16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</row>
    <row r="1476" spans="1:18" x14ac:dyDescent="0.2">
      <c r="A1476" s="16"/>
      <c r="B1476" s="16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</row>
    <row r="1477" spans="1:18" x14ac:dyDescent="0.2">
      <c r="A1477" s="16"/>
      <c r="B1477" s="16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</row>
    <row r="1478" spans="1:18" x14ac:dyDescent="0.2">
      <c r="A1478" s="16"/>
      <c r="B1478" s="16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</row>
    <row r="1479" spans="1:18" x14ac:dyDescent="0.2">
      <c r="A1479" s="16"/>
      <c r="B1479" s="16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</row>
    <row r="1480" spans="1:18" x14ac:dyDescent="0.2">
      <c r="A1480" s="16"/>
      <c r="B1480" s="16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</row>
    <row r="1481" spans="1:18" x14ac:dyDescent="0.2">
      <c r="A1481" s="16"/>
      <c r="B1481" s="16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</row>
    <row r="1482" spans="1:18" x14ac:dyDescent="0.2">
      <c r="A1482" s="16"/>
      <c r="B1482" s="16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</row>
    <row r="1483" spans="1:18" x14ac:dyDescent="0.2">
      <c r="A1483" s="16"/>
      <c r="B1483" s="16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</row>
    <row r="1484" spans="1:18" x14ac:dyDescent="0.2">
      <c r="A1484" s="16"/>
      <c r="B1484" s="16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</row>
    <row r="1485" spans="1:18" x14ac:dyDescent="0.2">
      <c r="A1485" s="16"/>
      <c r="B1485" s="16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</row>
    <row r="1486" spans="1:18" x14ac:dyDescent="0.2">
      <c r="A1486" s="16"/>
      <c r="B1486" s="16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</row>
    <row r="1487" spans="1:18" x14ac:dyDescent="0.2">
      <c r="A1487" s="16"/>
      <c r="B1487" s="16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</row>
    <row r="1488" spans="1:18" x14ac:dyDescent="0.2">
      <c r="A1488" s="16"/>
      <c r="B1488" s="16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</row>
    <row r="1489" spans="1:18" x14ac:dyDescent="0.2">
      <c r="A1489" s="16"/>
      <c r="B1489" s="16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</row>
    <row r="1490" spans="1:18" x14ac:dyDescent="0.2">
      <c r="A1490" s="16"/>
      <c r="B1490" s="16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</row>
    <row r="1491" spans="1:18" x14ac:dyDescent="0.2">
      <c r="A1491" s="16"/>
      <c r="B1491" s="16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</row>
    <row r="1492" spans="1:18" x14ac:dyDescent="0.2">
      <c r="A1492" s="16"/>
      <c r="B1492" s="16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</row>
    <row r="1493" spans="1:18" x14ac:dyDescent="0.2">
      <c r="A1493" s="16"/>
      <c r="B1493" s="16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</row>
    <row r="1494" spans="1:18" x14ac:dyDescent="0.2">
      <c r="A1494" s="16"/>
      <c r="B1494" s="16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</row>
    <row r="1495" spans="1:18" x14ac:dyDescent="0.2">
      <c r="A1495" s="16"/>
      <c r="B1495" s="16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</row>
    <row r="1496" spans="1:18" x14ac:dyDescent="0.2">
      <c r="A1496" s="16"/>
      <c r="B1496" s="16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</row>
    <row r="1497" spans="1:18" x14ac:dyDescent="0.2">
      <c r="A1497" s="16"/>
      <c r="B1497" s="16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</row>
    <row r="1498" spans="1:18" x14ac:dyDescent="0.2">
      <c r="A1498" s="16"/>
      <c r="B1498" s="16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</row>
    <row r="1499" spans="1:18" x14ac:dyDescent="0.2">
      <c r="A1499" s="16"/>
      <c r="B1499" s="16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</row>
    <row r="1500" spans="1:18" x14ac:dyDescent="0.2">
      <c r="A1500" s="16"/>
      <c r="B1500" s="16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</row>
    <row r="1501" spans="1:18" x14ac:dyDescent="0.2">
      <c r="A1501" s="16"/>
      <c r="B1501" s="16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</row>
    <row r="1502" spans="1:18" x14ac:dyDescent="0.2">
      <c r="A1502" s="16"/>
      <c r="B1502" s="16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</row>
    <row r="1503" spans="1:18" x14ac:dyDescent="0.2">
      <c r="A1503" s="16"/>
      <c r="B1503" s="16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</row>
    <row r="1504" spans="1:18" x14ac:dyDescent="0.2">
      <c r="A1504" s="16"/>
      <c r="B1504" s="16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</row>
    <row r="1505" spans="1:18" x14ac:dyDescent="0.2">
      <c r="A1505" s="16"/>
      <c r="B1505" s="16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</row>
    <row r="1506" spans="1:18" x14ac:dyDescent="0.2">
      <c r="A1506" s="16"/>
      <c r="B1506" s="16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</row>
    <row r="1507" spans="1:18" x14ac:dyDescent="0.2">
      <c r="A1507" s="16"/>
      <c r="B1507" s="16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</row>
    <row r="1508" spans="1:18" x14ac:dyDescent="0.2">
      <c r="A1508" s="16"/>
      <c r="B1508" s="16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</row>
    <row r="1509" spans="1:18" x14ac:dyDescent="0.2">
      <c r="A1509" s="16"/>
      <c r="B1509" s="16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</row>
    <row r="1510" spans="1:18" x14ac:dyDescent="0.2">
      <c r="A1510" s="16"/>
      <c r="B1510" s="16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</row>
    <row r="1511" spans="1:18" x14ac:dyDescent="0.2">
      <c r="A1511" s="16"/>
      <c r="B1511" s="16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</row>
    <row r="1512" spans="1:18" x14ac:dyDescent="0.2">
      <c r="A1512" s="16"/>
      <c r="B1512" s="16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</row>
    <row r="1513" spans="1:18" x14ac:dyDescent="0.2">
      <c r="A1513" s="16"/>
      <c r="B1513" s="16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</row>
    <row r="1514" spans="1:18" x14ac:dyDescent="0.2">
      <c r="A1514" s="16"/>
      <c r="B1514" s="16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</row>
    <row r="1515" spans="1:18" x14ac:dyDescent="0.2">
      <c r="A1515" s="16"/>
      <c r="B1515" s="16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</row>
    <row r="1516" spans="1:18" x14ac:dyDescent="0.2">
      <c r="A1516" s="16"/>
      <c r="B1516" s="16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</row>
    <row r="1517" spans="1:18" x14ac:dyDescent="0.2">
      <c r="A1517" s="16"/>
      <c r="B1517" s="16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</row>
    <row r="1518" spans="1:18" x14ac:dyDescent="0.2">
      <c r="A1518" s="16"/>
      <c r="B1518" s="16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</row>
    <row r="1519" spans="1:18" x14ac:dyDescent="0.2">
      <c r="A1519" s="16"/>
      <c r="B1519" s="16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</row>
    <row r="1520" spans="1:18" x14ac:dyDescent="0.2">
      <c r="A1520" s="16"/>
      <c r="B1520" s="16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</row>
    <row r="1521" spans="1:18" x14ac:dyDescent="0.2">
      <c r="A1521" s="16"/>
      <c r="B1521" s="16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</row>
    <row r="1522" spans="1:18" x14ac:dyDescent="0.2">
      <c r="A1522" s="16"/>
      <c r="B1522" s="16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</row>
    <row r="1523" spans="1:18" x14ac:dyDescent="0.2">
      <c r="A1523" s="16"/>
      <c r="B1523" s="16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</row>
    <row r="1524" spans="1:18" x14ac:dyDescent="0.2">
      <c r="A1524" s="16"/>
      <c r="B1524" s="16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</row>
    <row r="1525" spans="1:18" x14ac:dyDescent="0.2">
      <c r="A1525" s="16"/>
      <c r="B1525" s="16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</row>
    <row r="1526" spans="1:18" x14ac:dyDescent="0.2">
      <c r="A1526" s="16"/>
      <c r="B1526" s="16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</row>
    <row r="1527" spans="1:18" x14ac:dyDescent="0.2">
      <c r="A1527" s="16"/>
      <c r="B1527" s="16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</row>
    <row r="1528" spans="1:18" x14ac:dyDescent="0.2">
      <c r="A1528" s="16"/>
      <c r="B1528" s="16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</row>
    <row r="1529" spans="1:18" x14ac:dyDescent="0.2">
      <c r="A1529" s="16"/>
      <c r="B1529" s="16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</row>
    <row r="1530" spans="1:18" x14ac:dyDescent="0.2">
      <c r="A1530" s="16"/>
      <c r="B1530" s="16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</row>
    <row r="1531" spans="1:18" x14ac:dyDescent="0.2">
      <c r="A1531" s="16"/>
      <c r="B1531" s="16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</row>
    <row r="1532" spans="1:18" x14ac:dyDescent="0.2">
      <c r="A1532" s="16"/>
      <c r="B1532" s="16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</row>
    <row r="1533" spans="1:18" x14ac:dyDescent="0.2">
      <c r="A1533" s="16"/>
      <c r="B1533" s="16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</row>
    <row r="1534" spans="1:18" x14ac:dyDescent="0.2">
      <c r="A1534" s="16"/>
      <c r="B1534" s="16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</row>
    <row r="1535" spans="1:18" x14ac:dyDescent="0.2">
      <c r="A1535" s="16"/>
      <c r="B1535" s="16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</row>
    <row r="1536" spans="1:18" x14ac:dyDescent="0.2">
      <c r="A1536" s="16"/>
      <c r="B1536" s="16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</row>
    <row r="1537" spans="1:18" x14ac:dyDescent="0.2">
      <c r="A1537" s="16"/>
      <c r="B1537" s="16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</row>
    <row r="1538" spans="1:18" x14ac:dyDescent="0.2">
      <c r="A1538" s="16"/>
      <c r="B1538" s="16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</row>
    <row r="1539" spans="1:18" x14ac:dyDescent="0.2">
      <c r="A1539" s="16"/>
      <c r="B1539" s="16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</row>
    <row r="1540" spans="1:18" x14ac:dyDescent="0.2">
      <c r="A1540" s="16"/>
      <c r="B1540" s="16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</row>
    <row r="1541" spans="1:18" x14ac:dyDescent="0.2">
      <c r="A1541" s="16"/>
      <c r="B1541" s="16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</row>
    <row r="1542" spans="1:18" x14ac:dyDescent="0.2">
      <c r="A1542" s="16"/>
      <c r="B1542" s="16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</row>
    <row r="1543" spans="1:18" x14ac:dyDescent="0.2">
      <c r="A1543" s="16"/>
      <c r="B1543" s="16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</row>
    <row r="1544" spans="1:18" x14ac:dyDescent="0.2">
      <c r="A1544" s="16"/>
      <c r="B1544" s="16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</row>
    <row r="1545" spans="1:18" x14ac:dyDescent="0.2">
      <c r="A1545" s="16"/>
      <c r="B1545" s="16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</row>
    <row r="1546" spans="1:18" x14ac:dyDescent="0.2">
      <c r="A1546" s="16"/>
      <c r="B1546" s="16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</row>
    <row r="1547" spans="1:18" x14ac:dyDescent="0.2">
      <c r="A1547" s="16"/>
      <c r="B1547" s="16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</row>
    <row r="1548" spans="1:18" x14ac:dyDescent="0.2">
      <c r="A1548" s="16"/>
      <c r="B1548" s="16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</row>
    <row r="1549" spans="1:18" x14ac:dyDescent="0.2">
      <c r="A1549" s="16"/>
      <c r="B1549" s="16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</row>
    <row r="1550" spans="1:18" x14ac:dyDescent="0.2">
      <c r="A1550" s="16"/>
      <c r="B1550" s="16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</row>
    <row r="1551" spans="1:18" x14ac:dyDescent="0.2">
      <c r="A1551" s="16"/>
      <c r="B1551" s="16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</row>
    <row r="1552" spans="1:18" x14ac:dyDescent="0.2">
      <c r="A1552" s="16"/>
      <c r="B1552" s="16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</row>
    <row r="1553" spans="1:18" x14ac:dyDescent="0.2">
      <c r="A1553" s="16"/>
      <c r="B1553" s="16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</row>
    <row r="1554" spans="1:18" x14ac:dyDescent="0.2">
      <c r="A1554" s="16"/>
      <c r="B1554" s="16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</row>
    <row r="1555" spans="1:18" x14ac:dyDescent="0.2">
      <c r="A1555" s="16"/>
      <c r="B1555" s="16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</row>
    <row r="1556" spans="1:18" x14ac:dyDescent="0.2">
      <c r="A1556" s="16"/>
      <c r="B1556" s="16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</row>
    <row r="1557" spans="1:18" x14ac:dyDescent="0.2">
      <c r="A1557" s="16"/>
      <c r="B1557" s="16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</row>
    <row r="1558" spans="1:18" x14ac:dyDescent="0.2">
      <c r="A1558" s="16"/>
      <c r="B1558" s="16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</row>
    <row r="1559" spans="1:18" x14ac:dyDescent="0.2">
      <c r="A1559" s="16"/>
      <c r="B1559" s="16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</row>
    <row r="1560" spans="1:18" x14ac:dyDescent="0.2">
      <c r="A1560" s="16"/>
      <c r="B1560" s="16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</row>
    <row r="1561" spans="1:18" x14ac:dyDescent="0.2">
      <c r="A1561" s="16"/>
      <c r="B1561" s="16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</row>
    <row r="1562" spans="1:18" x14ac:dyDescent="0.2">
      <c r="A1562" s="16"/>
      <c r="B1562" s="16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</row>
    <row r="1563" spans="1:18" x14ac:dyDescent="0.2">
      <c r="A1563" s="16"/>
      <c r="B1563" s="16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</row>
    <row r="1564" spans="1:18" x14ac:dyDescent="0.2">
      <c r="A1564" s="16"/>
      <c r="B1564" s="16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</row>
    <row r="1565" spans="1:18" x14ac:dyDescent="0.2">
      <c r="A1565" s="16"/>
      <c r="B1565" s="16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</row>
    <row r="1566" spans="1:18" x14ac:dyDescent="0.2">
      <c r="A1566" s="16"/>
      <c r="B1566" s="16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</row>
    <row r="1567" spans="1:18" x14ac:dyDescent="0.2">
      <c r="A1567" s="16"/>
      <c r="B1567" s="16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</row>
    <row r="1568" spans="1:18" x14ac:dyDescent="0.2">
      <c r="A1568" s="16"/>
      <c r="B1568" s="16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</row>
    <row r="1569" spans="1:18" x14ac:dyDescent="0.2">
      <c r="A1569" s="16"/>
      <c r="B1569" s="16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</row>
    <row r="1570" spans="1:18" x14ac:dyDescent="0.2">
      <c r="A1570" s="16"/>
      <c r="B1570" s="16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</row>
    <row r="1571" spans="1:18" x14ac:dyDescent="0.2">
      <c r="A1571" s="16"/>
      <c r="B1571" s="16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</row>
    <row r="1572" spans="1:18" x14ac:dyDescent="0.2">
      <c r="A1572" s="16"/>
      <c r="B1572" s="16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</row>
    <row r="1573" spans="1:18" x14ac:dyDescent="0.2">
      <c r="A1573" s="16"/>
      <c r="B1573" s="16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</row>
    <row r="1574" spans="1:18" x14ac:dyDescent="0.2">
      <c r="A1574" s="16"/>
      <c r="B1574" s="16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</row>
    <row r="1575" spans="1:18" x14ac:dyDescent="0.2">
      <c r="A1575" s="16"/>
      <c r="B1575" s="16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</row>
    <row r="1576" spans="1:18" x14ac:dyDescent="0.2">
      <c r="A1576" s="16"/>
      <c r="B1576" s="16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</row>
    <row r="1577" spans="1:18" x14ac:dyDescent="0.2">
      <c r="A1577" s="16"/>
      <c r="B1577" s="16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</row>
    <row r="1578" spans="1:18" x14ac:dyDescent="0.2">
      <c r="A1578" s="16"/>
      <c r="B1578" s="16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</row>
    <row r="1579" spans="1:18" x14ac:dyDescent="0.2">
      <c r="A1579" s="16"/>
      <c r="B1579" s="16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</row>
    <row r="1580" spans="1:18" x14ac:dyDescent="0.2">
      <c r="A1580" s="16"/>
      <c r="B1580" s="16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</row>
    <row r="1581" spans="1:18" x14ac:dyDescent="0.2">
      <c r="A1581" s="16"/>
      <c r="B1581" s="16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</row>
    <row r="1582" spans="1:18" x14ac:dyDescent="0.2">
      <c r="A1582" s="16"/>
      <c r="B1582" s="16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</row>
    <row r="1583" spans="1:18" x14ac:dyDescent="0.2">
      <c r="A1583" s="16"/>
      <c r="B1583" s="16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</row>
    <row r="1584" spans="1:18" x14ac:dyDescent="0.2">
      <c r="A1584" s="16"/>
      <c r="B1584" s="16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</row>
    <row r="1585" spans="1:18" x14ac:dyDescent="0.2">
      <c r="A1585" s="16"/>
      <c r="B1585" s="16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</row>
    <row r="1586" spans="1:18" x14ac:dyDescent="0.2">
      <c r="A1586" s="16"/>
      <c r="B1586" s="16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</row>
    <row r="1587" spans="1:18" x14ac:dyDescent="0.2">
      <c r="A1587" s="16"/>
      <c r="B1587" s="16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</row>
    <row r="1588" spans="1:18" x14ac:dyDescent="0.2">
      <c r="A1588" s="16"/>
      <c r="B1588" s="16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</row>
    <row r="1589" spans="1:18" x14ac:dyDescent="0.2">
      <c r="A1589" s="16"/>
      <c r="B1589" s="16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</row>
    <row r="1590" spans="1:18" x14ac:dyDescent="0.2">
      <c r="A1590" s="16"/>
      <c r="B1590" s="16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</row>
    <row r="1591" spans="1:18" x14ac:dyDescent="0.2">
      <c r="A1591" s="16"/>
      <c r="B1591" s="16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</row>
    <row r="1592" spans="1:18" x14ac:dyDescent="0.2">
      <c r="A1592" s="16"/>
      <c r="B1592" s="16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</row>
    <row r="1593" spans="1:18" x14ac:dyDescent="0.2">
      <c r="A1593" s="16"/>
      <c r="B1593" s="16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</row>
    <row r="1594" spans="1:18" x14ac:dyDescent="0.2">
      <c r="A1594" s="16"/>
      <c r="B1594" s="16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</row>
    <row r="1595" spans="1:18" x14ac:dyDescent="0.2">
      <c r="A1595" s="16"/>
      <c r="B1595" s="16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</row>
    <row r="1596" spans="1:18" x14ac:dyDescent="0.2">
      <c r="A1596" s="16"/>
      <c r="B1596" s="16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</row>
    <row r="1597" spans="1:18" x14ac:dyDescent="0.2">
      <c r="A1597" s="16"/>
      <c r="B1597" s="16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</row>
    <row r="1598" spans="1:18" x14ac:dyDescent="0.2">
      <c r="A1598" s="16"/>
      <c r="B1598" s="16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</row>
    <row r="1599" spans="1:18" x14ac:dyDescent="0.2">
      <c r="A1599" s="16"/>
      <c r="B1599" s="16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</row>
    <row r="1600" spans="1:18" x14ac:dyDescent="0.2">
      <c r="A1600" s="16"/>
      <c r="B1600" s="16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</row>
    <row r="1601" spans="1:18" x14ac:dyDescent="0.2">
      <c r="A1601" s="16"/>
      <c r="B1601" s="16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</row>
    <row r="1602" spans="1:18" x14ac:dyDescent="0.2">
      <c r="A1602" s="16"/>
      <c r="B1602" s="16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</row>
    <row r="1603" spans="1:18" x14ac:dyDescent="0.2">
      <c r="A1603" s="16"/>
      <c r="B1603" s="16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</row>
    <row r="1604" spans="1:18" x14ac:dyDescent="0.2">
      <c r="A1604" s="16"/>
      <c r="B1604" s="16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</row>
    <row r="1605" spans="1:18" x14ac:dyDescent="0.2">
      <c r="A1605" s="16"/>
      <c r="B1605" s="16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</row>
    <row r="1606" spans="1:18" x14ac:dyDescent="0.2">
      <c r="A1606" s="16"/>
      <c r="B1606" s="16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</row>
    <row r="1607" spans="1:18" x14ac:dyDescent="0.2">
      <c r="A1607" s="16"/>
      <c r="B1607" s="16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</row>
    <row r="1608" spans="1:18" x14ac:dyDescent="0.2">
      <c r="A1608" s="16"/>
      <c r="B1608" s="16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</row>
    <row r="1609" spans="1:18" x14ac:dyDescent="0.2">
      <c r="A1609" s="16"/>
      <c r="B1609" s="16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</row>
    <row r="1610" spans="1:18" x14ac:dyDescent="0.2">
      <c r="A1610" s="16"/>
      <c r="B1610" s="16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</row>
    <row r="1611" spans="1:18" x14ac:dyDescent="0.2">
      <c r="A1611" s="16"/>
      <c r="B1611" s="16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</row>
    <row r="1612" spans="1:18" x14ac:dyDescent="0.2">
      <c r="A1612" s="16"/>
      <c r="B1612" s="16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</row>
    <row r="1613" spans="1:18" x14ac:dyDescent="0.2">
      <c r="A1613" s="16"/>
      <c r="B1613" s="16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</row>
    <row r="1614" spans="1:18" x14ac:dyDescent="0.2">
      <c r="A1614" s="16"/>
      <c r="B1614" s="16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</row>
    <row r="1615" spans="1:18" x14ac:dyDescent="0.2">
      <c r="A1615" s="16"/>
      <c r="B1615" s="16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</row>
    <row r="1616" spans="1:18" x14ac:dyDescent="0.2">
      <c r="A1616" s="16"/>
      <c r="B1616" s="16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</row>
    <row r="1617" spans="1:18" x14ac:dyDescent="0.2">
      <c r="A1617" s="16"/>
      <c r="B1617" s="16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</row>
    <row r="1618" spans="1:18" x14ac:dyDescent="0.2">
      <c r="A1618" s="16"/>
      <c r="B1618" s="16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</row>
    <row r="1619" spans="1:18" x14ac:dyDescent="0.2">
      <c r="A1619" s="16"/>
      <c r="B1619" s="16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</row>
    <row r="1620" spans="1:18" x14ac:dyDescent="0.2">
      <c r="A1620" s="16"/>
      <c r="B1620" s="16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</row>
    <row r="1621" spans="1:18" x14ac:dyDescent="0.2">
      <c r="A1621" s="16"/>
      <c r="B1621" s="16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</row>
    <row r="1622" spans="1:18" x14ac:dyDescent="0.2">
      <c r="A1622" s="16"/>
      <c r="B1622" s="16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</row>
    <row r="1623" spans="1:18" x14ac:dyDescent="0.2">
      <c r="A1623" s="16"/>
      <c r="B1623" s="16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</row>
    <row r="1624" spans="1:18" x14ac:dyDescent="0.2">
      <c r="A1624" s="16"/>
      <c r="B1624" s="16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</row>
    <row r="1625" spans="1:18" x14ac:dyDescent="0.2">
      <c r="A1625" s="16"/>
      <c r="B1625" s="16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</row>
    <row r="1626" spans="1:18" x14ac:dyDescent="0.2">
      <c r="A1626" s="16"/>
      <c r="B1626" s="16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</row>
    <row r="1627" spans="1:18" x14ac:dyDescent="0.2">
      <c r="A1627" s="16"/>
      <c r="B1627" s="16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</row>
    <row r="1628" spans="1:18" x14ac:dyDescent="0.2">
      <c r="A1628" s="16"/>
      <c r="B1628" s="16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</row>
    <row r="1629" spans="1:18" x14ac:dyDescent="0.2">
      <c r="A1629" s="16"/>
      <c r="B1629" s="16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</row>
    <row r="1630" spans="1:18" x14ac:dyDescent="0.2">
      <c r="A1630" s="16"/>
      <c r="B1630" s="16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</row>
    <row r="1631" spans="1:18" x14ac:dyDescent="0.2">
      <c r="A1631" s="16"/>
      <c r="B1631" s="16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</row>
    <row r="1632" spans="1:18" x14ac:dyDescent="0.2">
      <c r="A1632" s="16"/>
      <c r="B1632" s="16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</row>
    <row r="1633" spans="1:18" x14ac:dyDescent="0.2">
      <c r="A1633" s="16"/>
      <c r="B1633" s="16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</row>
    <row r="1634" spans="1:18" x14ac:dyDescent="0.2">
      <c r="A1634" s="16"/>
      <c r="B1634" s="16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</row>
    <row r="1635" spans="1:18" x14ac:dyDescent="0.2">
      <c r="A1635" s="16"/>
      <c r="B1635" s="16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</row>
    <row r="1636" spans="1:18" x14ac:dyDescent="0.2">
      <c r="A1636" s="16"/>
      <c r="B1636" s="16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</row>
    <row r="1637" spans="1:18" x14ac:dyDescent="0.2">
      <c r="A1637" s="16"/>
      <c r="B1637" s="16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</row>
    <row r="1638" spans="1:18" x14ac:dyDescent="0.2">
      <c r="A1638" s="16"/>
      <c r="B1638" s="16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</row>
    <row r="1639" spans="1:18" x14ac:dyDescent="0.2">
      <c r="A1639" s="16"/>
      <c r="B1639" s="16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</row>
    <row r="1640" spans="1:18" x14ac:dyDescent="0.2">
      <c r="A1640" s="16"/>
      <c r="B1640" s="16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</row>
    <row r="1641" spans="1:18" x14ac:dyDescent="0.2">
      <c r="A1641" s="16"/>
      <c r="B1641" s="16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</row>
    <row r="1642" spans="1:18" x14ac:dyDescent="0.2">
      <c r="A1642" s="16"/>
      <c r="B1642" s="16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</row>
    <row r="1643" spans="1:18" x14ac:dyDescent="0.2">
      <c r="A1643" s="16"/>
      <c r="B1643" s="16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</row>
    <row r="1644" spans="1:18" x14ac:dyDescent="0.2">
      <c r="A1644" s="16"/>
      <c r="B1644" s="16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</row>
    <row r="1645" spans="1:18" x14ac:dyDescent="0.2">
      <c r="A1645" s="16"/>
      <c r="B1645" s="16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</row>
    <row r="1646" spans="1:18" x14ac:dyDescent="0.2">
      <c r="A1646" s="16"/>
      <c r="B1646" s="16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</row>
    <row r="1647" spans="1:18" x14ac:dyDescent="0.2">
      <c r="A1647" s="16"/>
      <c r="B1647" s="16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</row>
    <row r="1648" spans="1:18" x14ac:dyDescent="0.2">
      <c r="A1648" s="16"/>
      <c r="B1648" s="16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</row>
    <row r="1649" spans="1:18" x14ac:dyDescent="0.2">
      <c r="A1649" s="16"/>
      <c r="B1649" s="16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</row>
    <row r="1650" spans="1:18" x14ac:dyDescent="0.2">
      <c r="A1650" s="16"/>
      <c r="B1650" s="16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</row>
    <row r="1651" spans="1:18" x14ac:dyDescent="0.2">
      <c r="A1651" s="16"/>
      <c r="B1651" s="16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</row>
    <row r="1652" spans="1:18" x14ac:dyDescent="0.2">
      <c r="A1652" s="16"/>
      <c r="B1652" s="16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</row>
    <row r="1653" spans="1:18" x14ac:dyDescent="0.2">
      <c r="A1653" s="16"/>
      <c r="B1653" s="16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</row>
    <row r="1654" spans="1:18" x14ac:dyDescent="0.2">
      <c r="A1654" s="16"/>
      <c r="B1654" s="16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</row>
    <row r="1655" spans="1:18" x14ac:dyDescent="0.2">
      <c r="A1655" s="16"/>
      <c r="B1655" s="16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</row>
    <row r="1656" spans="1:18" x14ac:dyDescent="0.2">
      <c r="A1656" s="16"/>
      <c r="B1656" s="16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</row>
    <row r="1657" spans="1:18" x14ac:dyDescent="0.2">
      <c r="A1657" s="16"/>
      <c r="B1657" s="16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</row>
    <row r="1658" spans="1:18" x14ac:dyDescent="0.2">
      <c r="A1658" s="16"/>
      <c r="B1658" s="16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</row>
    <row r="1659" spans="1:18" x14ac:dyDescent="0.2">
      <c r="A1659" s="16"/>
      <c r="B1659" s="16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</row>
    <row r="1660" spans="1:18" x14ac:dyDescent="0.2">
      <c r="A1660" s="16"/>
      <c r="B1660" s="16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</row>
    <row r="1661" spans="1:18" x14ac:dyDescent="0.2">
      <c r="A1661" s="16"/>
      <c r="B1661" s="16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</row>
    <row r="1662" spans="1:18" x14ac:dyDescent="0.2">
      <c r="A1662" s="16"/>
      <c r="B1662" s="16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</row>
    <row r="1663" spans="1:18" x14ac:dyDescent="0.2">
      <c r="A1663" s="16"/>
      <c r="B1663" s="16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</row>
    <row r="1664" spans="1:18" x14ac:dyDescent="0.2">
      <c r="A1664" s="16"/>
      <c r="B1664" s="16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</row>
    <row r="1665" spans="1:18" x14ac:dyDescent="0.2">
      <c r="A1665" s="16"/>
      <c r="B1665" s="16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</row>
    <row r="1666" spans="1:18" x14ac:dyDescent="0.2">
      <c r="A1666" s="16"/>
      <c r="B1666" s="16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</row>
    <row r="1667" spans="1:18" x14ac:dyDescent="0.2">
      <c r="A1667" s="16"/>
      <c r="B1667" s="16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</row>
    <row r="1668" spans="1:18" x14ac:dyDescent="0.2">
      <c r="A1668" s="16"/>
      <c r="B1668" s="16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</row>
    <row r="1669" spans="1:18" x14ac:dyDescent="0.2">
      <c r="A1669" s="16"/>
      <c r="B1669" s="16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</row>
    <row r="1670" spans="1:18" x14ac:dyDescent="0.2">
      <c r="A1670" s="16"/>
      <c r="B1670" s="16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</row>
    <row r="1671" spans="1:18" x14ac:dyDescent="0.2">
      <c r="A1671" s="16"/>
      <c r="B1671" s="16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</row>
    <row r="1672" spans="1:18" x14ac:dyDescent="0.2">
      <c r="A1672" s="16"/>
      <c r="B1672" s="16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</row>
    <row r="1673" spans="1:18" x14ac:dyDescent="0.2">
      <c r="A1673" s="16"/>
      <c r="B1673" s="16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</row>
    <row r="1674" spans="1:18" x14ac:dyDescent="0.2">
      <c r="A1674" s="16"/>
      <c r="B1674" s="16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</row>
    <row r="1675" spans="1:18" x14ac:dyDescent="0.2">
      <c r="A1675" s="16"/>
      <c r="B1675" s="16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</row>
    <row r="1676" spans="1:18" x14ac:dyDescent="0.2">
      <c r="A1676" s="16"/>
      <c r="B1676" s="16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</row>
    <row r="1677" spans="1:18" x14ac:dyDescent="0.2">
      <c r="A1677" s="16"/>
      <c r="B1677" s="16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</row>
    <row r="1678" spans="1:18" x14ac:dyDescent="0.2">
      <c r="A1678" s="16"/>
      <c r="B1678" s="16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</row>
    <row r="1679" spans="1:18" x14ac:dyDescent="0.2">
      <c r="A1679" s="16"/>
      <c r="B1679" s="16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</row>
    <row r="1680" spans="1:18" x14ac:dyDescent="0.2">
      <c r="A1680" s="16"/>
      <c r="B1680" s="16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</row>
    <row r="1681" spans="1:18" x14ac:dyDescent="0.2">
      <c r="A1681" s="16"/>
      <c r="B1681" s="16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</row>
    <row r="1682" spans="1:18" x14ac:dyDescent="0.2">
      <c r="A1682" s="16"/>
      <c r="B1682" s="16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</row>
    <row r="1683" spans="1:18" x14ac:dyDescent="0.2">
      <c r="A1683" s="16"/>
      <c r="B1683" s="16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</row>
    <row r="1684" spans="1:18" x14ac:dyDescent="0.2">
      <c r="A1684" s="16"/>
      <c r="B1684" s="16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</row>
    <row r="1685" spans="1:18" x14ac:dyDescent="0.2">
      <c r="A1685" s="16"/>
      <c r="B1685" s="16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</row>
    <row r="1686" spans="1:18" x14ac:dyDescent="0.2">
      <c r="A1686" s="16"/>
      <c r="B1686" s="16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</row>
    <row r="1687" spans="1:18" x14ac:dyDescent="0.2">
      <c r="A1687" s="16"/>
      <c r="B1687" s="16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</row>
    <row r="1688" spans="1:18" x14ac:dyDescent="0.2">
      <c r="A1688" s="16"/>
      <c r="B1688" s="16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</row>
    <row r="1689" spans="1:18" x14ac:dyDescent="0.2">
      <c r="A1689" s="16"/>
      <c r="B1689" s="16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</row>
    <row r="1690" spans="1:18" x14ac:dyDescent="0.2">
      <c r="A1690" s="16"/>
      <c r="B1690" s="16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</row>
    <row r="1691" spans="1:18" x14ac:dyDescent="0.2">
      <c r="A1691" s="16"/>
      <c r="B1691" s="16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</row>
    <row r="1692" spans="1:18" x14ac:dyDescent="0.2">
      <c r="A1692" s="16"/>
      <c r="B1692" s="16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</row>
    <row r="1693" spans="1:18" x14ac:dyDescent="0.2">
      <c r="A1693" s="16"/>
      <c r="B1693" s="16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</row>
    <row r="1694" spans="1:18" x14ac:dyDescent="0.2">
      <c r="A1694" s="16"/>
      <c r="B1694" s="16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</row>
    <row r="1695" spans="1:18" x14ac:dyDescent="0.2">
      <c r="A1695" s="16"/>
      <c r="B1695" s="16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</row>
    <row r="1696" spans="1:18" x14ac:dyDescent="0.2">
      <c r="A1696" s="16"/>
      <c r="B1696" s="16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</row>
    <row r="1697" spans="1:18" x14ac:dyDescent="0.2">
      <c r="A1697" s="16"/>
      <c r="B1697" s="16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</row>
    <row r="1698" spans="1:18" x14ac:dyDescent="0.2">
      <c r="A1698" s="16"/>
      <c r="B1698" s="16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</row>
    <row r="1699" spans="1:18" x14ac:dyDescent="0.2">
      <c r="A1699" s="16"/>
      <c r="B1699" s="16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</row>
    <row r="1700" spans="1:18" x14ac:dyDescent="0.2">
      <c r="A1700" s="16"/>
      <c r="B1700" s="16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</row>
    <row r="1701" spans="1:18" x14ac:dyDescent="0.2">
      <c r="A1701" s="16"/>
      <c r="B1701" s="16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</row>
    <row r="1702" spans="1:18" x14ac:dyDescent="0.2">
      <c r="A1702" s="16"/>
      <c r="B1702" s="16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</row>
    <row r="1703" spans="1:18" x14ac:dyDescent="0.2">
      <c r="A1703" s="16"/>
      <c r="B1703" s="16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</row>
    <row r="1704" spans="1:18" x14ac:dyDescent="0.2">
      <c r="A1704" s="16"/>
      <c r="B1704" s="16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</row>
    <row r="1705" spans="1:18" x14ac:dyDescent="0.2">
      <c r="A1705" s="16"/>
      <c r="B1705" s="16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</row>
    <row r="1706" spans="1:18" x14ac:dyDescent="0.2">
      <c r="A1706" s="16"/>
      <c r="B1706" s="16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</row>
    <row r="1707" spans="1:18" x14ac:dyDescent="0.2">
      <c r="A1707" s="16"/>
      <c r="B1707" s="16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</row>
    <row r="1708" spans="1:18" x14ac:dyDescent="0.2">
      <c r="A1708" s="16"/>
      <c r="B1708" s="16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</row>
    <row r="1709" spans="1:18" x14ac:dyDescent="0.2">
      <c r="A1709" s="16"/>
      <c r="B1709" s="16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</row>
    <row r="1710" spans="1:18" x14ac:dyDescent="0.2">
      <c r="A1710" s="16"/>
      <c r="B1710" s="16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</row>
    <row r="1711" spans="1:18" x14ac:dyDescent="0.2">
      <c r="A1711" s="16"/>
      <c r="B1711" s="16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</row>
    <row r="1712" spans="1:18" x14ac:dyDescent="0.2">
      <c r="A1712" s="16"/>
      <c r="B1712" s="16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</row>
    <row r="1713" spans="1:18" x14ac:dyDescent="0.2">
      <c r="A1713" s="16"/>
      <c r="B1713" s="16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</row>
    <row r="1714" spans="1:18" x14ac:dyDescent="0.2">
      <c r="A1714" s="16"/>
      <c r="B1714" s="16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</row>
    <row r="1715" spans="1:18" x14ac:dyDescent="0.2">
      <c r="A1715" s="16"/>
      <c r="B1715" s="16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</row>
    <row r="1716" spans="1:18" x14ac:dyDescent="0.2">
      <c r="A1716" s="16"/>
      <c r="B1716" s="16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</row>
    <row r="1717" spans="1:18" x14ac:dyDescent="0.2">
      <c r="A1717" s="16"/>
      <c r="B1717" s="16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</row>
    <row r="1718" spans="1:18" x14ac:dyDescent="0.2">
      <c r="A1718" s="16"/>
      <c r="B1718" s="16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</row>
    <row r="1719" spans="1:18" x14ac:dyDescent="0.2">
      <c r="A1719" s="16"/>
      <c r="B1719" s="16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</row>
    <row r="1720" spans="1:18" x14ac:dyDescent="0.2">
      <c r="A1720" s="16"/>
      <c r="B1720" s="16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</row>
    <row r="1721" spans="1:18" x14ac:dyDescent="0.2">
      <c r="A1721" s="16"/>
      <c r="B1721" s="16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</row>
    <row r="1722" spans="1:18" x14ac:dyDescent="0.2">
      <c r="A1722" s="16"/>
      <c r="B1722" s="16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</row>
    <row r="1723" spans="1:18" x14ac:dyDescent="0.2">
      <c r="A1723" s="16"/>
      <c r="B1723" s="16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</row>
    <row r="1724" spans="1:18" x14ac:dyDescent="0.2">
      <c r="A1724" s="16"/>
      <c r="B1724" s="16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</row>
    <row r="1725" spans="1:18" x14ac:dyDescent="0.2">
      <c r="A1725" s="16"/>
      <c r="B1725" s="16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</row>
    <row r="1726" spans="1:18" x14ac:dyDescent="0.2">
      <c r="A1726" s="16"/>
      <c r="B1726" s="16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</row>
    <row r="1727" spans="1:18" x14ac:dyDescent="0.2">
      <c r="A1727" s="16"/>
      <c r="B1727" s="16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</row>
    <row r="1728" spans="1:18" x14ac:dyDescent="0.2">
      <c r="A1728" s="16"/>
      <c r="B1728" s="16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</row>
    <row r="1729" spans="1:18" x14ac:dyDescent="0.2">
      <c r="A1729" s="16"/>
      <c r="B1729" s="16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</row>
    <row r="1730" spans="1:18" x14ac:dyDescent="0.2">
      <c r="A1730" s="16"/>
      <c r="B1730" s="16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</row>
    <row r="1731" spans="1:18" x14ac:dyDescent="0.2">
      <c r="A1731" s="16"/>
      <c r="B1731" s="16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</row>
    <row r="1732" spans="1:18" x14ac:dyDescent="0.2">
      <c r="A1732" s="16"/>
      <c r="B1732" s="16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</row>
    <row r="1733" spans="1:18" x14ac:dyDescent="0.2">
      <c r="A1733" s="16"/>
      <c r="B1733" s="16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</row>
    <row r="1734" spans="1:18" x14ac:dyDescent="0.2">
      <c r="A1734" s="16"/>
      <c r="B1734" s="16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</row>
    <row r="1735" spans="1:18" x14ac:dyDescent="0.2">
      <c r="A1735" s="16"/>
      <c r="B1735" s="16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</row>
    <row r="1736" spans="1:18" x14ac:dyDescent="0.2">
      <c r="A1736" s="16"/>
      <c r="B1736" s="16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</row>
    <row r="1737" spans="1:18" x14ac:dyDescent="0.2">
      <c r="A1737" s="16"/>
      <c r="B1737" s="16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</row>
    <row r="1738" spans="1:18" x14ac:dyDescent="0.2">
      <c r="A1738" s="16"/>
      <c r="B1738" s="16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</row>
    <row r="1739" spans="1:18" x14ac:dyDescent="0.2">
      <c r="A1739" s="16"/>
      <c r="B1739" s="16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</row>
    <row r="1740" spans="1:18" x14ac:dyDescent="0.2">
      <c r="A1740" s="16"/>
      <c r="B1740" s="16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</row>
    <row r="1741" spans="1:18" x14ac:dyDescent="0.2">
      <c r="A1741" s="16"/>
      <c r="B1741" s="16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</row>
    <row r="1742" spans="1:18" x14ac:dyDescent="0.2">
      <c r="A1742" s="16"/>
      <c r="B1742" s="16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</row>
    <row r="1743" spans="1:18" x14ac:dyDescent="0.2">
      <c r="A1743" s="16"/>
      <c r="B1743" s="16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</row>
    <row r="1744" spans="1:18" x14ac:dyDescent="0.2">
      <c r="A1744" s="16"/>
      <c r="B1744" s="16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</row>
    <row r="1745" spans="1:18" x14ac:dyDescent="0.2">
      <c r="A1745" s="16"/>
      <c r="B1745" s="16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</row>
    <row r="1746" spans="1:18" x14ac:dyDescent="0.2">
      <c r="A1746" s="16"/>
      <c r="B1746" s="16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</row>
    <row r="1747" spans="1:18" x14ac:dyDescent="0.2">
      <c r="A1747" s="16"/>
      <c r="B1747" s="16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</row>
    <row r="1748" spans="1:18" x14ac:dyDescent="0.2">
      <c r="A1748" s="16"/>
      <c r="B1748" s="16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</row>
    <row r="1749" spans="1:18" x14ac:dyDescent="0.2">
      <c r="A1749" s="16"/>
      <c r="B1749" s="16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</row>
    <row r="1750" spans="1:18" x14ac:dyDescent="0.2">
      <c r="A1750" s="16"/>
      <c r="B1750" s="16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</row>
    <row r="1751" spans="1:18" x14ac:dyDescent="0.2">
      <c r="A1751" s="16"/>
      <c r="B1751" s="16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</row>
    <row r="1752" spans="1:18" x14ac:dyDescent="0.2">
      <c r="A1752" s="16"/>
      <c r="B1752" s="16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</row>
    <row r="1753" spans="1:18" x14ac:dyDescent="0.2">
      <c r="A1753" s="16"/>
      <c r="B1753" s="16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</row>
    <row r="1754" spans="1:18" x14ac:dyDescent="0.2">
      <c r="A1754" s="16"/>
      <c r="B1754" s="16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</row>
    <row r="1755" spans="1:18" x14ac:dyDescent="0.2">
      <c r="A1755" s="16"/>
      <c r="B1755" s="16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</row>
    <row r="1756" spans="1:18" x14ac:dyDescent="0.2">
      <c r="A1756" s="16"/>
      <c r="B1756" s="16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</row>
    <row r="1757" spans="1:18" x14ac:dyDescent="0.2">
      <c r="A1757" s="16"/>
      <c r="B1757" s="16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</row>
    <row r="1758" spans="1:18" x14ac:dyDescent="0.2">
      <c r="A1758" s="16"/>
      <c r="B1758" s="16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</row>
    <row r="1759" spans="1:18" x14ac:dyDescent="0.2">
      <c r="A1759" s="16"/>
      <c r="B1759" s="16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</row>
    <row r="1760" spans="1:18" x14ac:dyDescent="0.2">
      <c r="A1760" s="16"/>
      <c r="B1760" s="16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</row>
    <row r="1761" spans="1:18" x14ac:dyDescent="0.2">
      <c r="A1761" s="16"/>
      <c r="B1761" s="16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</row>
    <row r="1762" spans="1:18" x14ac:dyDescent="0.2">
      <c r="A1762" s="16"/>
      <c r="B1762" s="16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</row>
    <row r="1763" spans="1:18" x14ac:dyDescent="0.2">
      <c r="A1763" s="16"/>
      <c r="B1763" s="16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</row>
    <row r="1764" spans="1:18" x14ac:dyDescent="0.2">
      <c r="A1764" s="16"/>
      <c r="B1764" s="16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</row>
    <row r="1765" spans="1:18" x14ac:dyDescent="0.2">
      <c r="A1765" s="16"/>
      <c r="B1765" s="16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</row>
    <row r="1766" spans="1:18" x14ac:dyDescent="0.2">
      <c r="A1766" s="16"/>
      <c r="B1766" s="16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</row>
    <row r="1767" spans="1:18" x14ac:dyDescent="0.2">
      <c r="A1767" s="16"/>
      <c r="B1767" s="16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</row>
    <row r="1768" spans="1:18" x14ac:dyDescent="0.2">
      <c r="A1768" s="16"/>
      <c r="B1768" s="16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</row>
    <row r="1769" spans="1:18" x14ac:dyDescent="0.2">
      <c r="A1769" s="16"/>
      <c r="B1769" s="16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</row>
    <row r="1770" spans="1:18" x14ac:dyDescent="0.2">
      <c r="A1770" s="16"/>
      <c r="B1770" s="16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</row>
    <row r="1771" spans="1:18" x14ac:dyDescent="0.2">
      <c r="A1771" s="16"/>
      <c r="B1771" s="16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</row>
    <row r="1772" spans="1:18" x14ac:dyDescent="0.2">
      <c r="A1772" s="16"/>
      <c r="B1772" s="16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</row>
    <row r="1773" spans="1:18" x14ac:dyDescent="0.2">
      <c r="A1773" s="16"/>
      <c r="B1773" s="16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</row>
    <row r="1774" spans="1:18" x14ac:dyDescent="0.2">
      <c r="A1774" s="16"/>
      <c r="B1774" s="16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</row>
    <row r="1775" spans="1:18" x14ac:dyDescent="0.2">
      <c r="A1775" s="16"/>
      <c r="B1775" s="16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</row>
    <row r="1776" spans="1:18" x14ac:dyDescent="0.2">
      <c r="A1776" s="16"/>
      <c r="B1776" s="16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</row>
    <row r="1777" spans="1:18" x14ac:dyDescent="0.2">
      <c r="A1777" s="16"/>
      <c r="B1777" s="16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</row>
    <row r="1778" spans="1:18" x14ac:dyDescent="0.2">
      <c r="A1778" s="16"/>
      <c r="B1778" s="16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</row>
    <row r="1779" spans="1:18" x14ac:dyDescent="0.2">
      <c r="A1779" s="16"/>
      <c r="B1779" s="16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</row>
    <row r="1780" spans="1:18" x14ac:dyDescent="0.2">
      <c r="A1780" s="16"/>
      <c r="B1780" s="16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</row>
    <row r="1781" spans="1:18" x14ac:dyDescent="0.2">
      <c r="A1781" s="16"/>
      <c r="B1781" s="16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</row>
    <row r="1782" spans="1:18" x14ac:dyDescent="0.2">
      <c r="A1782" s="16"/>
      <c r="B1782" s="16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</row>
    <row r="1783" spans="1:18" x14ac:dyDescent="0.2">
      <c r="A1783" s="16"/>
      <c r="B1783" s="16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</row>
    <row r="1784" spans="1:18" x14ac:dyDescent="0.2">
      <c r="A1784" s="16"/>
      <c r="B1784" s="16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</row>
    <row r="1785" spans="1:18" x14ac:dyDescent="0.2">
      <c r="A1785" s="16"/>
      <c r="B1785" s="16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</row>
    <row r="1786" spans="1:18" x14ac:dyDescent="0.2">
      <c r="A1786" s="16"/>
      <c r="B1786" s="16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</row>
    <row r="1787" spans="1:18" x14ac:dyDescent="0.2">
      <c r="A1787" s="16"/>
      <c r="B1787" s="16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</row>
    <row r="1788" spans="1:18" x14ac:dyDescent="0.2">
      <c r="A1788" s="16"/>
      <c r="B1788" s="16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</row>
    <row r="1789" spans="1:18" x14ac:dyDescent="0.2">
      <c r="A1789" s="16"/>
      <c r="B1789" s="16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</row>
    <row r="1790" spans="1:18" x14ac:dyDescent="0.2">
      <c r="A1790" s="16"/>
      <c r="B1790" s="16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</row>
    <row r="1791" spans="1:18" x14ac:dyDescent="0.2">
      <c r="A1791" s="16"/>
      <c r="B1791" s="16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</row>
    <row r="1792" spans="1:18" x14ac:dyDescent="0.2">
      <c r="A1792" s="16"/>
      <c r="B1792" s="16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</row>
    <row r="1793" spans="1:18" x14ac:dyDescent="0.2">
      <c r="A1793" s="16"/>
      <c r="B1793" s="16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</row>
    <row r="1794" spans="1:18" x14ac:dyDescent="0.2">
      <c r="A1794" s="16"/>
      <c r="B1794" s="16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</row>
    <row r="1795" spans="1:18" x14ac:dyDescent="0.2">
      <c r="A1795" s="16"/>
      <c r="B1795" s="16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</row>
    <row r="1796" spans="1:18" x14ac:dyDescent="0.2">
      <c r="A1796" s="16"/>
      <c r="B1796" s="16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</row>
    <row r="1797" spans="1:18" x14ac:dyDescent="0.2">
      <c r="A1797" s="16"/>
      <c r="B1797" s="16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</row>
    <row r="1798" spans="1:18" x14ac:dyDescent="0.2">
      <c r="A1798" s="16"/>
      <c r="B1798" s="16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</row>
    <row r="1799" spans="1:18" x14ac:dyDescent="0.2">
      <c r="A1799" s="16"/>
      <c r="B1799" s="16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</row>
    <row r="1800" spans="1:18" x14ac:dyDescent="0.2">
      <c r="A1800" s="16"/>
      <c r="B1800" s="16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</row>
    <row r="1801" spans="1:18" x14ac:dyDescent="0.2">
      <c r="A1801" s="16"/>
      <c r="B1801" s="16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</row>
    <row r="1802" spans="1:18" x14ac:dyDescent="0.2">
      <c r="A1802" s="16"/>
      <c r="B1802" s="16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</row>
    <row r="1803" spans="1:18" x14ac:dyDescent="0.2">
      <c r="A1803" s="16"/>
      <c r="B1803" s="16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</row>
    <row r="1804" spans="1:18" x14ac:dyDescent="0.2">
      <c r="A1804" s="16"/>
      <c r="B1804" s="16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</row>
    <row r="1805" spans="1:18" x14ac:dyDescent="0.2">
      <c r="A1805" s="16"/>
      <c r="B1805" s="16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</row>
    <row r="1806" spans="1:18" x14ac:dyDescent="0.2">
      <c r="A1806" s="16"/>
      <c r="B1806" s="16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</row>
    <row r="1807" spans="1:18" x14ac:dyDescent="0.2">
      <c r="A1807" s="16"/>
      <c r="B1807" s="16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</row>
    <row r="1808" spans="1:18" x14ac:dyDescent="0.2">
      <c r="A1808" s="16"/>
      <c r="B1808" s="16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</row>
    <row r="1809" spans="1:18" x14ac:dyDescent="0.2">
      <c r="A1809" s="16"/>
      <c r="B1809" s="16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</row>
    <row r="1810" spans="1:18" x14ac:dyDescent="0.2">
      <c r="A1810" s="16"/>
      <c r="B1810" s="16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</row>
    <row r="1811" spans="1:18" x14ac:dyDescent="0.2">
      <c r="A1811" s="16"/>
      <c r="B1811" s="16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</row>
    <row r="1812" spans="1:18" x14ac:dyDescent="0.2">
      <c r="A1812" s="16"/>
      <c r="B1812" s="16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</row>
    <row r="1813" spans="1:18" x14ac:dyDescent="0.2">
      <c r="A1813" s="16"/>
      <c r="B1813" s="16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</row>
    <row r="1814" spans="1:18" x14ac:dyDescent="0.2">
      <c r="A1814" s="16"/>
      <c r="B1814" s="16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</row>
    <row r="1815" spans="1:18" x14ac:dyDescent="0.2">
      <c r="A1815" s="16"/>
      <c r="B1815" s="16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</row>
    <row r="1816" spans="1:18" x14ac:dyDescent="0.2">
      <c r="A1816" s="16"/>
      <c r="B1816" s="16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</row>
    <row r="1817" spans="1:18" x14ac:dyDescent="0.2">
      <c r="A1817" s="16"/>
      <c r="B1817" s="16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</row>
    <row r="1818" spans="1:18" x14ac:dyDescent="0.2">
      <c r="A1818" s="16"/>
      <c r="B1818" s="16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</row>
    <row r="1819" spans="1:18" x14ac:dyDescent="0.2">
      <c r="A1819" s="16"/>
      <c r="B1819" s="16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</row>
    <row r="1820" spans="1:18" x14ac:dyDescent="0.2">
      <c r="A1820" s="16"/>
      <c r="B1820" s="16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</row>
    <row r="1821" spans="1:18" x14ac:dyDescent="0.2">
      <c r="A1821" s="16"/>
      <c r="B1821" s="16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</row>
    <row r="1822" spans="1:18" x14ac:dyDescent="0.2">
      <c r="A1822" s="16"/>
      <c r="B1822" s="16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</row>
    <row r="1823" spans="1:18" x14ac:dyDescent="0.2">
      <c r="A1823" s="16"/>
      <c r="B1823" s="16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</row>
    <row r="1824" spans="1:18" x14ac:dyDescent="0.2">
      <c r="A1824" s="16"/>
      <c r="B1824" s="16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</row>
    <row r="1825" spans="1:18" x14ac:dyDescent="0.2">
      <c r="A1825" s="16"/>
      <c r="B1825" s="16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</row>
    <row r="1826" spans="1:18" x14ac:dyDescent="0.2">
      <c r="A1826" s="16"/>
      <c r="B1826" s="16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</row>
    <row r="1827" spans="1:18" x14ac:dyDescent="0.2">
      <c r="A1827" s="16"/>
      <c r="B1827" s="16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</row>
    <row r="1828" spans="1:18" x14ac:dyDescent="0.2">
      <c r="A1828" s="16"/>
      <c r="B1828" s="16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</row>
    <row r="1829" spans="1:18" x14ac:dyDescent="0.2">
      <c r="A1829" s="16"/>
      <c r="B1829" s="16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</row>
    <row r="1830" spans="1:18" x14ac:dyDescent="0.2">
      <c r="A1830" s="16"/>
      <c r="B1830" s="16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</row>
    <row r="1831" spans="1:18" x14ac:dyDescent="0.2">
      <c r="A1831" s="16"/>
      <c r="B1831" s="16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</row>
    <row r="1832" spans="1:18" x14ac:dyDescent="0.2">
      <c r="A1832" s="16"/>
      <c r="B1832" s="16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</row>
    <row r="1833" spans="1:18" x14ac:dyDescent="0.2">
      <c r="A1833" s="16"/>
      <c r="B1833" s="16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</row>
    <row r="1834" spans="1:18" x14ac:dyDescent="0.2">
      <c r="A1834" s="16"/>
      <c r="B1834" s="16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</row>
    <row r="1835" spans="1:18" x14ac:dyDescent="0.2">
      <c r="A1835" s="16"/>
      <c r="B1835" s="16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</row>
    <row r="1836" spans="1:18" x14ac:dyDescent="0.2">
      <c r="A1836" s="16"/>
      <c r="B1836" s="16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</row>
    <row r="1837" spans="1:18" x14ac:dyDescent="0.2">
      <c r="A1837" s="16"/>
      <c r="B1837" s="16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</row>
    <row r="1838" spans="1:18" x14ac:dyDescent="0.2">
      <c r="A1838" s="16"/>
      <c r="B1838" s="16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</row>
    <row r="1839" spans="1:18" x14ac:dyDescent="0.2">
      <c r="A1839" s="16"/>
      <c r="B1839" s="16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</row>
    <row r="1840" spans="1:18" x14ac:dyDescent="0.2">
      <c r="A1840" s="16"/>
      <c r="B1840" s="16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</row>
    <row r="1841" spans="1:18" x14ac:dyDescent="0.2">
      <c r="A1841" s="16"/>
      <c r="B1841" s="16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</row>
    <row r="1842" spans="1:18" x14ac:dyDescent="0.2">
      <c r="A1842" s="16"/>
      <c r="B1842" s="16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</row>
    <row r="1843" spans="1:18" x14ac:dyDescent="0.2">
      <c r="A1843" s="16"/>
      <c r="B1843" s="16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</row>
    <row r="1844" spans="1:18" x14ac:dyDescent="0.2">
      <c r="A1844" s="16"/>
      <c r="B1844" s="16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</row>
    <row r="1845" spans="1:18" x14ac:dyDescent="0.2">
      <c r="A1845" s="16"/>
      <c r="B1845" s="16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</row>
    <row r="1846" spans="1:18" x14ac:dyDescent="0.2">
      <c r="A1846" s="16"/>
      <c r="B1846" s="16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</row>
    <row r="1847" spans="1:18" x14ac:dyDescent="0.2">
      <c r="A1847" s="16"/>
      <c r="B1847" s="16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</row>
    <row r="1848" spans="1:18" x14ac:dyDescent="0.2">
      <c r="A1848" s="16"/>
      <c r="B1848" s="16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</row>
    <row r="1849" spans="1:18" x14ac:dyDescent="0.2">
      <c r="A1849" s="16"/>
      <c r="B1849" s="16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</row>
    <row r="1850" spans="1:18" x14ac:dyDescent="0.2">
      <c r="A1850" s="16"/>
      <c r="B1850" s="16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</row>
    <row r="1851" spans="1:18" x14ac:dyDescent="0.2">
      <c r="A1851" s="16"/>
      <c r="B1851" s="16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</row>
    <row r="1852" spans="1:18" x14ac:dyDescent="0.2">
      <c r="A1852" s="16"/>
      <c r="B1852" s="16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</row>
    <row r="1853" spans="1:18" x14ac:dyDescent="0.2">
      <c r="A1853" s="16"/>
      <c r="B1853" s="16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</row>
    <row r="1854" spans="1:18" x14ac:dyDescent="0.2">
      <c r="A1854" s="16"/>
      <c r="B1854" s="16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</row>
    <row r="1855" spans="1:18" x14ac:dyDescent="0.2">
      <c r="A1855" s="16"/>
      <c r="B1855" s="16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</row>
    <row r="1856" spans="1:18" x14ac:dyDescent="0.2">
      <c r="A1856" s="16"/>
      <c r="B1856" s="16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</row>
    <row r="1857" spans="1:18" x14ac:dyDescent="0.2">
      <c r="A1857" s="16"/>
      <c r="B1857" s="16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</row>
    <row r="1858" spans="1:18" x14ac:dyDescent="0.2">
      <c r="A1858" s="16"/>
      <c r="B1858" s="16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</row>
    <row r="1859" spans="1:18" x14ac:dyDescent="0.2">
      <c r="A1859" s="16"/>
      <c r="B1859" s="16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</row>
    <row r="1860" spans="1:18" x14ac:dyDescent="0.2">
      <c r="A1860" s="16"/>
      <c r="B1860" s="16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</row>
    <row r="1861" spans="1:18" x14ac:dyDescent="0.2">
      <c r="A1861" s="16"/>
      <c r="B1861" s="16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</row>
    <row r="1862" spans="1:18" x14ac:dyDescent="0.2">
      <c r="A1862" s="16"/>
      <c r="B1862" s="16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</row>
    <row r="1863" spans="1:18" x14ac:dyDescent="0.2">
      <c r="A1863" s="16"/>
      <c r="B1863" s="16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</row>
    <row r="1864" spans="1:18" x14ac:dyDescent="0.2">
      <c r="A1864" s="16"/>
      <c r="B1864" s="16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</row>
    <row r="1865" spans="1:18" x14ac:dyDescent="0.2">
      <c r="A1865" s="16"/>
      <c r="B1865" s="16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</row>
    <row r="1866" spans="1:18" x14ac:dyDescent="0.2">
      <c r="A1866" s="16"/>
      <c r="B1866" s="16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</row>
    <row r="1867" spans="1:18" x14ac:dyDescent="0.2">
      <c r="A1867" s="16"/>
      <c r="B1867" s="16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</row>
    <row r="1868" spans="1:18" x14ac:dyDescent="0.2">
      <c r="A1868" s="16"/>
      <c r="B1868" s="16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</row>
    <row r="1869" spans="1:18" x14ac:dyDescent="0.2">
      <c r="A1869" s="16"/>
      <c r="B1869" s="16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</row>
    <row r="1870" spans="1:18" x14ac:dyDescent="0.2">
      <c r="A1870" s="16"/>
      <c r="B1870" s="16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</row>
    <row r="1871" spans="1:18" x14ac:dyDescent="0.2">
      <c r="A1871" s="16"/>
      <c r="B1871" s="16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</row>
    <row r="1872" spans="1:18" x14ac:dyDescent="0.2">
      <c r="A1872" s="16"/>
      <c r="B1872" s="16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</row>
    <row r="1873" spans="1:18" x14ac:dyDescent="0.2">
      <c r="A1873" s="16"/>
      <c r="B1873" s="16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</row>
    <row r="1874" spans="1:18" x14ac:dyDescent="0.2">
      <c r="A1874" s="16"/>
      <c r="B1874" s="16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</row>
    <row r="1875" spans="1:18" x14ac:dyDescent="0.2">
      <c r="A1875" s="16"/>
      <c r="B1875" s="16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</row>
    <row r="1876" spans="1:18" x14ac:dyDescent="0.2">
      <c r="A1876" s="16"/>
      <c r="B1876" s="16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</row>
    <row r="1877" spans="1:18" x14ac:dyDescent="0.2">
      <c r="A1877" s="16"/>
      <c r="B1877" s="16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</row>
    <row r="1878" spans="1:18" x14ac:dyDescent="0.2">
      <c r="A1878" s="16"/>
      <c r="B1878" s="16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</row>
    <row r="1879" spans="1:18" x14ac:dyDescent="0.2">
      <c r="A1879" s="16"/>
      <c r="B1879" s="16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</row>
    <row r="1880" spans="1:18" x14ac:dyDescent="0.2">
      <c r="A1880" s="16"/>
      <c r="B1880" s="16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</row>
    <row r="1881" spans="1:18" x14ac:dyDescent="0.2">
      <c r="A1881" s="16"/>
      <c r="B1881" s="16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</row>
    <row r="1882" spans="1:18" x14ac:dyDescent="0.2">
      <c r="A1882" s="16"/>
      <c r="B1882" s="16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</row>
    <row r="1883" spans="1:18" x14ac:dyDescent="0.2">
      <c r="A1883" s="16"/>
      <c r="B1883" s="16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</row>
    <row r="1884" spans="1:18" x14ac:dyDescent="0.2">
      <c r="A1884" s="16"/>
      <c r="B1884" s="16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</row>
    <row r="1885" spans="1:18" x14ac:dyDescent="0.2">
      <c r="A1885" s="16"/>
      <c r="B1885" s="16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</row>
    <row r="1886" spans="1:18" x14ac:dyDescent="0.2">
      <c r="A1886" s="16"/>
      <c r="B1886" s="16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</row>
    <row r="1887" spans="1:18" x14ac:dyDescent="0.2">
      <c r="A1887" s="16"/>
      <c r="B1887" s="16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</row>
    <row r="1888" spans="1:18" x14ac:dyDescent="0.2">
      <c r="A1888" s="16"/>
      <c r="B1888" s="16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</row>
    <row r="1889" spans="1:18" x14ac:dyDescent="0.2">
      <c r="A1889" s="16"/>
      <c r="B1889" s="16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</row>
    <row r="1890" spans="1:18" x14ac:dyDescent="0.2">
      <c r="A1890" s="16"/>
      <c r="B1890" s="16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</row>
    <row r="1891" spans="1:18" x14ac:dyDescent="0.2">
      <c r="A1891" s="16"/>
      <c r="B1891" s="16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</row>
    <row r="1892" spans="1:18" x14ac:dyDescent="0.2">
      <c r="A1892" s="16"/>
      <c r="B1892" s="16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</row>
    <row r="1893" spans="1:18" x14ac:dyDescent="0.2">
      <c r="A1893" s="16"/>
      <c r="B1893" s="16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</row>
    <row r="1894" spans="1:18" x14ac:dyDescent="0.2">
      <c r="A1894" s="16"/>
      <c r="B1894" s="16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</row>
    <row r="1895" spans="1:18" x14ac:dyDescent="0.2">
      <c r="A1895" s="16"/>
      <c r="B1895" s="16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</row>
    <row r="1896" spans="1:18" x14ac:dyDescent="0.2">
      <c r="A1896" s="16"/>
      <c r="B1896" s="16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</row>
    <row r="1897" spans="1:18" x14ac:dyDescent="0.2">
      <c r="A1897" s="16"/>
      <c r="B1897" s="16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</row>
    <row r="1898" spans="1:18" x14ac:dyDescent="0.2">
      <c r="A1898" s="16"/>
      <c r="B1898" s="16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</row>
    <row r="1899" spans="1:18" x14ac:dyDescent="0.2">
      <c r="A1899" s="16"/>
      <c r="B1899" s="16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</row>
    <row r="1900" spans="1:18" x14ac:dyDescent="0.2">
      <c r="A1900" s="16"/>
      <c r="B1900" s="16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</row>
    <row r="1901" spans="1:18" x14ac:dyDescent="0.2">
      <c r="A1901" s="16"/>
      <c r="B1901" s="16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</row>
    <row r="1902" spans="1:18" x14ac:dyDescent="0.2">
      <c r="A1902" s="16"/>
      <c r="B1902" s="16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</row>
    <row r="1903" spans="1:18" x14ac:dyDescent="0.2">
      <c r="A1903" s="16"/>
      <c r="B1903" s="16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</row>
    <row r="1904" spans="1:18" x14ac:dyDescent="0.2">
      <c r="A1904" s="16"/>
      <c r="B1904" s="16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</row>
    <row r="1905" spans="1:18" x14ac:dyDescent="0.2">
      <c r="A1905" s="16"/>
      <c r="B1905" s="16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</row>
    <row r="1906" spans="1:18" x14ac:dyDescent="0.2">
      <c r="A1906" s="16"/>
      <c r="B1906" s="16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</row>
    <row r="1907" spans="1:18" x14ac:dyDescent="0.2">
      <c r="A1907" s="16"/>
      <c r="B1907" s="16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</row>
    <row r="1908" spans="1:18" x14ac:dyDescent="0.2">
      <c r="A1908" s="16"/>
      <c r="B1908" s="16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</row>
    <row r="1909" spans="1:18" x14ac:dyDescent="0.2">
      <c r="A1909" s="16"/>
      <c r="B1909" s="16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</row>
    <row r="1910" spans="1:18" x14ac:dyDescent="0.2">
      <c r="A1910" s="16"/>
      <c r="B1910" s="16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</row>
    <row r="1911" spans="1:18" x14ac:dyDescent="0.2">
      <c r="A1911" s="16"/>
      <c r="B1911" s="16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</row>
    <row r="1912" spans="1:18" x14ac:dyDescent="0.2">
      <c r="A1912" s="16"/>
      <c r="B1912" s="16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</row>
    <row r="1913" spans="1:18" x14ac:dyDescent="0.2">
      <c r="A1913" s="16"/>
      <c r="B1913" s="16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</row>
    <row r="1914" spans="1:18" x14ac:dyDescent="0.2">
      <c r="A1914" s="16"/>
      <c r="B1914" s="16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</row>
    <row r="1915" spans="1:18" x14ac:dyDescent="0.2">
      <c r="A1915" s="16"/>
      <c r="B1915" s="16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</row>
    <row r="1916" spans="1:18" x14ac:dyDescent="0.2">
      <c r="A1916" s="16"/>
      <c r="B1916" s="16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</row>
    <row r="1917" spans="1:18" x14ac:dyDescent="0.2">
      <c r="A1917" s="16"/>
      <c r="B1917" s="16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</row>
    <row r="1918" spans="1:18" x14ac:dyDescent="0.2">
      <c r="A1918" s="16"/>
      <c r="B1918" s="16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</row>
    <row r="1919" spans="1:18" x14ac:dyDescent="0.2">
      <c r="A1919" s="16"/>
      <c r="B1919" s="16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</row>
    <row r="1920" spans="1:18" x14ac:dyDescent="0.2">
      <c r="A1920" s="16"/>
      <c r="B1920" s="16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</row>
    <row r="1921" spans="1:18" x14ac:dyDescent="0.2">
      <c r="A1921" s="16"/>
      <c r="B1921" s="16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</row>
    <row r="1922" spans="1:18" x14ac:dyDescent="0.2">
      <c r="A1922" s="16"/>
      <c r="B1922" s="16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</row>
    <row r="1923" spans="1:18" x14ac:dyDescent="0.2">
      <c r="A1923" s="16"/>
      <c r="B1923" s="16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</row>
    <row r="1924" spans="1:18" x14ac:dyDescent="0.2">
      <c r="A1924" s="16"/>
      <c r="B1924" s="16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</row>
    <row r="1925" spans="1:18" x14ac:dyDescent="0.2">
      <c r="A1925" s="16"/>
      <c r="B1925" s="16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</row>
    <row r="1926" spans="1:18" x14ac:dyDescent="0.2">
      <c r="A1926" s="16"/>
      <c r="B1926" s="16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</row>
    <row r="1927" spans="1:18" x14ac:dyDescent="0.2">
      <c r="A1927" s="16"/>
      <c r="B1927" s="16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</row>
    <row r="1928" spans="1:18" x14ac:dyDescent="0.2">
      <c r="A1928" s="16"/>
      <c r="B1928" s="16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</row>
    <row r="1929" spans="1:18" x14ac:dyDescent="0.2">
      <c r="A1929" s="16"/>
      <c r="B1929" s="16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</row>
    <row r="1930" spans="1:18" x14ac:dyDescent="0.2">
      <c r="A1930" s="16"/>
      <c r="B1930" s="16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</row>
    <row r="1931" spans="1:18" x14ac:dyDescent="0.2">
      <c r="A1931" s="16"/>
      <c r="B1931" s="16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</row>
    <row r="1932" spans="1:18" x14ac:dyDescent="0.2">
      <c r="A1932" s="16"/>
      <c r="B1932" s="16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</row>
    <row r="1933" spans="1:18" x14ac:dyDescent="0.2">
      <c r="A1933" s="16"/>
      <c r="B1933" s="16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</row>
    <row r="1934" spans="1:18" x14ac:dyDescent="0.2">
      <c r="A1934" s="16"/>
      <c r="B1934" s="16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</row>
    <row r="1935" spans="1:18" x14ac:dyDescent="0.2">
      <c r="A1935" s="16"/>
      <c r="B1935" s="16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</row>
    <row r="1936" spans="1:18" x14ac:dyDescent="0.2">
      <c r="A1936" s="16"/>
      <c r="B1936" s="16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</row>
    <row r="1937" spans="1:18" x14ac:dyDescent="0.2">
      <c r="A1937" s="16"/>
      <c r="B1937" s="16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</row>
    <row r="1938" spans="1:18" x14ac:dyDescent="0.2">
      <c r="A1938" s="16"/>
      <c r="B1938" s="16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</row>
    <row r="1939" spans="1:18" x14ac:dyDescent="0.2">
      <c r="A1939" s="16"/>
      <c r="B1939" s="16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</row>
    <row r="1940" spans="1:18" x14ac:dyDescent="0.2">
      <c r="A1940" s="16"/>
      <c r="B1940" s="16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</row>
    <row r="1941" spans="1:18" x14ac:dyDescent="0.2">
      <c r="A1941" s="16"/>
      <c r="B1941" s="16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</row>
    <row r="1942" spans="1:18" x14ac:dyDescent="0.2">
      <c r="A1942" s="16"/>
      <c r="B1942" s="16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</row>
    <row r="1943" spans="1:18" x14ac:dyDescent="0.2">
      <c r="A1943" s="16"/>
      <c r="B1943" s="16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</row>
    <row r="1944" spans="1:18" x14ac:dyDescent="0.2">
      <c r="A1944" s="16"/>
      <c r="B1944" s="16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</row>
    <row r="1945" spans="1:18" x14ac:dyDescent="0.2">
      <c r="A1945" s="16"/>
      <c r="B1945" s="16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</row>
    <row r="1946" spans="1:18" x14ac:dyDescent="0.2">
      <c r="A1946" s="16"/>
      <c r="B1946" s="16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</row>
    <row r="1947" spans="1:18" x14ac:dyDescent="0.2">
      <c r="A1947" s="16"/>
      <c r="B1947" s="16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</row>
    <row r="1948" spans="1:18" x14ac:dyDescent="0.2">
      <c r="A1948" s="16"/>
      <c r="B1948" s="16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</row>
    <row r="1949" spans="1:18" x14ac:dyDescent="0.2">
      <c r="A1949" s="16"/>
      <c r="B1949" s="16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</row>
    <row r="1950" spans="1:18" x14ac:dyDescent="0.2">
      <c r="A1950" s="16"/>
      <c r="B1950" s="16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</row>
    <row r="1951" spans="1:18" x14ac:dyDescent="0.2">
      <c r="A1951" s="16"/>
      <c r="B1951" s="16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</row>
    <row r="1952" spans="1:18" x14ac:dyDescent="0.2">
      <c r="A1952" s="16"/>
      <c r="B1952" s="16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</row>
    <row r="1953" spans="1:18" x14ac:dyDescent="0.2">
      <c r="A1953" s="16"/>
      <c r="B1953" s="16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</row>
    <row r="1954" spans="1:18" x14ac:dyDescent="0.2">
      <c r="A1954" s="16"/>
      <c r="B1954" s="16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</row>
    <row r="1955" spans="1:18" x14ac:dyDescent="0.2">
      <c r="A1955" s="16"/>
      <c r="B1955" s="16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</row>
    <row r="1956" spans="1:18" x14ac:dyDescent="0.2">
      <c r="A1956" s="16"/>
      <c r="B1956" s="16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</row>
    <row r="1957" spans="1:18" x14ac:dyDescent="0.2">
      <c r="A1957" s="16"/>
      <c r="B1957" s="16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</row>
    <row r="1958" spans="1:18" x14ac:dyDescent="0.2">
      <c r="A1958" s="16"/>
      <c r="B1958" s="16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</row>
    <row r="1959" spans="1:18" x14ac:dyDescent="0.2">
      <c r="A1959" s="16"/>
      <c r="B1959" s="16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</row>
    <row r="1960" spans="1:18" x14ac:dyDescent="0.2">
      <c r="A1960" s="16"/>
      <c r="B1960" s="16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</row>
    <row r="1961" spans="1:18" x14ac:dyDescent="0.2">
      <c r="A1961" s="16"/>
      <c r="B1961" s="16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</row>
    <row r="1962" spans="1:18" x14ac:dyDescent="0.2">
      <c r="A1962" s="16"/>
      <c r="B1962" s="16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</row>
    <row r="1963" spans="1:18" x14ac:dyDescent="0.2">
      <c r="A1963" s="16"/>
      <c r="B1963" s="16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</row>
    <row r="1964" spans="1:18" x14ac:dyDescent="0.2">
      <c r="A1964" s="16"/>
      <c r="B1964" s="16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</row>
    <row r="1965" spans="1:18" x14ac:dyDescent="0.2">
      <c r="A1965" s="16"/>
      <c r="B1965" s="16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</row>
    <row r="1966" spans="1:18" x14ac:dyDescent="0.2">
      <c r="A1966" s="16"/>
      <c r="B1966" s="16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</row>
    <row r="1967" spans="1:18" x14ac:dyDescent="0.2">
      <c r="A1967" s="16"/>
      <c r="B1967" s="16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</row>
    <row r="1968" spans="1:18" x14ac:dyDescent="0.2">
      <c r="A1968" s="16"/>
      <c r="B1968" s="16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</row>
    <row r="1969" spans="1:18" x14ac:dyDescent="0.2">
      <c r="A1969" s="16"/>
      <c r="B1969" s="16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</row>
    <row r="1970" spans="1:18" x14ac:dyDescent="0.2">
      <c r="A1970" s="16"/>
      <c r="B1970" s="16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</row>
    <row r="1971" spans="1:18" x14ac:dyDescent="0.2">
      <c r="A1971" s="16"/>
      <c r="B1971" s="16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</row>
    <row r="1972" spans="1:18" x14ac:dyDescent="0.2">
      <c r="A1972" s="16"/>
      <c r="B1972" s="16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</row>
    <row r="1973" spans="1:18" x14ac:dyDescent="0.2">
      <c r="A1973" s="16"/>
      <c r="B1973" s="16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</row>
    <row r="1974" spans="1:18" x14ac:dyDescent="0.2">
      <c r="A1974" s="16"/>
      <c r="B1974" s="16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</row>
    <row r="1975" spans="1:18" x14ac:dyDescent="0.2">
      <c r="A1975" s="16"/>
      <c r="B1975" s="16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</row>
    <row r="1976" spans="1:18" x14ac:dyDescent="0.2">
      <c r="A1976" s="16"/>
      <c r="B1976" s="16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</row>
    <row r="1977" spans="1:18" x14ac:dyDescent="0.2">
      <c r="A1977" s="16"/>
      <c r="B1977" s="16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</row>
    <row r="1978" spans="1:18" x14ac:dyDescent="0.2">
      <c r="A1978" s="16"/>
      <c r="B1978" s="16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</row>
    <row r="1979" spans="1:18" x14ac:dyDescent="0.2">
      <c r="A1979" s="16"/>
      <c r="B1979" s="16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</row>
    <row r="1980" spans="1:18" x14ac:dyDescent="0.2">
      <c r="A1980" s="16"/>
      <c r="B1980" s="16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</row>
    <row r="1981" spans="1:18" x14ac:dyDescent="0.2">
      <c r="A1981" s="16"/>
      <c r="B1981" s="16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</row>
    <row r="1982" spans="1:18" x14ac:dyDescent="0.2">
      <c r="A1982" s="16"/>
      <c r="B1982" s="16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</row>
    <row r="1983" spans="1:18" x14ac:dyDescent="0.2">
      <c r="A1983" s="16"/>
      <c r="B1983" s="16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</row>
    <row r="1984" spans="1:18" x14ac:dyDescent="0.2">
      <c r="A1984" s="16"/>
      <c r="B1984" s="16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</row>
    <row r="1985" spans="1:18" x14ac:dyDescent="0.2">
      <c r="A1985" s="16"/>
      <c r="B1985" s="16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</row>
    <row r="1986" spans="1:18" x14ac:dyDescent="0.2">
      <c r="A1986" s="16"/>
      <c r="B1986" s="16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</row>
    <row r="1987" spans="1:18" x14ac:dyDescent="0.2">
      <c r="A1987" s="16"/>
      <c r="B1987" s="16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</row>
    <row r="1988" spans="1:18" x14ac:dyDescent="0.2">
      <c r="A1988" s="16"/>
      <c r="B1988" s="16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</row>
    <row r="1989" spans="1:18" x14ac:dyDescent="0.2">
      <c r="A1989" s="16"/>
      <c r="B1989" s="16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</row>
    <row r="1990" spans="1:18" x14ac:dyDescent="0.2">
      <c r="A1990" s="16"/>
      <c r="B1990" s="16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</row>
    <row r="1991" spans="1:18" x14ac:dyDescent="0.2">
      <c r="A1991" s="16"/>
      <c r="B1991" s="16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</row>
    <row r="1992" spans="1:18" x14ac:dyDescent="0.2">
      <c r="A1992" s="16"/>
      <c r="B1992" s="16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</row>
    <row r="1993" spans="1:18" x14ac:dyDescent="0.2">
      <c r="A1993" s="16"/>
      <c r="B1993" s="16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</row>
    <row r="1994" spans="1:18" x14ac:dyDescent="0.2">
      <c r="A1994" s="16"/>
      <c r="B1994" s="16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</row>
    <row r="1995" spans="1:18" x14ac:dyDescent="0.2">
      <c r="A1995" s="16"/>
      <c r="B1995" s="16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</row>
    <row r="1996" spans="1:18" x14ac:dyDescent="0.2">
      <c r="A1996" s="16"/>
      <c r="B1996" s="16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</row>
    <row r="1997" spans="1:18" x14ac:dyDescent="0.2">
      <c r="A1997" s="16"/>
      <c r="B1997" s="16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</row>
    <row r="1998" spans="1:18" x14ac:dyDescent="0.2">
      <c r="A1998" s="16"/>
      <c r="B1998" s="16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</row>
    <row r="1999" spans="1:18" x14ac:dyDescent="0.2">
      <c r="A1999" s="16"/>
      <c r="B1999" s="16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</row>
    <row r="2000" spans="1:18" x14ac:dyDescent="0.2">
      <c r="A2000" s="16"/>
      <c r="B2000" s="16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</row>
    <row r="2001" spans="1:18" x14ac:dyDescent="0.2">
      <c r="A2001" s="16"/>
      <c r="B2001" s="16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</row>
    <row r="2002" spans="1:18" x14ac:dyDescent="0.2">
      <c r="A2002" s="16"/>
      <c r="B2002" s="16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</row>
    <row r="2003" spans="1:18" x14ac:dyDescent="0.2">
      <c r="A2003" s="16"/>
      <c r="B2003" s="16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</row>
    <row r="2004" spans="1:18" x14ac:dyDescent="0.2">
      <c r="A2004" s="16"/>
      <c r="B2004" s="16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</row>
    <row r="2005" spans="1:18" x14ac:dyDescent="0.2">
      <c r="A2005" s="16"/>
      <c r="B2005" s="16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</row>
    <row r="2006" spans="1:18" x14ac:dyDescent="0.2">
      <c r="A2006" s="16"/>
      <c r="B2006" s="16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</row>
    <row r="2007" spans="1:18" x14ac:dyDescent="0.2">
      <c r="A2007" s="16"/>
      <c r="B2007" s="16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</row>
    <row r="2008" spans="1:18" x14ac:dyDescent="0.2">
      <c r="A2008" s="16"/>
      <c r="B2008" s="16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</row>
    <row r="2009" spans="1:18" x14ac:dyDescent="0.2">
      <c r="A2009" s="16"/>
      <c r="B2009" s="16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</row>
    <row r="2010" spans="1:18" x14ac:dyDescent="0.2">
      <c r="A2010" s="16"/>
      <c r="B2010" s="16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</row>
    <row r="2011" spans="1:18" x14ac:dyDescent="0.2">
      <c r="A2011" s="16"/>
      <c r="B2011" s="16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</row>
    <row r="2012" spans="1:18" x14ac:dyDescent="0.2">
      <c r="A2012" s="16"/>
      <c r="B2012" s="16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</row>
    <row r="2013" spans="1:18" x14ac:dyDescent="0.2">
      <c r="A2013" s="16"/>
      <c r="B2013" s="16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</row>
    <row r="2014" spans="1:18" x14ac:dyDescent="0.2">
      <c r="A2014" s="16"/>
      <c r="B2014" s="16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</row>
    <row r="2015" spans="1:18" x14ac:dyDescent="0.2">
      <c r="A2015" s="16"/>
      <c r="B2015" s="16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</row>
    <row r="2016" spans="1:18" x14ac:dyDescent="0.2">
      <c r="A2016" s="16"/>
      <c r="B2016" s="16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</row>
    <row r="2017" spans="1:18" x14ac:dyDescent="0.2">
      <c r="A2017" s="16"/>
      <c r="B2017" s="16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</row>
    <row r="2018" spans="1:18" x14ac:dyDescent="0.2">
      <c r="A2018" s="16"/>
      <c r="B2018" s="16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</row>
    <row r="2019" spans="1:18" x14ac:dyDescent="0.2">
      <c r="A2019" s="16"/>
      <c r="B2019" s="16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</row>
    <row r="2020" spans="1:18" x14ac:dyDescent="0.2">
      <c r="A2020" s="16"/>
      <c r="B2020" s="16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</row>
    <row r="2021" spans="1:18" x14ac:dyDescent="0.2">
      <c r="A2021" s="16"/>
      <c r="B2021" s="16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</row>
    <row r="2022" spans="1:18" x14ac:dyDescent="0.2">
      <c r="A2022" s="16"/>
      <c r="B2022" s="16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</row>
    <row r="2023" spans="1:18" x14ac:dyDescent="0.2">
      <c r="A2023" s="16"/>
      <c r="B2023" s="16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</row>
    <row r="2024" spans="1:18" x14ac:dyDescent="0.2">
      <c r="A2024" s="16"/>
      <c r="B2024" s="16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</row>
    <row r="2025" spans="1:18" x14ac:dyDescent="0.2">
      <c r="A2025" s="16"/>
      <c r="B2025" s="16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</row>
    <row r="2026" spans="1:18" x14ac:dyDescent="0.2">
      <c r="A2026" s="16"/>
      <c r="B2026" s="16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</row>
    <row r="2027" spans="1:18" x14ac:dyDescent="0.2">
      <c r="A2027" s="16"/>
      <c r="B2027" s="16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</row>
    <row r="2028" spans="1:18" x14ac:dyDescent="0.2">
      <c r="A2028" s="16"/>
      <c r="B2028" s="16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</row>
    <row r="2029" spans="1:18" x14ac:dyDescent="0.2">
      <c r="A2029" s="16"/>
      <c r="B2029" s="16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</row>
    <row r="2030" spans="1:18" x14ac:dyDescent="0.2">
      <c r="A2030" s="16"/>
      <c r="B2030" s="16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</row>
    <row r="2031" spans="1:18" x14ac:dyDescent="0.2">
      <c r="A2031" s="16"/>
      <c r="B2031" s="16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</row>
    <row r="2032" spans="1:18" x14ac:dyDescent="0.2">
      <c r="A2032" s="16"/>
      <c r="B2032" s="16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</row>
    <row r="2033" spans="1:18" x14ac:dyDescent="0.2">
      <c r="A2033" s="16"/>
      <c r="B2033" s="16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</row>
    <row r="2034" spans="1:18" x14ac:dyDescent="0.2">
      <c r="A2034" s="16"/>
      <c r="B2034" s="16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</row>
    <row r="2035" spans="1:18" x14ac:dyDescent="0.2">
      <c r="A2035" s="16"/>
      <c r="B2035" s="16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</row>
    <row r="2036" spans="1:18" x14ac:dyDescent="0.2">
      <c r="A2036" s="16"/>
      <c r="B2036" s="16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</row>
    <row r="2037" spans="1:18" x14ac:dyDescent="0.2">
      <c r="A2037" s="16"/>
      <c r="B2037" s="16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</row>
    <row r="2038" spans="1:18" x14ac:dyDescent="0.2">
      <c r="A2038" s="16"/>
      <c r="B2038" s="16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</row>
    <row r="2039" spans="1:18" x14ac:dyDescent="0.2">
      <c r="A2039" s="16"/>
      <c r="B2039" s="16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</row>
    <row r="2040" spans="1:18" x14ac:dyDescent="0.2">
      <c r="A2040" s="16"/>
      <c r="B2040" s="16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</row>
    <row r="2041" spans="1:18" x14ac:dyDescent="0.2">
      <c r="A2041" s="16"/>
      <c r="B2041" s="16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</row>
    <row r="2042" spans="1:18" x14ac:dyDescent="0.2">
      <c r="A2042" s="16"/>
      <c r="B2042" s="16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</row>
    <row r="2043" spans="1:18" x14ac:dyDescent="0.2">
      <c r="A2043" s="16"/>
      <c r="B2043" s="16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</row>
    <row r="2044" spans="1:18" x14ac:dyDescent="0.2">
      <c r="A2044" s="16"/>
      <c r="B2044" s="16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</row>
    <row r="2045" spans="1:18" x14ac:dyDescent="0.2">
      <c r="A2045" s="16"/>
      <c r="B2045" s="16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</row>
    <row r="2046" spans="1:18" x14ac:dyDescent="0.2">
      <c r="A2046" s="16"/>
      <c r="B2046" s="16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</row>
    <row r="2047" spans="1:18" x14ac:dyDescent="0.2">
      <c r="A2047" s="16"/>
      <c r="B2047" s="16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</row>
    <row r="2048" spans="1:18" x14ac:dyDescent="0.2">
      <c r="A2048" s="16"/>
      <c r="B2048" s="16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</row>
    <row r="2049" spans="1:18" x14ac:dyDescent="0.2">
      <c r="A2049" s="16"/>
      <c r="B2049" s="16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</row>
    <row r="2050" spans="1:18" x14ac:dyDescent="0.2">
      <c r="A2050" s="16"/>
      <c r="B2050" s="16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</row>
    <row r="2051" spans="1:18" x14ac:dyDescent="0.2">
      <c r="A2051" s="16"/>
      <c r="B2051" s="16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</row>
    <row r="2052" spans="1:18" x14ac:dyDescent="0.2">
      <c r="A2052" s="16"/>
      <c r="B2052" s="16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</row>
    <row r="2053" spans="1:18" x14ac:dyDescent="0.2">
      <c r="A2053" s="16"/>
      <c r="B2053" s="16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</row>
    <row r="2054" spans="1:18" x14ac:dyDescent="0.2">
      <c r="A2054" s="16"/>
      <c r="B2054" s="16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</row>
    <row r="2055" spans="1:18" x14ac:dyDescent="0.2">
      <c r="A2055" s="16"/>
      <c r="B2055" s="16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</row>
    <row r="2056" spans="1:18" x14ac:dyDescent="0.2">
      <c r="A2056" s="16"/>
      <c r="B2056" s="16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</row>
    <row r="2057" spans="1:18" x14ac:dyDescent="0.2">
      <c r="A2057" s="16"/>
      <c r="B2057" s="16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</row>
    <row r="2058" spans="1:18" x14ac:dyDescent="0.2">
      <c r="A2058" s="16"/>
      <c r="B2058" s="16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</row>
    <row r="2059" spans="1:18" x14ac:dyDescent="0.2">
      <c r="A2059" s="16"/>
      <c r="B2059" s="16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</row>
    <row r="2060" spans="1:18" x14ac:dyDescent="0.2">
      <c r="A2060" s="16"/>
      <c r="B2060" s="16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</row>
    <row r="2061" spans="1:18" x14ac:dyDescent="0.2">
      <c r="A2061" s="16"/>
      <c r="B2061" s="16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</row>
    <row r="2062" spans="1:18" x14ac:dyDescent="0.2">
      <c r="A2062" s="16"/>
      <c r="B2062" s="16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</row>
    <row r="2063" spans="1:18" x14ac:dyDescent="0.2">
      <c r="A2063" s="16"/>
      <c r="B2063" s="16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</row>
    <row r="2064" spans="1:18" x14ac:dyDescent="0.2">
      <c r="A2064" s="16"/>
      <c r="B2064" s="16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</row>
    <row r="2065" spans="1:18" x14ac:dyDescent="0.2">
      <c r="A2065" s="16"/>
      <c r="B2065" s="16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</row>
    <row r="2066" spans="1:18" x14ac:dyDescent="0.2">
      <c r="A2066" s="16"/>
      <c r="B2066" s="16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</row>
    <row r="2067" spans="1:18" x14ac:dyDescent="0.2">
      <c r="A2067" s="16"/>
      <c r="B2067" s="16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</row>
    <row r="2068" spans="1:18" x14ac:dyDescent="0.2">
      <c r="A2068" s="16"/>
      <c r="B2068" s="16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</row>
    <row r="2069" spans="1:18" x14ac:dyDescent="0.2">
      <c r="A2069" s="16"/>
      <c r="B2069" s="16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</row>
    <row r="2070" spans="1:18" x14ac:dyDescent="0.2">
      <c r="A2070" s="16"/>
      <c r="B2070" s="16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</row>
    <row r="2071" spans="1:18" x14ac:dyDescent="0.2">
      <c r="A2071" s="16"/>
      <c r="B2071" s="16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</row>
    <row r="2072" spans="1:18" x14ac:dyDescent="0.2">
      <c r="A2072" s="16"/>
      <c r="B2072" s="16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</row>
    <row r="2073" spans="1:18" x14ac:dyDescent="0.2">
      <c r="A2073" s="16"/>
      <c r="B2073" s="16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</row>
    <row r="2074" spans="1:18" x14ac:dyDescent="0.2">
      <c r="A2074" s="16"/>
      <c r="B2074" s="16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</row>
    <row r="2075" spans="1:18" x14ac:dyDescent="0.2">
      <c r="A2075" s="16"/>
      <c r="B2075" s="16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</row>
    <row r="2076" spans="1:18" x14ac:dyDescent="0.2">
      <c r="A2076" s="16"/>
      <c r="B2076" s="16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</row>
    <row r="2077" spans="1:18" x14ac:dyDescent="0.2">
      <c r="A2077" s="16"/>
      <c r="B2077" s="16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</row>
    <row r="2078" spans="1:18" x14ac:dyDescent="0.2">
      <c r="A2078" s="16"/>
      <c r="B2078" s="16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</row>
    <row r="2079" spans="1:18" x14ac:dyDescent="0.2">
      <c r="A2079" s="16"/>
      <c r="B2079" s="16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</row>
    <row r="2080" spans="1:18" x14ac:dyDescent="0.2">
      <c r="A2080" s="16"/>
      <c r="B2080" s="16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</row>
    <row r="2081" spans="1:18" x14ac:dyDescent="0.2">
      <c r="A2081" s="16"/>
      <c r="B2081" s="16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</row>
    <row r="2082" spans="1:18" x14ac:dyDescent="0.2">
      <c r="A2082" s="16"/>
      <c r="B2082" s="16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</row>
    <row r="2083" spans="1:18" x14ac:dyDescent="0.2">
      <c r="A2083" s="16"/>
      <c r="B2083" s="16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</row>
    <row r="2084" spans="1:18" x14ac:dyDescent="0.2">
      <c r="A2084" s="16"/>
      <c r="B2084" s="16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</row>
    <row r="2085" spans="1:18" x14ac:dyDescent="0.2">
      <c r="A2085" s="16"/>
      <c r="B2085" s="16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</row>
    <row r="2086" spans="1:18" x14ac:dyDescent="0.2">
      <c r="A2086" s="16"/>
      <c r="B2086" s="16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</row>
    <row r="2087" spans="1:18" x14ac:dyDescent="0.2">
      <c r="A2087" s="16"/>
      <c r="B2087" s="16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</row>
    <row r="2088" spans="1:18" x14ac:dyDescent="0.2">
      <c r="A2088" s="16"/>
      <c r="B2088" s="16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</row>
    <row r="2089" spans="1:18" x14ac:dyDescent="0.2">
      <c r="A2089" s="16"/>
      <c r="B2089" s="16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</row>
    <row r="2090" spans="1:18" x14ac:dyDescent="0.2">
      <c r="A2090" s="16"/>
      <c r="B2090" s="16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</row>
    <row r="2091" spans="1:18" x14ac:dyDescent="0.2">
      <c r="A2091" s="16"/>
      <c r="B2091" s="16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</row>
    <row r="2092" spans="1:18" x14ac:dyDescent="0.2">
      <c r="A2092" s="16"/>
      <c r="B2092" s="16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</row>
    <row r="2093" spans="1:18" x14ac:dyDescent="0.2">
      <c r="A2093" s="16"/>
      <c r="B2093" s="16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</row>
    <row r="2094" spans="1:18" x14ac:dyDescent="0.2">
      <c r="A2094" s="16"/>
      <c r="B2094" s="16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</row>
    <row r="2095" spans="1:18" x14ac:dyDescent="0.2">
      <c r="A2095" s="16"/>
      <c r="B2095" s="16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</row>
    <row r="2096" spans="1:18" x14ac:dyDescent="0.2">
      <c r="A2096" s="16"/>
      <c r="B2096" s="16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</row>
    <row r="2097" spans="1:18" x14ac:dyDescent="0.2">
      <c r="A2097" s="16"/>
      <c r="B2097" s="16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</row>
    <row r="2098" spans="1:18" x14ac:dyDescent="0.2">
      <c r="A2098" s="16"/>
      <c r="B2098" s="16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</row>
    <row r="2099" spans="1:18" x14ac:dyDescent="0.2">
      <c r="A2099" s="16"/>
      <c r="B2099" s="16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</row>
    <row r="2100" spans="1:18" x14ac:dyDescent="0.2">
      <c r="A2100" s="16"/>
      <c r="B2100" s="16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</row>
    <row r="2101" spans="1:18" x14ac:dyDescent="0.2">
      <c r="A2101" s="16"/>
      <c r="B2101" s="16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</row>
    <row r="2102" spans="1:18" x14ac:dyDescent="0.2">
      <c r="A2102" s="16"/>
      <c r="B2102" s="16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</row>
    <row r="2103" spans="1:18" x14ac:dyDescent="0.2">
      <c r="A2103" s="16"/>
      <c r="B2103" s="16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</row>
    <row r="2104" spans="1:18" x14ac:dyDescent="0.2">
      <c r="A2104" s="16"/>
      <c r="B2104" s="16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</row>
    <row r="2105" spans="1:18" x14ac:dyDescent="0.2">
      <c r="A2105" s="16"/>
      <c r="B2105" s="16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</row>
    <row r="2106" spans="1:18" x14ac:dyDescent="0.2">
      <c r="A2106" s="16"/>
      <c r="B2106" s="16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</row>
    <row r="2107" spans="1:18" x14ac:dyDescent="0.2">
      <c r="A2107" s="16"/>
      <c r="B2107" s="16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</row>
    <row r="2108" spans="1:18" x14ac:dyDescent="0.2">
      <c r="A2108" s="16"/>
      <c r="B2108" s="16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</row>
    <row r="2109" spans="1:18" x14ac:dyDescent="0.2">
      <c r="A2109" s="16"/>
      <c r="B2109" s="16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</row>
    <row r="2110" spans="1:18" x14ac:dyDescent="0.2">
      <c r="A2110" s="16"/>
      <c r="B2110" s="16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</row>
    <row r="2111" spans="1:18" x14ac:dyDescent="0.2">
      <c r="A2111" s="16"/>
      <c r="B2111" s="16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</row>
    <row r="2112" spans="1:18" x14ac:dyDescent="0.2">
      <c r="A2112" s="16"/>
      <c r="B2112" s="16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</row>
    <row r="2113" spans="1:18" x14ac:dyDescent="0.2">
      <c r="A2113" s="16"/>
      <c r="B2113" s="16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</row>
    <row r="2114" spans="1:18" x14ac:dyDescent="0.2">
      <c r="A2114" s="16"/>
      <c r="B2114" s="16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</row>
    <row r="2115" spans="1:18" x14ac:dyDescent="0.2">
      <c r="A2115" s="16"/>
      <c r="B2115" s="16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</row>
    <row r="2116" spans="1:18" x14ac:dyDescent="0.2">
      <c r="A2116" s="16"/>
      <c r="B2116" s="16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</row>
    <row r="2117" spans="1:18" x14ac:dyDescent="0.2">
      <c r="A2117" s="16"/>
      <c r="B2117" s="16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</row>
    <row r="2118" spans="1:18" x14ac:dyDescent="0.2">
      <c r="A2118" s="16"/>
      <c r="B2118" s="16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</row>
    <row r="2119" spans="1:18" x14ac:dyDescent="0.2">
      <c r="A2119" s="16"/>
      <c r="B2119" s="16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</row>
    <row r="2120" spans="1:18" x14ac:dyDescent="0.2">
      <c r="A2120" s="16"/>
      <c r="B2120" s="16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</row>
    <row r="2121" spans="1:18" x14ac:dyDescent="0.2">
      <c r="A2121" s="16"/>
      <c r="B2121" s="16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</row>
    <row r="2122" spans="1:18" x14ac:dyDescent="0.2">
      <c r="A2122" s="16"/>
      <c r="B2122" s="16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</row>
    <row r="2123" spans="1:18" x14ac:dyDescent="0.2">
      <c r="A2123" s="16"/>
      <c r="B2123" s="16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</row>
    <row r="2124" spans="1:18" x14ac:dyDescent="0.2">
      <c r="A2124" s="16"/>
      <c r="B2124" s="16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</row>
    <row r="2125" spans="1:18" x14ac:dyDescent="0.2">
      <c r="A2125" s="16"/>
      <c r="B2125" s="16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</row>
    <row r="2126" spans="1:18" x14ac:dyDescent="0.2">
      <c r="A2126" s="16"/>
      <c r="B2126" s="16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</row>
    <row r="2127" spans="1:18" x14ac:dyDescent="0.2">
      <c r="A2127" s="16"/>
      <c r="B2127" s="16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</row>
    <row r="2128" spans="1:18" x14ac:dyDescent="0.2">
      <c r="A2128" s="16"/>
      <c r="B2128" s="16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</row>
    <row r="2129" spans="1:18" x14ac:dyDescent="0.2">
      <c r="A2129" s="16"/>
      <c r="B2129" s="16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</row>
    <row r="2130" spans="1:18" x14ac:dyDescent="0.2">
      <c r="A2130" s="16"/>
      <c r="B2130" s="16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</row>
    <row r="2131" spans="1:18" x14ac:dyDescent="0.2">
      <c r="A2131" s="16"/>
      <c r="B2131" s="16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</row>
    <row r="2132" spans="1:18" x14ac:dyDescent="0.2">
      <c r="A2132" s="16"/>
      <c r="B2132" s="16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</row>
    <row r="2133" spans="1:18" x14ac:dyDescent="0.2">
      <c r="A2133" s="16"/>
      <c r="B2133" s="16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</row>
    <row r="2134" spans="1:18" x14ac:dyDescent="0.2">
      <c r="A2134" s="16"/>
      <c r="B2134" s="16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</row>
    <row r="2135" spans="1:18" x14ac:dyDescent="0.2">
      <c r="A2135" s="16"/>
      <c r="B2135" s="16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</row>
    <row r="2136" spans="1:18" x14ac:dyDescent="0.2">
      <c r="A2136" s="16"/>
      <c r="B2136" s="16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</row>
    <row r="2137" spans="1:18" x14ac:dyDescent="0.2">
      <c r="A2137" s="16"/>
      <c r="B2137" s="16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</row>
    <row r="2138" spans="1:18" x14ac:dyDescent="0.2">
      <c r="A2138" s="16"/>
      <c r="B2138" s="16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</row>
    <row r="2139" spans="1:18" x14ac:dyDescent="0.2">
      <c r="A2139" s="16"/>
      <c r="B2139" s="16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</row>
    <row r="2140" spans="1:18" x14ac:dyDescent="0.2">
      <c r="A2140" s="16"/>
      <c r="B2140" s="16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</row>
    <row r="2141" spans="1:18" x14ac:dyDescent="0.2">
      <c r="A2141" s="16"/>
      <c r="B2141" s="16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</row>
    <row r="2142" spans="1:18" x14ac:dyDescent="0.2">
      <c r="A2142" s="16"/>
      <c r="B2142" s="16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</row>
    <row r="2143" spans="1:18" x14ac:dyDescent="0.2">
      <c r="A2143" s="16"/>
      <c r="B2143" s="16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</row>
    <row r="2144" spans="1:18" x14ac:dyDescent="0.2">
      <c r="A2144" s="16"/>
      <c r="B2144" s="16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</row>
    <row r="2145" spans="1:18" x14ac:dyDescent="0.2">
      <c r="A2145" s="16"/>
      <c r="B2145" s="16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</row>
    <row r="2146" spans="1:18" x14ac:dyDescent="0.2">
      <c r="A2146" s="16"/>
      <c r="B2146" s="16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</row>
    <row r="2147" spans="1:18" x14ac:dyDescent="0.2">
      <c r="A2147" s="16"/>
      <c r="B2147" s="16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</row>
    <row r="2148" spans="1:18" x14ac:dyDescent="0.2">
      <c r="A2148" s="16"/>
      <c r="B2148" s="16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</row>
    <row r="2149" spans="1:18" x14ac:dyDescent="0.2">
      <c r="A2149" s="16"/>
      <c r="B2149" s="16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</row>
    <row r="2150" spans="1:18" x14ac:dyDescent="0.2">
      <c r="A2150" s="16"/>
      <c r="B2150" s="16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</row>
    <row r="2151" spans="1:18" x14ac:dyDescent="0.2">
      <c r="A2151" s="16"/>
      <c r="B2151" s="16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</row>
    <row r="2152" spans="1:18" x14ac:dyDescent="0.2">
      <c r="A2152" s="16"/>
      <c r="B2152" s="16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</row>
    <row r="2153" spans="1:18" x14ac:dyDescent="0.2">
      <c r="A2153" s="16"/>
      <c r="B2153" s="16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</row>
    <row r="2154" spans="1:18" x14ac:dyDescent="0.2">
      <c r="A2154" s="16"/>
      <c r="B2154" s="16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</row>
    <row r="2155" spans="1:18" x14ac:dyDescent="0.2">
      <c r="A2155" s="16"/>
      <c r="B2155" s="16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</row>
    <row r="2156" spans="1:18" x14ac:dyDescent="0.2">
      <c r="A2156" s="16"/>
      <c r="B2156" s="16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</row>
    <row r="2157" spans="1:18" x14ac:dyDescent="0.2">
      <c r="A2157" s="16"/>
      <c r="B2157" s="16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</row>
    <row r="2158" spans="1:18" x14ac:dyDescent="0.2">
      <c r="A2158" s="16"/>
      <c r="B2158" s="16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</row>
    <row r="2159" spans="1:18" x14ac:dyDescent="0.2">
      <c r="A2159" s="16"/>
      <c r="B2159" s="16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</row>
    <row r="2160" spans="1:18" x14ac:dyDescent="0.2">
      <c r="A2160" s="16"/>
      <c r="B2160" s="16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</row>
    <row r="2161" spans="1:18" x14ac:dyDescent="0.2">
      <c r="A2161" s="16"/>
      <c r="B2161" s="16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</row>
    <row r="2162" spans="1:18" x14ac:dyDescent="0.2">
      <c r="A2162" s="16"/>
      <c r="B2162" s="16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</row>
    <row r="2163" spans="1:18" x14ac:dyDescent="0.2">
      <c r="A2163" s="16"/>
      <c r="B2163" s="16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</row>
    <row r="2164" spans="1:18" x14ac:dyDescent="0.2">
      <c r="A2164" s="16"/>
      <c r="B2164" s="16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</row>
    <row r="2165" spans="1:18" x14ac:dyDescent="0.2">
      <c r="A2165" s="16"/>
      <c r="B2165" s="16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</row>
    <row r="2166" spans="1:18" x14ac:dyDescent="0.2">
      <c r="A2166" s="16"/>
      <c r="B2166" s="16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</row>
    <row r="2167" spans="1:18" x14ac:dyDescent="0.2">
      <c r="A2167" s="16"/>
      <c r="B2167" s="16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</row>
    <row r="2168" spans="1:18" x14ac:dyDescent="0.2">
      <c r="A2168" s="16"/>
      <c r="B2168" s="16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</row>
    <row r="2169" spans="1:18" x14ac:dyDescent="0.2">
      <c r="A2169" s="16"/>
      <c r="B2169" s="16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</row>
    <row r="2170" spans="1:18" x14ac:dyDescent="0.2">
      <c r="A2170" s="16"/>
      <c r="B2170" s="16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</row>
    <row r="2171" spans="1:18" x14ac:dyDescent="0.2">
      <c r="A2171" s="16"/>
      <c r="B2171" s="16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</row>
    <row r="2172" spans="1:18" x14ac:dyDescent="0.2">
      <c r="A2172" s="16"/>
      <c r="B2172" s="16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</row>
    <row r="2173" spans="1:18" x14ac:dyDescent="0.2">
      <c r="A2173" s="16"/>
      <c r="B2173" s="16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</row>
    <row r="2174" spans="1:18" x14ac:dyDescent="0.2">
      <c r="A2174" s="16"/>
      <c r="B2174" s="16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</row>
    <row r="2175" spans="1:18" x14ac:dyDescent="0.2">
      <c r="A2175" s="16"/>
      <c r="B2175" s="16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</row>
    <row r="2176" spans="1:18" x14ac:dyDescent="0.2">
      <c r="A2176" s="16"/>
      <c r="B2176" s="16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</row>
    <row r="2177" spans="1:18" x14ac:dyDescent="0.2">
      <c r="A2177" s="16"/>
      <c r="B2177" s="16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</row>
    <row r="2178" spans="1:18" x14ac:dyDescent="0.2">
      <c r="A2178" s="16"/>
      <c r="B2178" s="16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</row>
    <row r="2179" spans="1:18" x14ac:dyDescent="0.2">
      <c r="A2179" s="16"/>
      <c r="B2179" s="16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</row>
    <row r="2180" spans="1:18" x14ac:dyDescent="0.2">
      <c r="A2180" s="16"/>
      <c r="B2180" s="16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</row>
    <row r="2181" spans="1:18" x14ac:dyDescent="0.2">
      <c r="A2181" s="16"/>
      <c r="B2181" s="16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</row>
    <row r="2182" spans="1:18" x14ac:dyDescent="0.2">
      <c r="A2182" s="16"/>
      <c r="B2182" s="16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</row>
    <row r="2183" spans="1:18" x14ac:dyDescent="0.2">
      <c r="A2183" s="16"/>
      <c r="B2183" s="16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</row>
    <row r="2184" spans="1:18" x14ac:dyDescent="0.2">
      <c r="A2184" s="16"/>
      <c r="B2184" s="16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</row>
    <row r="2185" spans="1:18" x14ac:dyDescent="0.2">
      <c r="A2185" s="16"/>
      <c r="B2185" s="16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</row>
    <row r="2186" spans="1:18" x14ac:dyDescent="0.2">
      <c r="A2186" s="16"/>
      <c r="B2186" s="16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</row>
    <row r="2187" spans="1:18" x14ac:dyDescent="0.2">
      <c r="A2187" s="16"/>
      <c r="B2187" s="16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</row>
    <row r="2188" spans="1:18" x14ac:dyDescent="0.2">
      <c r="A2188" s="16"/>
      <c r="B2188" s="16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</row>
    <row r="2189" spans="1:18" x14ac:dyDescent="0.2">
      <c r="A2189" s="16"/>
      <c r="B2189" s="16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</row>
    <row r="2190" spans="1:18" x14ac:dyDescent="0.2">
      <c r="A2190" s="16"/>
      <c r="B2190" s="16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</row>
    <row r="2191" spans="1:18" x14ac:dyDescent="0.2">
      <c r="A2191" s="16"/>
      <c r="B2191" s="16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</row>
    <row r="2192" spans="1:18" x14ac:dyDescent="0.2">
      <c r="A2192" s="16"/>
      <c r="B2192" s="16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</row>
    <row r="2193" spans="1:18" x14ac:dyDescent="0.2">
      <c r="A2193" s="16"/>
      <c r="B2193" s="16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</row>
    <row r="2194" spans="1:18" x14ac:dyDescent="0.2">
      <c r="A2194" s="16"/>
      <c r="B2194" s="16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</row>
    <row r="2195" spans="1:18" x14ac:dyDescent="0.2">
      <c r="A2195" s="16"/>
      <c r="B2195" s="16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</row>
    <row r="2196" spans="1:18" x14ac:dyDescent="0.2">
      <c r="A2196" s="16"/>
      <c r="B2196" s="16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</row>
    <row r="2197" spans="1:18" x14ac:dyDescent="0.2">
      <c r="A2197" s="16"/>
      <c r="B2197" s="16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</row>
    <row r="2198" spans="1:18" x14ac:dyDescent="0.2">
      <c r="A2198" s="16"/>
      <c r="B2198" s="16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</row>
    <row r="2199" spans="1:18" x14ac:dyDescent="0.2">
      <c r="A2199" s="16"/>
      <c r="B2199" s="16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</row>
    <row r="2200" spans="1:18" x14ac:dyDescent="0.2">
      <c r="A2200" s="16"/>
      <c r="B2200" s="16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</row>
    <row r="2201" spans="1:18" x14ac:dyDescent="0.2">
      <c r="A2201" s="16"/>
      <c r="B2201" s="16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</row>
    <row r="2202" spans="1:18" x14ac:dyDescent="0.2">
      <c r="A2202" s="16"/>
      <c r="B2202" s="16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</row>
    <row r="2203" spans="1:18" x14ac:dyDescent="0.2">
      <c r="A2203" s="16"/>
      <c r="B2203" s="16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</row>
    <row r="2204" spans="1:18" x14ac:dyDescent="0.2">
      <c r="A2204" s="16"/>
      <c r="B2204" s="16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</row>
    <row r="2205" spans="1:18" x14ac:dyDescent="0.2">
      <c r="A2205" s="16"/>
      <c r="B2205" s="16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</row>
    <row r="2206" spans="1:18" x14ac:dyDescent="0.2">
      <c r="A2206" s="16"/>
      <c r="B2206" s="16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</row>
    <row r="2207" spans="1:18" x14ac:dyDescent="0.2">
      <c r="A2207" s="16"/>
      <c r="B2207" s="16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</row>
    <row r="2208" spans="1:18" x14ac:dyDescent="0.2">
      <c r="A2208" s="16"/>
      <c r="B2208" s="16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</row>
    <row r="2209" spans="1:18" x14ac:dyDescent="0.2">
      <c r="A2209" s="16"/>
      <c r="B2209" s="16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</row>
    <row r="2210" spans="1:18" x14ac:dyDescent="0.2">
      <c r="A2210" s="16"/>
      <c r="B2210" s="16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</row>
    <row r="2211" spans="1:18" x14ac:dyDescent="0.2">
      <c r="A2211" s="16"/>
      <c r="B2211" s="16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</row>
    <row r="2212" spans="1:18" x14ac:dyDescent="0.2">
      <c r="A2212" s="16"/>
      <c r="B2212" s="16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</row>
    <row r="2213" spans="1:18" x14ac:dyDescent="0.2">
      <c r="A2213" s="16"/>
      <c r="B2213" s="16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</row>
    <row r="2214" spans="1:18" x14ac:dyDescent="0.2">
      <c r="A2214" s="16"/>
      <c r="B2214" s="16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</row>
    <row r="2215" spans="1:18" x14ac:dyDescent="0.2">
      <c r="A2215" s="16"/>
      <c r="B2215" s="16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</row>
    <row r="2216" spans="1:18" x14ac:dyDescent="0.2">
      <c r="A2216" s="16"/>
      <c r="B2216" s="16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</row>
    <row r="2217" spans="1:18" x14ac:dyDescent="0.2">
      <c r="A2217" s="16"/>
      <c r="B2217" s="16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</row>
    <row r="2218" spans="1:18" x14ac:dyDescent="0.2">
      <c r="A2218" s="16"/>
      <c r="B2218" s="16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</row>
    <row r="2219" spans="1:18" x14ac:dyDescent="0.2">
      <c r="A2219" s="16"/>
      <c r="B2219" s="16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</row>
    <row r="2220" spans="1:18" x14ac:dyDescent="0.2">
      <c r="A2220" s="16"/>
      <c r="B2220" s="16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</row>
    <row r="2221" spans="1:18" x14ac:dyDescent="0.2">
      <c r="A2221" s="16"/>
      <c r="B2221" s="16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</row>
    <row r="2222" spans="1:18" x14ac:dyDescent="0.2">
      <c r="A2222" s="16"/>
      <c r="B2222" s="16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</row>
    <row r="2223" spans="1:18" x14ac:dyDescent="0.2">
      <c r="A2223" s="16"/>
      <c r="B2223" s="16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</row>
    <row r="2224" spans="1:18" x14ac:dyDescent="0.2">
      <c r="A2224" s="16"/>
      <c r="B2224" s="16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</row>
    <row r="2225" spans="1:18" x14ac:dyDescent="0.2">
      <c r="A2225" s="16"/>
      <c r="B2225" s="16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</row>
    <row r="2226" spans="1:18" x14ac:dyDescent="0.2">
      <c r="A2226" s="16"/>
      <c r="B2226" s="16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</row>
    <row r="2227" spans="1:18" x14ac:dyDescent="0.2">
      <c r="A2227" s="16"/>
      <c r="B2227" s="16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</row>
    <row r="2228" spans="1:18" x14ac:dyDescent="0.2">
      <c r="A2228" s="16"/>
      <c r="B2228" s="16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</row>
    <row r="2229" spans="1:18" x14ac:dyDescent="0.2">
      <c r="A2229" s="16"/>
      <c r="B2229" s="16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</row>
    <row r="2230" spans="1:18" x14ac:dyDescent="0.2">
      <c r="A2230" s="16"/>
      <c r="B2230" s="16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</row>
    <row r="2231" spans="1:18" x14ac:dyDescent="0.2">
      <c r="A2231" s="16"/>
      <c r="B2231" s="16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</row>
    <row r="2232" spans="1:18" x14ac:dyDescent="0.2">
      <c r="A2232" s="16"/>
      <c r="B2232" s="16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</row>
    <row r="2233" spans="1:18" x14ac:dyDescent="0.2">
      <c r="A2233" s="16"/>
      <c r="B2233" s="16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</row>
    <row r="2234" spans="1:18" x14ac:dyDescent="0.2">
      <c r="A2234" s="16"/>
      <c r="B2234" s="16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</row>
    <row r="2235" spans="1:18" x14ac:dyDescent="0.2">
      <c r="A2235" s="16"/>
      <c r="B2235" s="16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</row>
    <row r="2236" spans="1:18" x14ac:dyDescent="0.2">
      <c r="A2236" s="16"/>
      <c r="B2236" s="16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</row>
    <row r="2237" spans="1:18" x14ac:dyDescent="0.2">
      <c r="A2237" s="16"/>
      <c r="B2237" s="16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</row>
    <row r="2238" spans="1:18" x14ac:dyDescent="0.2">
      <c r="A2238" s="16"/>
      <c r="B2238" s="16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</row>
    <row r="2239" spans="1:18" x14ac:dyDescent="0.2">
      <c r="A2239" s="16"/>
      <c r="B2239" s="16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</row>
    <row r="2240" spans="1:18" x14ac:dyDescent="0.2">
      <c r="A2240" s="16"/>
      <c r="B2240" s="16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</row>
    <row r="2241" spans="1:18" x14ac:dyDescent="0.2">
      <c r="A2241" s="16"/>
      <c r="B2241" s="16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</row>
    <row r="2242" spans="1:18" x14ac:dyDescent="0.2">
      <c r="A2242" s="16"/>
      <c r="B2242" s="16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</row>
    <row r="2243" spans="1:18" x14ac:dyDescent="0.2">
      <c r="A2243" s="16"/>
      <c r="B2243" s="16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</row>
    <row r="2244" spans="1:18" x14ac:dyDescent="0.2">
      <c r="A2244" s="16"/>
      <c r="B2244" s="16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</row>
    <row r="2245" spans="1:18" x14ac:dyDescent="0.2">
      <c r="A2245" s="16"/>
      <c r="B2245" s="16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</row>
    <row r="2246" spans="1:18" x14ac:dyDescent="0.2">
      <c r="A2246" s="16"/>
      <c r="B2246" s="16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</row>
    <row r="2247" spans="1:18" x14ac:dyDescent="0.2">
      <c r="A2247" s="16"/>
      <c r="B2247" s="16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</row>
    <row r="2248" spans="1:18" x14ac:dyDescent="0.2">
      <c r="A2248" s="16"/>
      <c r="B2248" s="16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</row>
    <row r="2249" spans="1:18" x14ac:dyDescent="0.2">
      <c r="A2249" s="16"/>
      <c r="B2249" s="16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</row>
    <row r="2250" spans="1:18" x14ac:dyDescent="0.2">
      <c r="A2250" s="16"/>
      <c r="B2250" s="16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</row>
    <row r="2251" spans="1:18" x14ac:dyDescent="0.2">
      <c r="A2251" s="16"/>
      <c r="B2251" s="16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</row>
    <row r="2252" spans="1:18" x14ac:dyDescent="0.2">
      <c r="A2252" s="16"/>
      <c r="B2252" s="16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</row>
    <row r="2253" spans="1:18" x14ac:dyDescent="0.2">
      <c r="A2253" s="16"/>
      <c r="B2253" s="16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</row>
    <row r="2254" spans="1:18" x14ac:dyDescent="0.2">
      <c r="A2254" s="16"/>
      <c r="B2254" s="16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</row>
    <row r="2255" spans="1:18" x14ac:dyDescent="0.2">
      <c r="A2255" s="16"/>
      <c r="B2255" s="16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</row>
    <row r="2256" spans="1:18" x14ac:dyDescent="0.2">
      <c r="A2256" s="16"/>
      <c r="B2256" s="16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</row>
    <row r="2257" spans="1:18" x14ac:dyDescent="0.2">
      <c r="A2257" s="16"/>
      <c r="B2257" s="16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</row>
    <row r="2258" spans="1:18" x14ac:dyDescent="0.2">
      <c r="A2258" s="16"/>
      <c r="B2258" s="16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</row>
    <row r="2259" spans="1:18" x14ac:dyDescent="0.2">
      <c r="A2259" s="16"/>
      <c r="B2259" s="16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</row>
    <row r="2260" spans="1:18" x14ac:dyDescent="0.2">
      <c r="A2260" s="16"/>
      <c r="B2260" s="16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</row>
    <row r="2261" spans="1:18" x14ac:dyDescent="0.2">
      <c r="A2261" s="16"/>
      <c r="B2261" s="16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</row>
    <row r="2262" spans="1:18" x14ac:dyDescent="0.2">
      <c r="A2262" s="16"/>
      <c r="B2262" s="16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</row>
    <row r="2263" spans="1:18" x14ac:dyDescent="0.2">
      <c r="A2263" s="16"/>
      <c r="B2263" s="16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</row>
    <row r="2264" spans="1:18" x14ac:dyDescent="0.2">
      <c r="A2264" s="16"/>
      <c r="B2264" s="16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</row>
    <row r="2265" spans="1:18" x14ac:dyDescent="0.2">
      <c r="A2265" s="16"/>
      <c r="B2265" s="16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</row>
    <row r="2266" spans="1:18" x14ac:dyDescent="0.2">
      <c r="A2266" s="16"/>
      <c r="B2266" s="16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</row>
    <row r="2267" spans="1:18" x14ac:dyDescent="0.2">
      <c r="A2267" s="16"/>
      <c r="B2267" s="16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</row>
    <row r="2268" spans="1:18" x14ac:dyDescent="0.2">
      <c r="A2268" s="16"/>
      <c r="B2268" s="16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</row>
    <row r="2269" spans="1:18" x14ac:dyDescent="0.2">
      <c r="A2269" s="16"/>
      <c r="B2269" s="16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</row>
    <row r="2270" spans="1:18" x14ac:dyDescent="0.2">
      <c r="A2270" s="16"/>
      <c r="B2270" s="16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</row>
    <row r="2271" spans="1:18" x14ac:dyDescent="0.2">
      <c r="A2271" s="16"/>
      <c r="B2271" s="16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</row>
    <row r="2272" spans="1:18" x14ac:dyDescent="0.2">
      <c r="A2272" s="16"/>
      <c r="B2272" s="16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</row>
    <row r="2273" spans="1:18" x14ac:dyDescent="0.2">
      <c r="A2273" s="16"/>
      <c r="B2273" s="16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</row>
    <row r="2274" spans="1:18" x14ac:dyDescent="0.2">
      <c r="A2274" s="16"/>
      <c r="B2274" s="16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</row>
    <row r="2275" spans="1:18" x14ac:dyDescent="0.2">
      <c r="A2275" s="16"/>
      <c r="B2275" s="16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</row>
    <row r="2276" spans="1:18" x14ac:dyDescent="0.2">
      <c r="A2276" s="16"/>
      <c r="B2276" s="16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</row>
    <row r="2277" spans="1:18" x14ac:dyDescent="0.2">
      <c r="A2277" s="16"/>
      <c r="B2277" s="16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</row>
    <row r="2278" spans="1:18" x14ac:dyDescent="0.2">
      <c r="A2278" s="16"/>
      <c r="B2278" s="16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</row>
    <row r="2279" spans="1:18" x14ac:dyDescent="0.2">
      <c r="A2279" s="16"/>
      <c r="B2279" s="16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</row>
    <row r="2280" spans="1:18" x14ac:dyDescent="0.2">
      <c r="A2280" s="16"/>
      <c r="B2280" s="16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</row>
    <row r="2281" spans="1:18" x14ac:dyDescent="0.2">
      <c r="A2281" s="16"/>
      <c r="B2281" s="16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</row>
    <row r="2282" spans="1:18" x14ac:dyDescent="0.2">
      <c r="A2282" s="16"/>
      <c r="B2282" s="16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</row>
    <row r="2283" spans="1:18" x14ac:dyDescent="0.2">
      <c r="A2283" s="16"/>
      <c r="B2283" s="16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</row>
    <row r="2284" spans="1:18" x14ac:dyDescent="0.2">
      <c r="A2284" s="16"/>
      <c r="B2284" s="16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</row>
    <row r="2285" spans="1:18" x14ac:dyDescent="0.2">
      <c r="A2285" s="16"/>
      <c r="B2285" s="16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</row>
    <row r="2286" spans="1:18" x14ac:dyDescent="0.2">
      <c r="A2286" s="16"/>
      <c r="B2286" s="16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</row>
    <row r="2287" spans="1:18" x14ac:dyDescent="0.2">
      <c r="A2287" s="16"/>
      <c r="B2287" s="16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</row>
    <row r="2288" spans="1:18" x14ac:dyDescent="0.2">
      <c r="A2288" s="16"/>
      <c r="B2288" s="16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</row>
    <row r="2289" spans="1:18" x14ac:dyDescent="0.2">
      <c r="A2289" s="16"/>
      <c r="B2289" s="16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</row>
    <row r="2290" spans="1:18" x14ac:dyDescent="0.2">
      <c r="A2290" s="16"/>
      <c r="B2290" s="16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</row>
    <row r="2291" spans="1:18" x14ac:dyDescent="0.2">
      <c r="A2291" s="16"/>
      <c r="B2291" s="16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</row>
    <row r="2292" spans="1:18" x14ac:dyDescent="0.2">
      <c r="A2292" s="16"/>
      <c r="B2292" s="16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</row>
    <row r="2293" spans="1:18" x14ac:dyDescent="0.2">
      <c r="A2293" s="16"/>
      <c r="B2293" s="16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</row>
    <row r="2294" spans="1:18" x14ac:dyDescent="0.2">
      <c r="A2294" s="16"/>
      <c r="B2294" s="16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</row>
    <row r="2295" spans="1:18" x14ac:dyDescent="0.2">
      <c r="A2295" s="16"/>
      <c r="B2295" s="16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</row>
    <row r="2296" spans="1:18" x14ac:dyDescent="0.2">
      <c r="A2296" s="16"/>
      <c r="B2296" s="16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</row>
    <row r="2297" spans="1:18" x14ac:dyDescent="0.2">
      <c r="A2297" s="16"/>
      <c r="B2297" s="16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</row>
    <row r="2298" spans="1:18" x14ac:dyDescent="0.2">
      <c r="A2298" s="16"/>
      <c r="B2298" s="16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</row>
    <row r="2299" spans="1:18" x14ac:dyDescent="0.2">
      <c r="A2299" s="16"/>
      <c r="B2299" s="16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</row>
    <row r="2300" spans="1:18" x14ac:dyDescent="0.2">
      <c r="A2300" s="16"/>
      <c r="B2300" s="16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</row>
    <row r="2301" spans="1:18" x14ac:dyDescent="0.2">
      <c r="A2301" s="16"/>
      <c r="B2301" s="16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</row>
    <row r="2302" spans="1:18" x14ac:dyDescent="0.2">
      <c r="A2302" s="16"/>
      <c r="B2302" s="16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</row>
    <row r="2303" spans="1:18" x14ac:dyDescent="0.2">
      <c r="A2303" s="16"/>
      <c r="B2303" s="16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</row>
    <row r="2304" spans="1:18" x14ac:dyDescent="0.2">
      <c r="A2304" s="16"/>
      <c r="B2304" s="16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</row>
    <row r="2305" spans="1:18" x14ac:dyDescent="0.2">
      <c r="A2305" s="16"/>
      <c r="B2305" s="16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</row>
    <row r="2306" spans="1:18" x14ac:dyDescent="0.2">
      <c r="A2306" s="16"/>
      <c r="B2306" s="16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</row>
    <row r="2307" spans="1:18" x14ac:dyDescent="0.2">
      <c r="A2307" s="16"/>
      <c r="B2307" s="16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</row>
    <row r="2308" spans="1:18" x14ac:dyDescent="0.2">
      <c r="A2308" s="16"/>
      <c r="B2308" s="16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</row>
    <row r="2309" spans="1:18" x14ac:dyDescent="0.2">
      <c r="A2309" s="16"/>
      <c r="B2309" s="16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</row>
    <row r="2310" spans="1:18" x14ac:dyDescent="0.2">
      <c r="A2310" s="16"/>
      <c r="B2310" s="16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</row>
    <row r="2311" spans="1:18" x14ac:dyDescent="0.2">
      <c r="A2311" s="16"/>
      <c r="B2311" s="16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</row>
    <row r="2312" spans="1:18" x14ac:dyDescent="0.2">
      <c r="A2312" s="16"/>
      <c r="B2312" s="16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</row>
    <row r="2313" spans="1:18" x14ac:dyDescent="0.2">
      <c r="A2313" s="16"/>
      <c r="B2313" s="16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</row>
    <row r="2314" spans="1:18" x14ac:dyDescent="0.2">
      <c r="A2314" s="16"/>
      <c r="B2314" s="16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</row>
    <row r="2315" spans="1:18" x14ac:dyDescent="0.2">
      <c r="A2315" s="16"/>
      <c r="B2315" s="16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</row>
    <row r="2316" spans="1:18" x14ac:dyDescent="0.2">
      <c r="A2316" s="16"/>
      <c r="B2316" s="16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</row>
    <row r="2317" spans="1:18" x14ac:dyDescent="0.2">
      <c r="A2317" s="16"/>
      <c r="B2317" s="16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</row>
    <row r="2318" spans="1:18" x14ac:dyDescent="0.2">
      <c r="A2318" s="16"/>
      <c r="B2318" s="16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</row>
    <row r="2319" spans="1:18" x14ac:dyDescent="0.2">
      <c r="A2319" s="16"/>
      <c r="B2319" s="16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</row>
    <row r="2320" spans="1:18" x14ac:dyDescent="0.2">
      <c r="A2320" s="16"/>
      <c r="B2320" s="16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</row>
    <row r="2321" spans="1:18" x14ac:dyDescent="0.2">
      <c r="A2321" s="16"/>
      <c r="B2321" s="16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</row>
    <row r="2322" spans="1:18" x14ac:dyDescent="0.2">
      <c r="A2322" s="16"/>
      <c r="B2322" s="16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</row>
    <row r="2323" spans="1:18" x14ac:dyDescent="0.2">
      <c r="A2323" s="16"/>
      <c r="B2323" s="16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</row>
    <row r="2324" spans="1:18" x14ac:dyDescent="0.2">
      <c r="A2324" s="16"/>
      <c r="B2324" s="16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</row>
    <row r="2325" spans="1:18" x14ac:dyDescent="0.2">
      <c r="A2325" s="16"/>
      <c r="B2325" s="16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</row>
    <row r="2326" spans="1:18" x14ac:dyDescent="0.2">
      <c r="A2326" s="16"/>
      <c r="B2326" s="16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</row>
    <row r="2327" spans="1:18" x14ac:dyDescent="0.2">
      <c r="A2327" s="16"/>
      <c r="B2327" s="16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</row>
    <row r="2328" spans="1:18" x14ac:dyDescent="0.2">
      <c r="A2328" s="16"/>
      <c r="B2328" s="16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</row>
    <row r="2329" spans="1:18" x14ac:dyDescent="0.2">
      <c r="A2329" s="16"/>
      <c r="B2329" s="16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</row>
    <row r="2330" spans="1:18" x14ac:dyDescent="0.2">
      <c r="A2330" s="16"/>
      <c r="B2330" s="16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</row>
    <row r="2331" spans="1:18" x14ac:dyDescent="0.2">
      <c r="A2331" s="16"/>
      <c r="B2331" s="16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</row>
    <row r="2332" spans="1:18" x14ac:dyDescent="0.2">
      <c r="A2332" s="16"/>
      <c r="B2332" s="16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</row>
    <row r="2333" spans="1:18" x14ac:dyDescent="0.2">
      <c r="A2333" s="16"/>
      <c r="B2333" s="16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</row>
    <row r="2334" spans="1:18" x14ac:dyDescent="0.2">
      <c r="A2334" s="16"/>
      <c r="B2334" s="16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</row>
    <row r="2335" spans="1:18" x14ac:dyDescent="0.2">
      <c r="A2335" s="16"/>
      <c r="B2335" s="16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</row>
    <row r="2336" spans="1:18" x14ac:dyDescent="0.2">
      <c r="A2336" s="16"/>
      <c r="B2336" s="16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</row>
    <row r="2337" spans="1:18" x14ac:dyDescent="0.2">
      <c r="A2337" s="16"/>
      <c r="B2337" s="16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</row>
    <row r="2338" spans="1:18" x14ac:dyDescent="0.2">
      <c r="A2338" s="16"/>
      <c r="B2338" s="16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</row>
    <row r="2339" spans="1:18" x14ac:dyDescent="0.2">
      <c r="A2339" s="16"/>
      <c r="B2339" s="16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</row>
    <row r="2340" spans="1:18" x14ac:dyDescent="0.2">
      <c r="A2340" s="16"/>
      <c r="B2340" s="16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</row>
    <row r="2341" spans="1:18" x14ac:dyDescent="0.2">
      <c r="A2341" s="16"/>
      <c r="B2341" s="16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</row>
    <row r="2342" spans="1:18" x14ac:dyDescent="0.2">
      <c r="A2342" s="16"/>
      <c r="B2342" s="16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</row>
    <row r="2343" spans="1:18" x14ac:dyDescent="0.2">
      <c r="A2343" s="16"/>
      <c r="B2343" s="16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</row>
    <row r="2344" spans="1:18" x14ac:dyDescent="0.2">
      <c r="A2344" s="16"/>
      <c r="B2344" s="16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</row>
    <row r="2345" spans="1:18" x14ac:dyDescent="0.2">
      <c r="A2345" s="16"/>
      <c r="B2345" s="16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</row>
    <row r="2346" spans="1:18" x14ac:dyDescent="0.2">
      <c r="A2346" s="16"/>
      <c r="B2346" s="16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</row>
    <row r="2347" spans="1:18" x14ac:dyDescent="0.2">
      <c r="A2347" s="16"/>
      <c r="B2347" s="16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</row>
    <row r="2348" spans="1:18" x14ac:dyDescent="0.2">
      <c r="A2348" s="16"/>
      <c r="B2348" s="16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</row>
    <row r="2349" spans="1:18" x14ac:dyDescent="0.2">
      <c r="A2349" s="16"/>
      <c r="B2349" s="16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</row>
    <row r="2350" spans="1:18" x14ac:dyDescent="0.2">
      <c r="A2350" s="16"/>
      <c r="B2350" s="16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</row>
    <row r="2351" spans="1:18" x14ac:dyDescent="0.2">
      <c r="A2351" s="16"/>
      <c r="B2351" s="16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</row>
    <row r="2352" spans="1:18" x14ac:dyDescent="0.2">
      <c r="A2352" s="16"/>
      <c r="B2352" s="16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</row>
    <row r="2353" spans="1:18" x14ac:dyDescent="0.2">
      <c r="A2353" s="16"/>
      <c r="B2353" s="16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</row>
    <row r="2354" spans="1:18" x14ac:dyDescent="0.2">
      <c r="A2354" s="16"/>
      <c r="B2354" s="16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</row>
    <row r="2355" spans="1:18" x14ac:dyDescent="0.2">
      <c r="A2355" s="16"/>
      <c r="B2355" s="16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</row>
    <row r="2356" spans="1:18" x14ac:dyDescent="0.2">
      <c r="A2356" s="16"/>
      <c r="B2356" s="16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</row>
    <row r="2357" spans="1:18" x14ac:dyDescent="0.2">
      <c r="A2357" s="16"/>
      <c r="B2357" s="16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</row>
    <row r="2358" spans="1:18" x14ac:dyDescent="0.2">
      <c r="A2358" s="16"/>
      <c r="B2358" s="16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</row>
    <row r="2359" spans="1:18" x14ac:dyDescent="0.2">
      <c r="A2359" s="16"/>
      <c r="B2359" s="16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</row>
    <row r="2360" spans="1:18" x14ac:dyDescent="0.2">
      <c r="A2360" s="16"/>
      <c r="B2360" s="16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</row>
    <row r="2361" spans="1:18" x14ac:dyDescent="0.2">
      <c r="A2361" s="16"/>
      <c r="B2361" s="16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</row>
    <row r="2362" spans="1:18" x14ac:dyDescent="0.2">
      <c r="A2362" s="16"/>
      <c r="B2362" s="16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</row>
    <row r="2363" spans="1:18" x14ac:dyDescent="0.2">
      <c r="A2363" s="16"/>
      <c r="B2363" s="16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</row>
    <row r="2364" spans="1:18" x14ac:dyDescent="0.2">
      <c r="A2364" s="16"/>
      <c r="B2364" s="16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</row>
    <row r="2365" spans="1:18" x14ac:dyDescent="0.2">
      <c r="A2365" s="16"/>
      <c r="B2365" s="16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</row>
    <row r="2366" spans="1:18" x14ac:dyDescent="0.2">
      <c r="A2366" s="16"/>
      <c r="B2366" s="16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</row>
    <row r="2367" spans="1:18" x14ac:dyDescent="0.2">
      <c r="A2367" s="16"/>
      <c r="B2367" s="16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</row>
    <row r="2368" spans="1:18" x14ac:dyDescent="0.2">
      <c r="A2368" s="16"/>
      <c r="B2368" s="16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</row>
    <row r="2369" spans="1:18" x14ac:dyDescent="0.2">
      <c r="A2369" s="16"/>
      <c r="B2369" s="16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</row>
    <row r="2370" spans="1:18" x14ac:dyDescent="0.2">
      <c r="A2370" s="16"/>
      <c r="B2370" s="16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</row>
    <row r="2371" spans="1:18" x14ac:dyDescent="0.2">
      <c r="A2371" s="16"/>
      <c r="B2371" s="16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</row>
    <row r="2372" spans="1:18" x14ac:dyDescent="0.2">
      <c r="A2372" s="16"/>
      <c r="B2372" s="16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</row>
    <row r="2373" spans="1:18" x14ac:dyDescent="0.2">
      <c r="A2373" s="16"/>
      <c r="B2373" s="16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</row>
    <row r="2374" spans="1:18" x14ac:dyDescent="0.2">
      <c r="A2374" s="16"/>
      <c r="B2374" s="16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</row>
    <row r="2375" spans="1:18" x14ac:dyDescent="0.2">
      <c r="A2375" s="16"/>
      <c r="B2375" s="16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</row>
    <row r="2376" spans="1:18" x14ac:dyDescent="0.2">
      <c r="A2376" s="16"/>
      <c r="B2376" s="16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</row>
    <row r="2377" spans="1:18" x14ac:dyDescent="0.2">
      <c r="A2377" s="16"/>
      <c r="B2377" s="16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</row>
    <row r="2378" spans="1:18" x14ac:dyDescent="0.2">
      <c r="A2378" s="16"/>
      <c r="B2378" s="16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</row>
    <row r="2379" spans="1:18" x14ac:dyDescent="0.2">
      <c r="A2379" s="16"/>
      <c r="B2379" s="16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</row>
    <row r="2380" spans="1:18" x14ac:dyDescent="0.2">
      <c r="A2380" s="16"/>
      <c r="B2380" s="16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</row>
    <row r="2381" spans="1:18" x14ac:dyDescent="0.2">
      <c r="A2381" s="16"/>
      <c r="B2381" s="16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</row>
    <row r="2382" spans="1:18" x14ac:dyDescent="0.2">
      <c r="A2382" s="16"/>
      <c r="B2382" s="16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</row>
    <row r="2383" spans="1:18" x14ac:dyDescent="0.2">
      <c r="A2383" s="16"/>
      <c r="B2383" s="16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</row>
    <row r="2384" spans="1:18" x14ac:dyDescent="0.2">
      <c r="A2384" s="16"/>
      <c r="B2384" s="16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</row>
    <row r="2385" spans="1:18" x14ac:dyDescent="0.2">
      <c r="A2385" s="16"/>
      <c r="B2385" s="16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</row>
    <row r="2386" spans="1:18" x14ac:dyDescent="0.2">
      <c r="A2386" s="16"/>
      <c r="B2386" s="16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</row>
    <row r="2387" spans="1:18" x14ac:dyDescent="0.2">
      <c r="A2387" s="16"/>
      <c r="B2387" s="16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</row>
    <row r="2388" spans="1:18" x14ac:dyDescent="0.2">
      <c r="A2388" s="16"/>
      <c r="B2388" s="16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</row>
    <row r="2389" spans="1:18" x14ac:dyDescent="0.2">
      <c r="A2389" s="16"/>
      <c r="B2389" s="16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</row>
    <row r="2390" spans="1:18" x14ac:dyDescent="0.2">
      <c r="A2390" s="16"/>
      <c r="B2390" s="16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</row>
    <row r="2391" spans="1:18" x14ac:dyDescent="0.2">
      <c r="A2391" s="16"/>
      <c r="B2391" s="16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</row>
    <row r="2392" spans="1:18" x14ac:dyDescent="0.2">
      <c r="A2392" s="16"/>
      <c r="B2392" s="16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</row>
    <row r="2393" spans="1:18" x14ac:dyDescent="0.2">
      <c r="A2393" s="16"/>
      <c r="B2393" s="16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</row>
    <row r="2394" spans="1:18" x14ac:dyDescent="0.2">
      <c r="A2394" s="16"/>
      <c r="B2394" s="16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</row>
    <row r="2395" spans="1:18" x14ac:dyDescent="0.2">
      <c r="A2395" s="16"/>
      <c r="B2395" s="16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</row>
    <row r="2396" spans="1:18" x14ac:dyDescent="0.2">
      <c r="A2396" s="16"/>
      <c r="B2396" s="16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</row>
    <row r="2397" spans="1:18" x14ac:dyDescent="0.2">
      <c r="A2397" s="16"/>
      <c r="B2397" s="16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</row>
    <row r="2398" spans="1:18" x14ac:dyDescent="0.2">
      <c r="A2398" s="16"/>
      <c r="B2398" s="16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</row>
    <row r="2399" spans="1:18" x14ac:dyDescent="0.2">
      <c r="A2399" s="16"/>
      <c r="B2399" s="16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</row>
    <row r="2400" spans="1:18" x14ac:dyDescent="0.2">
      <c r="A2400" s="16"/>
      <c r="B2400" s="16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</row>
    <row r="2401" spans="1:18" x14ac:dyDescent="0.2">
      <c r="A2401" s="16"/>
      <c r="B2401" s="16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</row>
    <row r="2402" spans="1:18" x14ac:dyDescent="0.2">
      <c r="A2402" s="16"/>
      <c r="B2402" s="16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</row>
    <row r="2403" spans="1:18" x14ac:dyDescent="0.2">
      <c r="A2403" s="16"/>
      <c r="B2403" s="16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</row>
    <row r="2404" spans="1:18" x14ac:dyDescent="0.2">
      <c r="A2404" s="16"/>
      <c r="B2404" s="16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</row>
    <row r="2405" spans="1:18" x14ac:dyDescent="0.2">
      <c r="A2405" s="16"/>
      <c r="B2405" s="16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</row>
    <row r="2406" spans="1:18" x14ac:dyDescent="0.2">
      <c r="A2406" s="16"/>
      <c r="B2406" s="16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</row>
    <row r="2407" spans="1:18" x14ac:dyDescent="0.2">
      <c r="A2407" s="16"/>
      <c r="B2407" s="16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</row>
    <row r="2408" spans="1:18" x14ac:dyDescent="0.2">
      <c r="A2408" s="16"/>
      <c r="B2408" s="16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</row>
    <row r="2409" spans="1:18" x14ac:dyDescent="0.2">
      <c r="A2409" s="16"/>
      <c r="B2409" s="16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</row>
    <row r="2410" spans="1:18" x14ac:dyDescent="0.2">
      <c r="A2410" s="16"/>
      <c r="B2410" s="16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</row>
    <row r="2411" spans="1:18" x14ac:dyDescent="0.2">
      <c r="A2411" s="16"/>
      <c r="B2411" s="16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</row>
    <row r="2412" spans="1:18" x14ac:dyDescent="0.2">
      <c r="A2412" s="16"/>
      <c r="B2412" s="16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</row>
    <row r="2413" spans="1:18" x14ac:dyDescent="0.2">
      <c r="A2413" s="16"/>
      <c r="B2413" s="16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</row>
    <row r="2414" spans="1:18" x14ac:dyDescent="0.2">
      <c r="A2414" s="16"/>
      <c r="B2414" s="16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</row>
    <row r="2415" spans="1:18" x14ac:dyDescent="0.2">
      <c r="A2415" s="16"/>
      <c r="B2415" s="16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</row>
    <row r="2416" spans="1:18" x14ac:dyDescent="0.2">
      <c r="A2416" s="16"/>
      <c r="B2416" s="16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</row>
    <row r="2417" spans="1:18" x14ac:dyDescent="0.2">
      <c r="A2417" s="16"/>
      <c r="B2417" s="16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</row>
    <row r="2418" spans="1:18" x14ac:dyDescent="0.2">
      <c r="A2418" s="16"/>
      <c r="B2418" s="16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</row>
    <row r="2419" spans="1:18" x14ac:dyDescent="0.2">
      <c r="A2419" s="16"/>
      <c r="B2419" s="16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</row>
    <row r="2420" spans="1:18" x14ac:dyDescent="0.2">
      <c r="A2420" s="16"/>
      <c r="B2420" s="16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</row>
    <row r="2421" spans="1:18" x14ac:dyDescent="0.2">
      <c r="A2421" s="16"/>
      <c r="B2421" s="16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</row>
    <row r="2422" spans="1:18" x14ac:dyDescent="0.2">
      <c r="A2422" s="16"/>
      <c r="B2422" s="16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</row>
    <row r="2423" spans="1:18" x14ac:dyDescent="0.2">
      <c r="A2423" s="16"/>
      <c r="B2423" s="16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</row>
    <row r="2424" spans="1:18" x14ac:dyDescent="0.2">
      <c r="A2424" s="16"/>
      <c r="B2424" s="16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</row>
    <row r="2425" spans="1:18" x14ac:dyDescent="0.2">
      <c r="A2425" s="16"/>
      <c r="B2425" s="16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</row>
    <row r="2426" spans="1:18" x14ac:dyDescent="0.2">
      <c r="A2426" s="16"/>
      <c r="B2426" s="16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</row>
    <row r="2427" spans="1:18" x14ac:dyDescent="0.2">
      <c r="A2427" s="16"/>
      <c r="B2427" s="16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</row>
    <row r="2428" spans="1:18" x14ac:dyDescent="0.2">
      <c r="A2428" s="16"/>
      <c r="B2428" s="16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</row>
    <row r="2429" spans="1:18" x14ac:dyDescent="0.2">
      <c r="A2429" s="16"/>
      <c r="B2429" s="16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</row>
    <row r="2430" spans="1:18" x14ac:dyDescent="0.2">
      <c r="A2430" s="16"/>
      <c r="B2430" s="16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</row>
    <row r="2431" spans="1:18" x14ac:dyDescent="0.2">
      <c r="A2431" s="16"/>
      <c r="B2431" s="16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</row>
    <row r="2432" spans="1:18" x14ac:dyDescent="0.2">
      <c r="A2432" s="16"/>
      <c r="B2432" s="16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</row>
    <row r="2433" spans="1:18" x14ac:dyDescent="0.2">
      <c r="A2433" s="16"/>
      <c r="B2433" s="16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</row>
    <row r="2434" spans="1:18" x14ac:dyDescent="0.2">
      <c r="A2434" s="16"/>
      <c r="B2434" s="16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</row>
    <row r="2435" spans="1:18" x14ac:dyDescent="0.2">
      <c r="A2435" s="16"/>
      <c r="B2435" s="16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</row>
    <row r="2436" spans="1:18" x14ac:dyDescent="0.2">
      <c r="A2436" s="16"/>
      <c r="B2436" s="16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</row>
    <row r="2437" spans="1:18" x14ac:dyDescent="0.2">
      <c r="A2437" s="16"/>
      <c r="B2437" s="16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</row>
    <row r="2438" spans="1:18" x14ac:dyDescent="0.2">
      <c r="A2438" s="16"/>
      <c r="B2438" s="16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</row>
    <row r="2439" spans="1:18" x14ac:dyDescent="0.2">
      <c r="A2439" s="16"/>
      <c r="B2439" s="16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</row>
    <row r="2440" spans="1:18" x14ac:dyDescent="0.2">
      <c r="A2440" s="16"/>
      <c r="B2440" s="16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</row>
    <row r="2441" spans="1:18" x14ac:dyDescent="0.2">
      <c r="A2441" s="16"/>
      <c r="B2441" s="16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</row>
    <row r="2442" spans="1:18" x14ac:dyDescent="0.2">
      <c r="A2442" s="16"/>
      <c r="B2442" s="16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</row>
    <row r="2443" spans="1:18" x14ac:dyDescent="0.2">
      <c r="A2443" s="16"/>
      <c r="B2443" s="16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</row>
    <row r="2444" spans="1:18" x14ac:dyDescent="0.2">
      <c r="A2444" s="16"/>
      <c r="B2444" s="16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</row>
    <row r="2445" spans="1:18" x14ac:dyDescent="0.2">
      <c r="A2445" s="16"/>
      <c r="B2445" s="16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</row>
    <row r="2446" spans="1:18" x14ac:dyDescent="0.2">
      <c r="A2446" s="16"/>
      <c r="B2446" s="16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</row>
    <row r="2447" spans="1:18" x14ac:dyDescent="0.2">
      <c r="A2447" s="16"/>
      <c r="B2447" s="16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</row>
    <row r="2448" spans="1:18" x14ac:dyDescent="0.2">
      <c r="A2448" s="16"/>
      <c r="B2448" s="16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</row>
    <row r="2449" spans="1:18" x14ac:dyDescent="0.2">
      <c r="A2449" s="16"/>
      <c r="B2449" s="16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</row>
    <row r="2450" spans="1:18" x14ac:dyDescent="0.2">
      <c r="A2450" s="16"/>
      <c r="B2450" s="16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</row>
    <row r="2451" spans="1:18" x14ac:dyDescent="0.2">
      <c r="A2451" s="16"/>
      <c r="B2451" s="16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</row>
    <row r="2452" spans="1:18" x14ac:dyDescent="0.2">
      <c r="A2452" s="16"/>
      <c r="B2452" s="16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</row>
    <row r="2453" spans="1:18" x14ac:dyDescent="0.2">
      <c r="A2453" s="16"/>
      <c r="B2453" s="16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</row>
    <row r="2454" spans="1:18" x14ac:dyDescent="0.2">
      <c r="A2454" s="16"/>
      <c r="B2454" s="16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</row>
    <row r="2455" spans="1:18" x14ac:dyDescent="0.2">
      <c r="A2455" s="16"/>
      <c r="B2455" s="16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</row>
    <row r="2456" spans="1:18" x14ac:dyDescent="0.2">
      <c r="A2456" s="16"/>
      <c r="B2456" s="16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</row>
    <row r="2457" spans="1:18" x14ac:dyDescent="0.2">
      <c r="A2457" s="16"/>
      <c r="B2457" s="16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</row>
    <row r="2458" spans="1:18" x14ac:dyDescent="0.2">
      <c r="A2458" s="16"/>
      <c r="B2458" s="16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</row>
    <row r="2459" spans="1:18" x14ac:dyDescent="0.2">
      <c r="A2459" s="16"/>
      <c r="B2459" s="16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</row>
    <row r="2460" spans="1:18" x14ac:dyDescent="0.2">
      <c r="A2460" s="16"/>
      <c r="B2460" s="16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</row>
    <row r="2461" spans="1:18" x14ac:dyDescent="0.2">
      <c r="A2461" s="16"/>
      <c r="B2461" s="16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</row>
    <row r="2462" spans="1:18" x14ac:dyDescent="0.2">
      <c r="A2462" s="16"/>
      <c r="B2462" s="16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</row>
    <row r="2463" spans="1:18" x14ac:dyDescent="0.2">
      <c r="A2463" s="16"/>
      <c r="B2463" s="16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</row>
    <row r="2464" spans="1:18" x14ac:dyDescent="0.2">
      <c r="A2464" s="16"/>
      <c r="B2464" s="16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</row>
    <row r="2465" spans="1:18" x14ac:dyDescent="0.2">
      <c r="A2465" s="16"/>
      <c r="B2465" s="16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</row>
    <row r="2466" spans="1:18" x14ac:dyDescent="0.2">
      <c r="A2466" s="16"/>
      <c r="B2466" s="16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</row>
    <row r="2467" spans="1:18" x14ac:dyDescent="0.2">
      <c r="A2467" s="16"/>
      <c r="B2467" s="16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</row>
    <row r="2468" spans="1:18" x14ac:dyDescent="0.2">
      <c r="A2468" s="16"/>
      <c r="B2468" s="16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</row>
    <row r="2469" spans="1:18" x14ac:dyDescent="0.2">
      <c r="A2469" s="16"/>
      <c r="B2469" s="16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</row>
    <row r="2470" spans="1:18" x14ac:dyDescent="0.2">
      <c r="A2470" s="16"/>
      <c r="B2470" s="16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</row>
    <row r="2471" spans="1:18" x14ac:dyDescent="0.2">
      <c r="A2471" s="16"/>
      <c r="B2471" s="16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</row>
    <row r="2472" spans="1:18" x14ac:dyDescent="0.2">
      <c r="A2472" s="16"/>
      <c r="B2472" s="16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</row>
    <row r="2473" spans="1:18" x14ac:dyDescent="0.2">
      <c r="A2473" s="16"/>
      <c r="B2473" s="16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</row>
    <row r="2474" spans="1:18" x14ac:dyDescent="0.2">
      <c r="A2474" s="16"/>
      <c r="B2474" s="16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</row>
    <row r="2475" spans="1:18" x14ac:dyDescent="0.2">
      <c r="A2475" s="16"/>
      <c r="B2475" s="16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</row>
    <row r="2476" spans="1:18" x14ac:dyDescent="0.2">
      <c r="A2476" s="16"/>
      <c r="B2476" s="16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</row>
    <row r="2477" spans="1:18" x14ac:dyDescent="0.2">
      <c r="A2477" s="16"/>
      <c r="B2477" s="16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</row>
    <row r="2478" spans="1:18" x14ac:dyDescent="0.2">
      <c r="A2478" s="16"/>
      <c r="B2478" s="16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</row>
    <row r="2479" spans="1:18" x14ac:dyDescent="0.2">
      <c r="A2479" s="16"/>
      <c r="B2479" s="16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</row>
    <row r="2480" spans="1:18" x14ac:dyDescent="0.2">
      <c r="A2480" s="16"/>
      <c r="B2480" s="16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</row>
    <row r="2481" spans="1:18" x14ac:dyDescent="0.2">
      <c r="A2481" s="16"/>
      <c r="B2481" s="16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</row>
    <row r="2482" spans="1:18" x14ac:dyDescent="0.2">
      <c r="A2482" s="16"/>
      <c r="B2482" s="16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</row>
    <row r="2483" spans="1:18" x14ac:dyDescent="0.2">
      <c r="A2483" s="16"/>
      <c r="B2483" s="16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</row>
    <row r="2484" spans="1:18" x14ac:dyDescent="0.2">
      <c r="A2484" s="16"/>
      <c r="B2484" s="16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</row>
    <row r="2485" spans="1:18" x14ac:dyDescent="0.2">
      <c r="A2485" s="16"/>
      <c r="B2485" s="16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</row>
    <row r="2486" spans="1:18" x14ac:dyDescent="0.2">
      <c r="A2486" s="16"/>
      <c r="B2486" s="16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</row>
    <row r="2487" spans="1:18" x14ac:dyDescent="0.2">
      <c r="A2487" s="16"/>
      <c r="B2487" s="16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</row>
    <row r="2488" spans="1:18" x14ac:dyDescent="0.2">
      <c r="A2488" s="16"/>
      <c r="B2488" s="16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</row>
    <row r="2489" spans="1:18" x14ac:dyDescent="0.2">
      <c r="A2489" s="16"/>
      <c r="B2489" s="16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</row>
    <row r="2490" spans="1:18" x14ac:dyDescent="0.2">
      <c r="A2490" s="16"/>
      <c r="B2490" s="16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</row>
    <row r="2491" spans="1:18" x14ac:dyDescent="0.2">
      <c r="A2491" s="16"/>
      <c r="B2491" s="16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</row>
    <row r="2492" spans="1:18" x14ac:dyDescent="0.2">
      <c r="A2492" s="16"/>
      <c r="B2492" s="16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</row>
    <row r="2493" spans="1:18" x14ac:dyDescent="0.2">
      <c r="A2493" s="16"/>
      <c r="B2493" s="16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</row>
    <row r="2494" spans="1:18" x14ac:dyDescent="0.2">
      <c r="A2494" s="16"/>
      <c r="B2494" s="16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</row>
    <row r="2495" spans="1:18" x14ac:dyDescent="0.2">
      <c r="A2495" s="16"/>
      <c r="B2495" s="16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</row>
    <row r="2496" spans="1:18" x14ac:dyDescent="0.2">
      <c r="A2496" s="16"/>
      <c r="B2496" s="16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</row>
    <row r="2497" spans="1:18" x14ac:dyDescent="0.2">
      <c r="A2497" s="16"/>
      <c r="B2497" s="16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</row>
    <row r="2498" spans="1:18" x14ac:dyDescent="0.2">
      <c r="A2498" s="16"/>
      <c r="B2498" s="16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</row>
    <row r="2499" spans="1:18" x14ac:dyDescent="0.2">
      <c r="A2499" s="16"/>
      <c r="B2499" s="16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</row>
    <row r="2500" spans="1:18" x14ac:dyDescent="0.2">
      <c r="A2500" s="16"/>
      <c r="B2500" s="16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</row>
    <row r="2501" spans="1:18" x14ac:dyDescent="0.2">
      <c r="A2501" s="16"/>
      <c r="B2501" s="16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</row>
    <row r="2502" spans="1:18" x14ac:dyDescent="0.2">
      <c r="A2502" s="16"/>
      <c r="B2502" s="16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</row>
    <row r="2503" spans="1:18" x14ac:dyDescent="0.2">
      <c r="A2503" s="16"/>
      <c r="B2503" s="16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</row>
    <row r="2504" spans="1:18" x14ac:dyDescent="0.2">
      <c r="A2504" s="16"/>
      <c r="B2504" s="16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</row>
    <row r="2505" spans="1:18" x14ac:dyDescent="0.2">
      <c r="A2505" s="16"/>
      <c r="B2505" s="16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</row>
    <row r="2506" spans="1:18" x14ac:dyDescent="0.2">
      <c r="A2506" s="16"/>
      <c r="B2506" s="16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</row>
    <row r="2507" spans="1:18" x14ac:dyDescent="0.2">
      <c r="A2507" s="16"/>
      <c r="B2507" s="16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</row>
    <row r="2508" spans="1:18" x14ac:dyDescent="0.2">
      <c r="A2508" s="16"/>
      <c r="B2508" s="16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</row>
    <row r="2509" spans="1:18" x14ac:dyDescent="0.2">
      <c r="A2509" s="16"/>
      <c r="B2509" s="16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</row>
    <row r="2510" spans="1:18" x14ac:dyDescent="0.2">
      <c r="A2510" s="16"/>
      <c r="B2510" s="16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</row>
    <row r="2511" spans="1:18" x14ac:dyDescent="0.2">
      <c r="A2511" s="16"/>
      <c r="B2511" s="16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</row>
    <row r="2512" spans="1:18" x14ac:dyDescent="0.2">
      <c r="A2512" s="16"/>
      <c r="B2512" s="16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</row>
    <row r="2513" spans="1:18" x14ac:dyDescent="0.2">
      <c r="A2513" s="16"/>
      <c r="B2513" s="16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</row>
    <row r="2514" spans="1:18" x14ac:dyDescent="0.2">
      <c r="A2514" s="16"/>
      <c r="B2514" s="16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</row>
    <row r="2515" spans="1:18" x14ac:dyDescent="0.2">
      <c r="A2515" s="16"/>
      <c r="B2515" s="16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</row>
    <row r="2516" spans="1:18" x14ac:dyDescent="0.2">
      <c r="A2516" s="16"/>
      <c r="B2516" s="16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</row>
    <row r="2517" spans="1:18" x14ac:dyDescent="0.2">
      <c r="A2517" s="16"/>
      <c r="B2517" s="16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</row>
    <row r="2518" spans="1:18" x14ac:dyDescent="0.2">
      <c r="A2518" s="16"/>
      <c r="B2518" s="16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</row>
    <row r="2519" spans="1:18" x14ac:dyDescent="0.2">
      <c r="A2519" s="16"/>
      <c r="B2519" s="16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</row>
    <row r="2520" spans="1:18" x14ac:dyDescent="0.2">
      <c r="A2520" s="16"/>
      <c r="B2520" s="16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</row>
    <row r="2521" spans="1:18" x14ac:dyDescent="0.2">
      <c r="A2521" s="16"/>
      <c r="B2521" s="16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</row>
    <row r="2522" spans="1:18" x14ac:dyDescent="0.2">
      <c r="A2522" s="16"/>
      <c r="B2522" s="16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</row>
    <row r="2523" spans="1:18" x14ac:dyDescent="0.2">
      <c r="A2523" s="16"/>
      <c r="B2523" s="16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</row>
    <row r="2524" spans="1:18" x14ac:dyDescent="0.2">
      <c r="A2524" s="16"/>
      <c r="B2524" s="16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</row>
    <row r="2525" spans="1:18" x14ac:dyDescent="0.2">
      <c r="A2525" s="16"/>
      <c r="B2525" s="16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</row>
    <row r="2526" spans="1:18" x14ac:dyDescent="0.2">
      <c r="A2526" s="16"/>
      <c r="B2526" s="16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</row>
    <row r="2527" spans="1:18" x14ac:dyDescent="0.2">
      <c r="A2527" s="16"/>
      <c r="B2527" s="16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</row>
    <row r="2528" spans="1:18" x14ac:dyDescent="0.2">
      <c r="A2528" s="16"/>
      <c r="B2528" s="16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</row>
    <row r="2529" spans="1:18" x14ac:dyDescent="0.2">
      <c r="A2529" s="16"/>
      <c r="B2529" s="16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</row>
    <row r="2530" spans="1:18" x14ac:dyDescent="0.2">
      <c r="A2530" s="16"/>
      <c r="B2530" s="16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</row>
    <row r="2531" spans="1:18" x14ac:dyDescent="0.2">
      <c r="A2531" s="16"/>
      <c r="B2531" s="16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</row>
    <row r="2532" spans="1:18" x14ac:dyDescent="0.2">
      <c r="A2532" s="16"/>
      <c r="B2532" s="16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</row>
    <row r="2533" spans="1:18" x14ac:dyDescent="0.2">
      <c r="A2533" s="16"/>
      <c r="B2533" s="16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</row>
    <row r="2534" spans="1:18" x14ac:dyDescent="0.2">
      <c r="A2534" s="16"/>
      <c r="B2534" s="16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</row>
    <row r="2535" spans="1:18" x14ac:dyDescent="0.2">
      <c r="A2535" s="16"/>
      <c r="B2535" s="16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</row>
    <row r="2536" spans="1:18" x14ac:dyDescent="0.2">
      <c r="A2536" s="16"/>
      <c r="B2536" s="16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</row>
    <row r="2537" spans="1:18" x14ac:dyDescent="0.2">
      <c r="A2537" s="16"/>
      <c r="B2537" s="16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</row>
    <row r="2538" spans="1:18" x14ac:dyDescent="0.2">
      <c r="A2538" s="16"/>
      <c r="B2538" s="16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</row>
    <row r="2539" spans="1:18" x14ac:dyDescent="0.2">
      <c r="A2539" s="16"/>
      <c r="B2539" s="16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</row>
    <row r="2540" spans="1:18" x14ac:dyDescent="0.2">
      <c r="A2540" s="16"/>
      <c r="B2540" s="16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</row>
    <row r="2541" spans="1:18" x14ac:dyDescent="0.2">
      <c r="A2541" s="16"/>
      <c r="B2541" s="16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</row>
    <row r="2542" spans="1:18" x14ac:dyDescent="0.2">
      <c r="A2542" s="16"/>
      <c r="B2542" s="16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</row>
    <row r="2543" spans="1:18" x14ac:dyDescent="0.2">
      <c r="A2543" s="16"/>
      <c r="B2543" s="16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</row>
    <row r="2544" spans="1:18" x14ac:dyDescent="0.2">
      <c r="A2544" s="16"/>
      <c r="B2544" s="16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</row>
    <row r="2545" spans="1:18" x14ac:dyDescent="0.2">
      <c r="A2545" s="16"/>
      <c r="B2545" s="16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</row>
    <row r="2546" spans="1:18" x14ac:dyDescent="0.2">
      <c r="A2546" s="16"/>
      <c r="B2546" s="16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</row>
    <row r="2547" spans="1:18" x14ac:dyDescent="0.2">
      <c r="A2547" s="16"/>
      <c r="B2547" s="16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</row>
    <row r="2548" spans="1:18" x14ac:dyDescent="0.2">
      <c r="A2548" s="16"/>
      <c r="B2548" s="16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</row>
    <row r="2549" spans="1:18" x14ac:dyDescent="0.2">
      <c r="A2549" s="16"/>
      <c r="B2549" s="16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</row>
    <row r="2550" spans="1:18" x14ac:dyDescent="0.2">
      <c r="A2550" s="16"/>
      <c r="B2550" s="16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</row>
    <row r="2551" spans="1:18" x14ac:dyDescent="0.2">
      <c r="A2551" s="16"/>
      <c r="B2551" s="16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</row>
    <row r="2552" spans="1:18" x14ac:dyDescent="0.2">
      <c r="A2552" s="16"/>
      <c r="B2552" s="16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</row>
    <row r="2553" spans="1:18" x14ac:dyDescent="0.2">
      <c r="A2553" s="16"/>
      <c r="B2553" s="16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</row>
    <row r="2554" spans="1:18" x14ac:dyDescent="0.2">
      <c r="A2554" s="16"/>
      <c r="B2554" s="16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</row>
    <row r="2555" spans="1:18" x14ac:dyDescent="0.2">
      <c r="A2555" s="16"/>
      <c r="B2555" s="16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</row>
    <row r="2556" spans="1:18" x14ac:dyDescent="0.2">
      <c r="A2556" s="16"/>
      <c r="B2556" s="16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</row>
    <row r="2557" spans="1:18" x14ac:dyDescent="0.2">
      <c r="A2557" s="16"/>
      <c r="B2557" s="16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</row>
    <row r="2558" spans="1:18" x14ac:dyDescent="0.2">
      <c r="A2558" s="16"/>
      <c r="B2558" s="16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</row>
    <row r="2559" spans="1:18" x14ac:dyDescent="0.2">
      <c r="A2559" s="16"/>
      <c r="B2559" s="16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</row>
    <row r="2560" spans="1:18" x14ac:dyDescent="0.2">
      <c r="A2560" s="16"/>
      <c r="B2560" s="16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</row>
    <row r="2561" spans="1:18" x14ac:dyDescent="0.2">
      <c r="A2561" s="16"/>
      <c r="B2561" s="16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</row>
    <row r="2562" spans="1:18" x14ac:dyDescent="0.2">
      <c r="A2562" s="16"/>
      <c r="B2562" s="16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</row>
    <row r="2563" spans="1:18" x14ac:dyDescent="0.2">
      <c r="A2563" s="16"/>
      <c r="B2563" s="16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</row>
    <row r="2564" spans="1:18" x14ac:dyDescent="0.2">
      <c r="A2564" s="16"/>
      <c r="B2564" s="16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</row>
    <row r="2565" spans="1:18" x14ac:dyDescent="0.2">
      <c r="A2565" s="16"/>
      <c r="B2565" s="16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</row>
    <row r="2566" spans="1:18" x14ac:dyDescent="0.2">
      <c r="A2566" s="16"/>
      <c r="B2566" s="16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</row>
    <row r="2567" spans="1:18" x14ac:dyDescent="0.2">
      <c r="A2567" s="16"/>
      <c r="B2567" s="16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</row>
    <row r="2568" spans="1:18" x14ac:dyDescent="0.2">
      <c r="A2568" s="16"/>
      <c r="B2568" s="16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</row>
    <row r="2569" spans="1:18" x14ac:dyDescent="0.2">
      <c r="A2569" s="16"/>
      <c r="B2569" s="16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</row>
    <row r="2570" spans="1:18" x14ac:dyDescent="0.2">
      <c r="A2570" s="16"/>
      <c r="B2570" s="16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</row>
    <row r="2571" spans="1:18" x14ac:dyDescent="0.2">
      <c r="A2571" s="16"/>
      <c r="B2571" s="16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</row>
    <row r="2572" spans="1:18" x14ac:dyDescent="0.2">
      <c r="A2572" s="16"/>
      <c r="B2572" s="16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</row>
    <row r="2573" spans="1:18" x14ac:dyDescent="0.2">
      <c r="A2573" s="16"/>
      <c r="B2573" s="16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</row>
    <row r="2574" spans="1:18" x14ac:dyDescent="0.2">
      <c r="A2574" s="16"/>
      <c r="B2574" s="16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</row>
    <row r="2575" spans="1:18" x14ac:dyDescent="0.2">
      <c r="A2575" s="16"/>
      <c r="B2575" s="16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</row>
    <row r="2576" spans="1:18" x14ac:dyDescent="0.2">
      <c r="A2576" s="16"/>
      <c r="B2576" s="16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</row>
    <row r="2577" spans="1:18" x14ac:dyDescent="0.2">
      <c r="A2577" s="16"/>
      <c r="B2577" s="16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</row>
    <row r="2578" spans="1:18" x14ac:dyDescent="0.2">
      <c r="A2578" s="16"/>
      <c r="B2578" s="16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</row>
    <row r="2579" spans="1:18" x14ac:dyDescent="0.2">
      <c r="A2579" s="16"/>
      <c r="B2579" s="16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</row>
    <row r="2580" spans="1:18" x14ac:dyDescent="0.2">
      <c r="A2580" s="16"/>
      <c r="B2580" s="16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</row>
    <row r="2581" spans="1:18" x14ac:dyDescent="0.2">
      <c r="A2581" s="16"/>
      <c r="B2581" s="16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</row>
    <row r="2582" spans="1:18" x14ac:dyDescent="0.2">
      <c r="A2582" s="16"/>
      <c r="B2582" s="16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</row>
    <row r="2583" spans="1:18" x14ac:dyDescent="0.2">
      <c r="A2583" s="16"/>
      <c r="B2583" s="16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</row>
    <row r="2584" spans="1:18" x14ac:dyDescent="0.2">
      <c r="A2584" s="16"/>
      <c r="B2584" s="16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</row>
    <row r="2585" spans="1:18" x14ac:dyDescent="0.2">
      <c r="A2585" s="16"/>
      <c r="B2585" s="16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</row>
    <row r="2586" spans="1:18" x14ac:dyDescent="0.2">
      <c r="A2586" s="16"/>
      <c r="B2586" s="16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</row>
    <row r="2587" spans="1:18" x14ac:dyDescent="0.2">
      <c r="A2587" s="16"/>
      <c r="B2587" s="16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</row>
    <row r="2588" spans="1:18" x14ac:dyDescent="0.2">
      <c r="A2588" s="16"/>
      <c r="B2588" s="16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</row>
    <row r="2589" spans="1:18" x14ac:dyDescent="0.2">
      <c r="A2589" s="16"/>
      <c r="B2589" s="16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</row>
    <row r="2590" spans="1:18" x14ac:dyDescent="0.2">
      <c r="A2590" s="16"/>
      <c r="B2590" s="16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</row>
    <row r="2591" spans="1:18" x14ac:dyDescent="0.2">
      <c r="A2591" s="16"/>
      <c r="B2591" s="16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</row>
    <row r="2592" spans="1:18" x14ac:dyDescent="0.2">
      <c r="A2592" s="16"/>
      <c r="B2592" s="16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</row>
    <row r="2593" spans="1:18" x14ac:dyDescent="0.2">
      <c r="A2593" s="16"/>
      <c r="B2593" s="16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</row>
    <row r="2594" spans="1:18" x14ac:dyDescent="0.2">
      <c r="A2594" s="16"/>
      <c r="B2594" s="16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</row>
    <row r="2595" spans="1:18" x14ac:dyDescent="0.2">
      <c r="A2595" s="16"/>
      <c r="B2595" s="16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</row>
    <row r="2596" spans="1:18" x14ac:dyDescent="0.2">
      <c r="A2596" s="16"/>
      <c r="B2596" s="16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</row>
    <row r="2597" spans="1:18" x14ac:dyDescent="0.2">
      <c r="A2597" s="16"/>
      <c r="B2597" s="16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</row>
    <row r="2598" spans="1:18" x14ac:dyDescent="0.2">
      <c r="A2598" s="16"/>
      <c r="B2598" s="16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</row>
    <row r="2599" spans="1:18" x14ac:dyDescent="0.2">
      <c r="A2599" s="16"/>
      <c r="B2599" s="16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</row>
    <row r="2600" spans="1:18" x14ac:dyDescent="0.2">
      <c r="A2600" s="16"/>
      <c r="B2600" s="16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</row>
    <row r="2601" spans="1:18" x14ac:dyDescent="0.2">
      <c r="A2601" s="16"/>
      <c r="B2601" s="16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</row>
    <row r="2602" spans="1:18" x14ac:dyDescent="0.2">
      <c r="A2602" s="16"/>
      <c r="B2602" s="16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</row>
    <row r="2603" spans="1:18" x14ac:dyDescent="0.2">
      <c r="A2603" s="16"/>
      <c r="B2603" s="16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</row>
    <row r="2604" spans="1:18" x14ac:dyDescent="0.2">
      <c r="A2604" s="16"/>
      <c r="B2604" s="16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</row>
    <row r="2605" spans="1:18" x14ac:dyDescent="0.2">
      <c r="A2605" s="16"/>
      <c r="B2605" s="16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</row>
    <row r="2606" spans="1:18" x14ac:dyDescent="0.2">
      <c r="A2606" s="16"/>
      <c r="B2606" s="16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</row>
    <row r="2607" spans="1:18" x14ac:dyDescent="0.2">
      <c r="A2607" s="16"/>
      <c r="B2607" s="16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</row>
    <row r="2608" spans="1:18" x14ac:dyDescent="0.2">
      <c r="A2608" s="16"/>
      <c r="B2608" s="16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</row>
    <row r="2609" spans="1:18" x14ac:dyDescent="0.2">
      <c r="A2609" s="16"/>
      <c r="B2609" s="16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</row>
    <row r="2610" spans="1:18" x14ac:dyDescent="0.2">
      <c r="A2610" s="16"/>
      <c r="B2610" s="16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</row>
    <row r="2611" spans="1:18" x14ac:dyDescent="0.2">
      <c r="A2611" s="16"/>
      <c r="B2611" s="16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</row>
    <row r="2612" spans="1:18" x14ac:dyDescent="0.2">
      <c r="A2612" s="16"/>
      <c r="B2612" s="16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</row>
    <row r="2613" spans="1:18" x14ac:dyDescent="0.2">
      <c r="A2613" s="16"/>
      <c r="B2613" s="16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</row>
    <row r="2614" spans="1:18" x14ac:dyDescent="0.2">
      <c r="A2614" s="16"/>
      <c r="B2614" s="16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</row>
    <row r="2615" spans="1:18" x14ac:dyDescent="0.2">
      <c r="A2615" s="16"/>
      <c r="B2615" s="16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</row>
    <row r="2616" spans="1:18" x14ac:dyDescent="0.2">
      <c r="A2616" s="16"/>
      <c r="B2616" s="16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</row>
    <row r="2617" spans="1:18" x14ac:dyDescent="0.2">
      <c r="A2617" s="16"/>
      <c r="B2617" s="16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</row>
    <row r="2618" spans="1:18" x14ac:dyDescent="0.2">
      <c r="A2618" s="16"/>
      <c r="B2618" s="16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</row>
    <row r="2619" spans="1:18" x14ac:dyDescent="0.2">
      <c r="A2619" s="16"/>
      <c r="B2619" s="16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</row>
    <row r="2620" spans="1:18" x14ac:dyDescent="0.2">
      <c r="A2620" s="16"/>
      <c r="B2620" s="16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</row>
    <row r="2621" spans="1:18" x14ac:dyDescent="0.2">
      <c r="A2621" s="16"/>
      <c r="B2621" s="16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</row>
    <row r="2622" spans="1:18" x14ac:dyDescent="0.2">
      <c r="A2622" s="16"/>
      <c r="B2622" s="16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</row>
    <row r="2623" spans="1:18" x14ac:dyDescent="0.2">
      <c r="A2623" s="16"/>
      <c r="B2623" s="16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</row>
    <row r="2624" spans="1:18" x14ac:dyDescent="0.2">
      <c r="A2624" s="16"/>
      <c r="B2624" s="16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</row>
    <row r="2625" spans="1:18" x14ac:dyDescent="0.2">
      <c r="A2625" s="16"/>
      <c r="B2625" s="16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</row>
    <row r="2626" spans="1:18" x14ac:dyDescent="0.2">
      <c r="A2626" s="16"/>
      <c r="B2626" s="16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</row>
    <row r="2627" spans="1:18" x14ac:dyDescent="0.2">
      <c r="A2627" s="16"/>
      <c r="B2627" s="16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</row>
    <row r="2628" spans="1:18" x14ac:dyDescent="0.2">
      <c r="A2628" s="16"/>
      <c r="B2628" s="16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</row>
    <row r="2629" spans="1:18" x14ac:dyDescent="0.2">
      <c r="A2629" s="16"/>
      <c r="B2629" s="16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</row>
    <row r="2630" spans="1:18" x14ac:dyDescent="0.2">
      <c r="A2630" s="16"/>
      <c r="B2630" s="16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</row>
    <row r="2631" spans="1:18" x14ac:dyDescent="0.2">
      <c r="A2631" s="16"/>
      <c r="B2631" s="16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</row>
    <row r="2632" spans="1:18" x14ac:dyDescent="0.2">
      <c r="A2632" s="16"/>
      <c r="B2632" s="16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</row>
    <row r="2633" spans="1:18" x14ac:dyDescent="0.2">
      <c r="A2633" s="16"/>
      <c r="B2633" s="16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</row>
    <row r="2634" spans="1:18" x14ac:dyDescent="0.2">
      <c r="A2634" s="16"/>
      <c r="B2634" s="16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</row>
    <row r="2635" spans="1:18" x14ac:dyDescent="0.2">
      <c r="A2635" s="16"/>
      <c r="B2635" s="16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</row>
    <row r="2636" spans="1:18" x14ac:dyDescent="0.2">
      <c r="A2636" s="16"/>
      <c r="B2636" s="16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</row>
    <row r="2637" spans="1:18" x14ac:dyDescent="0.2">
      <c r="A2637" s="16"/>
      <c r="B2637" s="16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</row>
    <row r="2638" spans="1:18" x14ac:dyDescent="0.2">
      <c r="A2638" s="16"/>
      <c r="B2638" s="16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</row>
    <row r="2639" spans="1:18" x14ac:dyDescent="0.2">
      <c r="A2639" s="16"/>
      <c r="B2639" s="16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</row>
    <row r="2640" spans="1:18" x14ac:dyDescent="0.2">
      <c r="A2640" s="16"/>
      <c r="B2640" s="16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</row>
    <row r="2641" spans="1:18" x14ac:dyDescent="0.2">
      <c r="A2641" s="16"/>
      <c r="B2641" s="16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</row>
    <row r="2642" spans="1:18" x14ac:dyDescent="0.2">
      <c r="A2642" s="16"/>
      <c r="B2642" s="16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</row>
    <row r="2643" spans="1:18" x14ac:dyDescent="0.2">
      <c r="A2643" s="16"/>
      <c r="B2643" s="16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</row>
    <row r="2644" spans="1:18" x14ac:dyDescent="0.2">
      <c r="A2644" s="16"/>
      <c r="B2644" s="16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</row>
    <row r="2645" spans="1:18" x14ac:dyDescent="0.2">
      <c r="A2645" s="16"/>
      <c r="B2645" s="16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</row>
    <row r="2646" spans="1:18" x14ac:dyDescent="0.2">
      <c r="A2646" s="16"/>
      <c r="B2646" s="16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</row>
    <row r="2647" spans="1:18" x14ac:dyDescent="0.2">
      <c r="A2647" s="16"/>
      <c r="B2647" s="16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</row>
    <row r="2648" spans="1:18" x14ac:dyDescent="0.2">
      <c r="A2648" s="16"/>
      <c r="B2648" s="16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</row>
    <row r="2649" spans="1:18" x14ac:dyDescent="0.2">
      <c r="A2649" s="16"/>
      <c r="B2649" s="16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</row>
    <row r="2650" spans="1:18" x14ac:dyDescent="0.2">
      <c r="A2650" s="16"/>
      <c r="B2650" s="16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</row>
    <row r="2651" spans="1:18" x14ac:dyDescent="0.2">
      <c r="A2651" s="16"/>
      <c r="B2651" s="16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</row>
    <row r="2652" spans="1:18" x14ac:dyDescent="0.2">
      <c r="A2652" s="16"/>
      <c r="B2652" s="16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</row>
    <row r="2653" spans="1:18" x14ac:dyDescent="0.2">
      <c r="A2653" s="16"/>
      <c r="B2653" s="16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</row>
    <row r="2654" spans="1:18" x14ac:dyDescent="0.2">
      <c r="A2654" s="16"/>
      <c r="B2654" s="16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</row>
    <row r="2655" spans="1:18" x14ac:dyDescent="0.2">
      <c r="A2655" s="16"/>
      <c r="B2655" s="16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</row>
    <row r="2656" spans="1:18" x14ac:dyDescent="0.2">
      <c r="A2656" s="16"/>
      <c r="B2656" s="16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</row>
    <row r="2657" spans="1:18" x14ac:dyDescent="0.2">
      <c r="A2657" s="16"/>
      <c r="B2657" s="16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</row>
    <row r="2658" spans="1:18" x14ac:dyDescent="0.2">
      <c r="A2658" s="16"/>
      <c r="B2658" s="16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</row>
    <row r="2659" spans="1:18" x14ac:dyDescent="0.2">
      <c r="A2659" s="16"/>
      <c r="B2659" s="16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</row>
    <row r="2660" spans="1:18" x14ac:dyDescent="0.2">
      <c r="A2660" s="16"/>
      <c r="B2660" s="16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</row>
    <row r="2661" spans="1:18" x14ac:dyDescent="0.2">
      <c r="A2661" s="16"/>
      <c r="B2661" s="16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</row>
    <row r="2662" spans="1:18" x14ac:dyDescent="0.2">
      <c r="A2662" s="16"/>
      <c r="B2662" s="16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</row>
    <row r="2663" spans="1:18" x14ac:dyDescent="0.2">
      <c r="A2663" s="16"/>
      <c r="B2663" s="16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</row>
    <row r="2664" spans="1:18" x14ac:dyDescent="0.2">
      <c r="A2664" s="16"/>
      <c r="B2664" s="16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</row>
    <row r="2665" spans="1:18" x14ac:dyDescent="0.2">
      <c r="A2665" s="16"/>
      <c r="B2665" s="16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</row>
    <row r="2666" spans="1:18" x14ac:dyDescent="0.2">
      <c r="A2666" s="16"/>
      <c r="B2666" s="16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</row>
    <row r="2667" spans="1:18" x14ac:dyDescent="0.2">
      <c r="A2667" s="16"/>
      <c r="B2667" s="16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</row>
    <row r="2668" spans="1:18" x14ac:dyDescent="0.2">
      <c r="A2668" s="16"/>
      <c r="B2668" s="16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</row>
    <row r="2669" spans="1:18" x14ac:dyDescent="0.2">
      <c r="A2669" s="16"/>
      <c r="B2669" s="16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</row>
    <row r="2670" spans="1:18" x14ac:dyDescent="0.2">
      <c r="A2670" s="16"/>
      <c r="B2670" s="16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</row>
    <row r="2671" spans="1:18" x14ac:dyDescent="0.2">
      <c r="A2671" s="16"/>
      <c r="B2671" s="16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</row>
    <row r="2672" spans="1:18" x14ac:dyDescent="0.2">
      <c r="A2672" s="16"/>
      <c r="B2672" s="16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</row>
    <row r="2673" spans="1:18" x14ac:dyDescent="0.2">
      <c r="A2673" s="16"/>
      <c r="B2673" s="16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</row>
    <row r="2674" spans="1:18" x14ac:dyDescent="0.2">
      <c r="A2674" s="16"/>
      <c r="B2674" s="16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</row>
    <row r="2675" spans="1:18" x14ac:dyDescent="0.2">
      <c r="A2675" s="16"/>
      <c r="B2675" s="16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</row>
    <row r="2676" spans="1:18" x14ac:dyDescent="0.2">
      <c r="A2676" s="16"/>
      <c r="B2676" s="16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</row>
    <row r="2677" spans="1:18" x14ac:dyDescent="0.2">
      <c r="A2677" s="16"/>
      <c r="B2677" s="16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</row>
    <row r="2678" spans="1:18" x14ac:dyDescent="0.2">
      <c r="A2678" s="16"/>
      <c r="B2678" s="16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</row>
    <row r="2679" spans="1:18" x14ac:dyDescent="0.2">
      <c r="A2679" s="16"/>
      <c r="B2679" s="16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</row>
    <row r="2680" spans="1:18" x14ac:dyDescent="0.2">
      <c r="A2680" s="16"/>
      <c r="B2680" s="16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</row>
    <row r="2681" spans="1:18" x14ac:dyDescent="0.2">
      <c r="A2681" s="16"/>
      <c r="B2681" s="16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</row>
    <row r="2682" spans="1:18" x14ac:dyDescent="0.2">
      <c r="A2682" s="16"/>
      <c r="B2682" s="16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</row>
    <row r="2683" spans="1:18" x14ac:dyDescent="0.2">
      <c r="A2683" s="16"/>
      <c r="B2683" s="16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</row>
    <row r="2684" spans="1:18" x14ac:dyDescent="0.2">
      <c r="A2684" s="16"/>
      <c r="B2684" s="16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</row>
    <row r="2685" spans="1:18" x14ac:dyDescent="0.2">
      <c r="A2685" s="16"/>
      <c r="B2685" s="16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</row>
    <row r="2686" spans="1:18" x14ac:dyDescent="0.2">
      <c r="A2686" s="16"/>
      <c r="B2686" s="16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</row>
    <row r="2687" spans="1:18" x14ac:dyDescent="0.2">
      <c r="A2687" s="16"/>
      <c r="B2687" s="16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</row>
    <row r="2688" spans="1:18" x14ac:dyDescent="0.2">
      <c r="A2688" s="16"/>
      <c r="B2688" s="16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</row>
    <row r="2689" spans="1:18" x14ac:dyDescent="0.2">
      <c r="A2689" s="16"/>
      <c r="B2689" s="16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</row>
    <row r="2690" spans="1:18" x14ac:dyDescent="0.2">
      <c r="A2690" s="16"/>
      <c r="B2690" s="16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</row>
    <row r="2691" spans="1:18" x14ac:dyDescent="0.2">
      <c r="A2691" s="16"/>
      <c r="B2691" s="16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</row>
    <row r="2692" spans="1:18" x14ac:dyDescent="0.2">
      <c r="A2692" s="16"/>
      <c r="B2692" s="16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</row>
    <row r="2693" spans="1:18" x14ac:dyDescent="0.2">
      <c r="A2693" s="16"/>
      <c r="B2693" s="16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</row>
    <row r="2694" spans="1:18" x14ac:dyDescent="0.2">
      <c r="A2694" s="16"/>
      <c r="B2694" s="16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</row>
    <row r="2695" spans="1:18" x14ac:dyDescent="0.2">
      <c r="A2695" s="16"/>
      <c r="B2695" s="16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</row>
    <row r="2696" spans="1:18" x14ac:dyDescent="0.2">
      <c r="A2696" s="16"/>
      <c r="B2696" s="16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</row>
    <row r="2697" spans="1:18" x14ac:dyDescent="0.2">
      <c r="A2697" s="16"/>
      <c r="B2697" s="16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</row>
    <row r="2698" spans="1:18" x14ac:dyDescent="0.2">
      <c r="A2698" s="16"/>
      <c r="B2698" s="16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</row>
    <row r="2699" spans="1:18" x14ac:dyDescent="0.2">
      <c r="A2699" s="16"/>
      <c r="B2699" s="16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</row>
    <row r="2700" spans="1:18" x14ac:dyDescent="0.2">
      <c r="A2700" s="16"/>
      <c r="B2700" s="16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</row>
    <row r="2701" spans="1:18" x14ac:dyDescent="0.2">
      <c r="A2701" s="16"/>
      <c r="B2701" s="16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</row>
    <row r="2702" spans="1:18" x14ac:dyDescent="0.2">
      <c r="A2702" s="16"/>
      <c r="B2702" s="16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</row>
    <row r="2703" spans="1:18" x14ac:dyDescent="0.2">
      <c r="A2703" s="16"/>
      <c r="B2703" s="16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</row>
    <row r="2704" spans="1:18" x14ac:dyDescent="0.2">
      <c r="A2704" s="16"/>
      <c r="B2704" s="16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</row>
    <row r="2705" spans="1:18" x14ac:dyDescent="0.2">
      <c r="A2705" s="16"/>
      <c r="B2705" s="16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</row>
    <row r="2706" spans="1:18" x14ac:dyDescent="0.2">
      <c r="A2706" s="16"/>
      <c r="B2706" s="16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</row>
    <row r="2707" spans="1:18" x14ac:dyDescent="0.2">
      <c r="A2707" s="16"/>
      <c r="B2707" s="16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</row>
    <row r="2708" spans="1:18" x14ac:dyDescent="0.2">
      <c r="A2708" s="16"/>
      <c r="B2708" s="16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</row>
    <row r="2709" spans="1:18" x14ac:dyDescent="0.2">
      <c r="A2709" s="16"/>
      <c r="B2709" s="16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</row>
    <row r="2710" spans="1:18" x14ac:dyDescent="0.2">
      <c r="A2710" s="16"/>
      <c r="B2710" s="16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</row>
    <row r="2711" spans="1:18" x14ac:dyDescent="0.2">
      <c r="A2711" s="16"/>
      <c r="B2711" s="16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</row>
    <row r="2712" spans="1:18" x14ac:dyDescent="0.2">
      <c r="A2712" s="16"/>
      <c r="B2712" s="16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</row>
    <row r="2713" spans="1:18" x14ac:dyDescent="0.2">
      <c r="A2713" s="16"/>
      <c r="B2713" s="16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</row>
    <row r="2714" spans="1:18" x14ac:dyDescent="0.2">
      <c r="A2714" s="16"/>
      <c r="B2714" s="16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</row>
    <row r="2715" spans="1:18" x14ac:dyDescent="0.2">
      <c r="A2715" s="16"/>
      <c r="B2715" s="16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</row>
    <row r="2716" spans="1:18" x14ac:dyDescent="0.2">
      <c r="A2716" s="16"/>
      <c r="B2716" s="16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</row>
    <row r="2717" spans="1:18" x14ac:dyDescent="0.2">
      <c r="A2717" s="16"/>
      <c r="B2717" s="16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</row>
    <row r="2718" spans="1:18" x14ac:dyDescent="0.2">
      <c r="A2718" s="16"/>
      <c r="B2718" s="16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</row>
    <row r="2719" spans="1:18" x14ac:dyDescent="0.2">
      <c r="A2719" s="16"/>
      <c r="B2719" s="16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</row>
    <row r="2720" spans="1:18" x14ac:dyDescent="0.2">
      <c r="A2720" s="16"/>
      <c r="B2720" s="16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</row>
    <row r="2721" spans="1:18" x14ac:dyDescent="0.2">
      <c r="A2721" s="16"/>
      <c r="B2721" s="16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</row>
    <row r="2722" spans="1:18" x14ac:dyDescent="0.2">
      <c r="A2722" s="16"/>
      <c r="B2722" s="16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</row>
    <row r="2723" spans="1:18" x14ac:dyDescent="0.2">
      <c r="A2723" s="16"/>
      <c r="B2723" s="16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</row>
    <row r="2724" spans="1:18" x14ac:dyDescent="0.2">
      <c r="A2724" s="16"/>
      <c r="B2724" s="16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</row>
    <row r="2725" spans="1:18" x14ac:dyDescent="0.2">
      <c r="A2725" s="16"/>
      <c r="B2725" s="16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</row>
    <row r="2726" spans="1:18" x14ac:dyDescent="0.2">
      <c r="A2726" s="16"/>
      <c r="B2726" s="16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</row>
    <row r="2727" spans="1:18" x14ac:dyDescent="0.2">
      <c r="A2727" s="16"/>
      <c r="B2727" s="16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</row>
    <row r="2728" spans="1:18" x14ac:dyDescent="0.2">
      <c r="A2728" s="16"/>
      <c r="B2728" s="16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</row>
    <row r="2729" spans="1:18" x14ac:dyDescent="0.2">
      <c r="A2729" s="16"/>
      <c r="B2729" s="16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</row>
    <row r="2730" spans="1:18" x14ac:dyDescent="0.2">
      <c r="A2730" s="16"/>
      <c r="B2730" s="16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</row>
    <row r="2731" spans="1:18" x14ac:dyDescent="0.2">
      <c r="A2731" s="16"/>
      <c r="B2731" s="16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</row>
    <row r="2732" spans="1:18" x14ac:dyDescent="0.2">
      <c r="A2732" s="16"/>
      <c r="B2732" s="16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</row>
    <row r="2733" spans="1:18" x14ac:dyDescent="0.2">
      <c r="A2733" s="16"/>
      <c r="B2733" s="16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</row>
    <row r="2734" spans="1:18" x14ac:dyDescent="0.2">
      <c r="A2734" s="16"/>
      <c r="B2734" s="16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</row>
    <row r="2735" spans="1:18" x14ac:dyDescent="0.2">
      <c r="A2735" s="16"/>
      <c r="B2735" s="16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</row>
    <row r="2736" spans="1:18" x14ac:dyDescent="0.2">
      <c r="A2736" s="16"/>
      <c r="B2736" s="16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</row>
    <row r="2737" spans="1:18" x14ac:dyDescent="0.2">
      <c r="A2737" s="16"/>
      <c r="B2737" s="16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</row>
    <row r="2738" spans="1:18" x14ac:dyDescent="0.2">
      <c r="A2738" s="16"/>
      <c r="B2738" s="16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</row>
    <row r="2739" spans="1:18" x14ac:dyDescent="0.2">
      <c r="A2739" s="16"/>
      <c r="B2739" s="16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</row>
    <row r="2740" spans="1:18" x14ac:dyDescent="0.2">
      <c r="A2740" s="16"/>
      <c r="B2740" s="16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</row>
    <row r="2741" spans="1:18" x14ac:dyDescent="0.2">
      <c r="A2741" s="16"/>
      <c r="B2741" s="16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</row>
    <row r="2742" spans="1:18" x14ac:dyDescent="0.2">
      <c r="A2742" s="16"/>
      <c r="B2742" s="16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</row>
    <row r="2743" spans="1:18" x14ac:dyDescent="0.2">
      <c r="A2743" s="16"/>
      <c r="B2743" s="16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</row>
    <row r="2744" spans="1:18" x14ac:dyDescent="0.2">
      <c r="A2744" s="16"/>
      <c r="B2744" s="16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</row>
    <row r="2745" spans="1:18" x14ac:dyDescent="0.2">
      <c r="A2745" s="16"/>
      <c r="B2745" s="16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</row>
    <row r="2746" spans="1:18" x14ac:dyDescent="0.2">
      <c r="A2746" s="16"/>
      <c r="B2746" s="16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</row>
    <row r="2747" spans="1:18" x14ac:dyDescent="0.2">
      <c r="A2747" s="16"/>
      <c r="B2747" s="16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</row>
    <row r="2748" spans="1:18" x14ac:dyDescent="0.2">
      <c r="A2748" s="16"/>
      <c r="B2748" s="16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</row>
    <row r="2749" spans="1:18" x14ac:dyDescent="0.2">
      <c r="A2749" s="16"/>
      <c r="B2749" s="16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</row>
    <row r="2750" spans="1:18" x14ac:dyDescent="0.2">
      <c r="A2750" s="16"/>
      <c r="B2750" s="16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</row>
    <row r="2751" spans="1:18" x14ac:dyDescent="0.2">
      <c r="A2751" s="16"/>
      <c r="B2751" s="16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</row>
    <row r="2752" spans="1:18" x14ac:dyDescent="0.2">
      <c r="A2752" s="16"/>
      <c r="B2752" s="16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</row>
    <row r="2753" spans="1:18" x14ac:dyDescent="0.2">
      <c r="A2753" s="16"/>
      <c r="B2753" s="16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</row>
    <row r="2754" spans="1:18" x14ac:dyDescent="0.2">
      <c r="A2754" s="16"/>
      <c r="B2754" s="16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</row>
    <row r="2755" spans="1:18" x14ac:dyDescent="0.2">
      <c r="A2755" s="16"/>
      <c r="B2755" s="16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</row>
    <row r="2756" spans="1:18" x14ac:dyDescent="0.2">
      <c r="A2756" s="16"/>
      <c r="B2756" s="16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</row>
    <row r="2757" spans="1:18" x14ac:dyDescent="0.2">
      <c r="A2757" s="16"/>
      <c r="B2757" s="16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</row>
    <row r="2758" spans="1:18" x14ac:dyDescent="0.2">
      <c r="A2758" s="16"/>
      <c r="B2758" s="16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</row>
    <row r="2759" spans="1:18" x14ac:dyDescent="0.2">
      <c r="A2759" s="16"/>
      <c r="B2759" s="16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</row>
    <row r="2760" spans="1:18" x14ac:dyDescent="0.2">
      <c r="A2760" s="16"/>
      <c r="B2760" s="16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</row>
    <row r="2761" spans="1:18" x14ac:dyDescent="0.2">
      <c r="A2761" s="16"/>
      <c r="B2761" s="16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</row>
    <row r="2762" spans="1:18" x14ac:dyDescent="0.2">
      <c r="A2762" s="16"/>
      <c r="B2762" s="16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</row>
    <row r="2763" spans="1:18" x14ac:dyDescent="0.2">
      <c r="A2763" s="16"/>
      <c r="B2763" s="16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</row>
    <row r="2764" spans="1:18" x14ac:dyDescent="0.2">
      <c r="A2764" s="16"/>
      <c r="B2764" s="16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</row>
    <row r="2765" spans="1:18" x14ac:dyDescent="0.2">
      <c r="A2765" s="16"/>
      <c r="B2765" s="16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</row>
    <row r="2766" spans="1:18" x14ac:dyDescent="0.2">
      <c r="A2766" s="16"/>
      <c r="B2766" s="16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</row>
    <row r="2767" spans="1:18" x14ac:dyDescent="0.2">
      <c r="A2767" s="16"/>
      <c r="B2767" s="16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</row>
    <row r="2768" spans="1:18" x14ac:dyDescent="0.2">
      <c r="A2768" s="16"/>
      <c r="B2768" s="16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</row>
    <row r="2769" spans="1:18" x14ac:dyDescent="0.2">
      <c r="A2769" s="16"/>
      <c r="B2769" s="16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</row>
    <row r="2770" spans="1:18" x14ac:dyDescent="0.2">
      <c r="A2770" s="16"/>
      <c r="B2770" s="16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</row>
    <row r="2771" spans="1:18" x14ac:dyDescent="0.2">
      <c r="A2771" s="16"/>
      <c r="B2771" s="16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</row>
    <row r="2772" spans="1:18" x14ac:dyDescent="0.2">
      <c r="A2772" s="16"/>
      <c r="B2772" s="16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</row>
    <row r="2773" spans="1:18" x14ac:dyDescent="0.2">
      <c r="A2773" s="16"/>
      <c r="B2773" s="16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</row>
    <row r="2774" spans="1:18" x14ac:dyDescent="0.2">
      <c r="A2774" s="16"/>
      <c r="B2774" s="16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</row>
    <row r="2775" spans="1:18" x14ac:dyDescent="0.2">
      <c r="A2775" s="16"/>
      <c r="B2775" s="16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</row>
    <row r="2776" spans="1:18" x14ac:dyDescent="0.2">
      <c r="A2776" s="16"/>
      <c r="B2776" s="16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</row>
    <row r="2777" spans="1:18" x14ac:dyDescent="0.2">
      <c r="A2777" s="16"/>
      <c r="B2777" s="16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</row>
    <row r="2778" spans="1:18" x14ac:dyDescent="0.2">
      <c r="A2778" s="16"/>
      <c r="B2778" s="16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</row>
    <row r="2779" spans="1:18" x14ac:dyDescent="0.2">
      <c r="A2779" s="16"/>
      <c r="B2779" s="16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</row>
    <row r="2780" spans="1:18" x14ac:dyDescent="0.2">
      <c r="A2780" s="16"/>
      <c r="B2780" s="16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</row>
    <row r="2781" spans="1:18" x14ac:dyDescent="0.2">
      <c r="A2781" s="16"/>
      <c r="B2781" s="16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</row>
    <row r="2782" spans="1:18" x14ac:dyDescent="0.2">
      <c r="A2782" s="16"/>
      <c r="B2782" s="16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</row>
    <row r="2783" spans="1:18" x14ac:dyDescent="0.2">
      <c r="A2783" s="16"/>
      <c r="B2783" s="16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</row>
    <row r="2784" spans="1:18" x14ac:dyDescent="0.2">
      <c r="A2784" s="16"/>
      <c r="B2784" s="16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</row>
    <row r="2785" spans="1:18" x14ac:dyDescent="0.2">
      <c r="A2785" s="16"/>
      <c r="B2785" s="16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</row>
    <row r="2786" spans="1:18" x14ac:dyDescent="0.2">
      <c r="A2786" s="16"/>
      <c r="B2786" s="16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</row>
    <row r="2787" spans="1:18" x14ac:dyDescent="0.2">
      <c r="A2787" s="16"/>
      <c r="B2787" s="16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</row>
    <row r="2788" spans="1:18" x14ac:dyDescent="0.2">
      <c r="A2788" s="16"/>
      <c r="B2788" s="16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</row>
    <row r="2789" spans="1:18" x14ac:dyDescent="0.2">
      <c r="A2789" s="16"/>
      <c r="B2789" s="16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</row>
    <row r="2790" spans="1:18" x14ac:dyDescent="0.2">
      <c r="A2790" s="16"/>
      <c r="B2790" s="16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</row>
    <row r="2791" spans="1:18" x14ac:dyDescent="0.2">
      <c r="A2791" s="16"/>
      <c r="B2791" s="16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</row>
    <row r="2792" spans="1:18" x14ac:dyDescent="0.2">
      <c r="A2792" s="16"/>
      <c r="B2792" s="16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</row>
    <row r="2793" spans="1:18" x14ac:dyDescent="0.2">
      <c r="A2793" s="16"/>
      <c r="B2793" s="16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</row>
    <row r="2794" spans="1:18" x14ac:dyDescent="0.2">
      <c r="A2794" s="16"/>
      <c r="B2794" s="16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</row>
    <row r="2795" spans="1:18" x14ac:dyDescent="0.2">
      <c r="A2795" s="16"/>
      <c r="B2795" s="16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</row>
    <row r="2796" spans="1:18" x14ac:dyDescent="0.2">
      <c r="A2796" s="16"/>
      <c r="B2796" s="16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</row>
    <row r="2797" spans="1:18" x14ac:dyDescent="0.2">
      <c r="A2797" s="16"/>
      <c r="B2797" s="16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</row>
    <row r="2798" spans="1:18" x14ac:dyDescent="0.2">
      <c r="A2798" s="16"/>
      <c r="B2798" s="16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</row>
    <row r="2799" spans="1:18" x14ac:dyDescent="0.2">
      <c r="A2799" s="16"/>
      <c r="B2799" s="16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</row>
    <row r="2800" spans="1:18" x14ac:dyDescent="0.2">
      <c r="A2800" s="16"/>
      <c r="B2800" s="16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</row>
    <row r="2801" spans="1:18" x14ac:dyDescent="0.2">
      <c r="A2801" s="16"/>
      <c r="B2801" s="16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</row>
    <row r="2802" spans="1:18" x14ac:dyDescent="0.2">
      <c r="A2802" s="16"/>
      <c r="B2802" s="16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</row>
    <row r="2803" spans="1:18" x14ac:dyDescent="0.2">
      <c r="A2803" s="16"/>
      <c r="B2803" s="16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</row>
    <row r="2804" spans="1:18" x14ac:dyDescent="0.2">
      <c r="A2804" s="16"/>
      <c r="B2804" s="16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</row>
    <row r="2805" spans="1:18" x14ac:dyDescent="0.2">
      <c r="A2805" s="16"/>
      <c r="B2805" s="16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</row>
    <row r="2806" spans="1:18" x14ac:dyDescent="0.2">
      <c r="A2806" s="16"/>
      <c r="B2806" s="16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</row>
    <row r="2807" spans="1:18" x14ac:dyDescent="0.2">
      <c r="A2807" s="16"/>
      <c r="B2807" s="16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</row>
    <row r="2808" spans="1:18" x14ac:dyDescent="0.2">
      <c r="A2808" s="16"/>
      <c r="B2808" s="16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</row>
    <row r="2809" spans="1:18" x14ac:dyDescent="0.2">
      <c r="A2809" s="16"/>
      <c r="B2809" s="16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</row>
    <row r="2810" spans="1:18" x14ac:dyDescent="0.2">
      <c r="A2810" s="16"/>
      <c r="B2810" s="16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</row>
    <row r="2811" spans="1:18" x14ac:dyDescent="0.2">
      <c r="A2811" s="16"/>
      <c r="B2811" s="16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</row>
    <row r="2812" spans="1:18" x14ac:dyDescent="0.2">
      <c r="A2812" s="16"/>
      <c r="B2812" s="16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</row>
    <row r="2813" spans="1:18" x14ac:dyDescent="0.2">
      <c r="A2813" s="16"/>
      <c r="B2813" s="16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</row>
    <row r="2814" spans="1:18" x14ac:dyDescent="0.2">
      <c r="A2814" s="16"/>
      <c r="B2814" s="16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</row>
    <row r="2815" spans="1:18" x14ac:dyDescent="0.2">
      <c r="A2815" s="16"/>
      <c r="B2815" s="16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</row>
    <row r="2816" spans="1:18" x14ac:dyDescent="0.2">
      <c r="A2816" s="16"/>
      <c r="B2816" s="16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</row>
    <row r="2817" spans="1:18" x14ac:dyDescent="0.2">
      <c r="A2817" s="16"/>
      <c r="B2817" s="16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</row>
    <row r="2818" spans="1:18" x14ac:dyDescent="0.2">
      <c r="A2818" s="16"/>
      <c r="B2818" s="16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</row>
    <row r="2819" spans="1:18" x14ac:dyDescent="0.2">
      <c r="A2819" s="16"/>
      <c r="B2819" s="16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</row>
    <row r="2820" spans="1:18" x14ac:dyDescent="0.2">
      <c r="A2820" s="16"/>
      <c r="B2820" s="16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</row>
    <row r="2821" spans="1:18" x14ac:dyDescent="0.2">
      <c r="A2821" s="16"/>
      <c r="B2821" s="16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</row>
    <row r="2822" spans="1:18" x14ac:dyDescent="0.2">
      <c r="A2822" s="16"/>
      <c r="B2822" s="16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</row>
    <row r="2823" spans="1:18" x14ac:dyDescent="0.2">
      <c r="A2823" s="16"/>
      <c r="B2823" s="16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</row>
    <row r="2824" spans="1:18" x14ac:dyDescent="0.2">
      <c r="A2824" s="16"/>
      <c r="B2824" s="16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</row>
    <row r="2825" spans="1:18" x14ac:dyDescent="0.2">
      <c r="A2825" s="16"/>
      <c r="B2825" s="16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</row>
    <row r="2826" spans="1:18" x14ac:dyDescent="0.2">
      <c r="A2826" s="16"/>
      <c r="B2826" s="16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</row>
    <row r="2827" spans="1:18" x14ac:dyDescent="0.2">
      <c r="A2827" s="16"/>
      <c r="B2827" s="16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</row>
    <row r="2828" spans="1:18" x14ac:dyDescent="0.2">
      <c r="A2828" s="16"/>
      <c r="B2828" s="16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</row>
    <row r="2829" spans="1:18" x14ac:dyDescent="0.2">
      <c r="A2829" s="16"/>
      <c r="B2829" s="16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</row>
    <row r="2830" spans="1:18" x14ac:dyDescent="0.2">
      <c r="A2830" s="16"/>
      <c r="B2830" s="16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</row>
    <row r="2831" spans="1:18" x14ac:dyDescent="0.2">
      <c r="A2831" s="16"/>
      <c r="B2831" s="16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</row>
    <row r="2832" spans="1:18" x14ac:dyDescent="0.2">
      <c r="A2832" s="16"/>
      <c r="B2832" s="16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</row>
    <row r="2833" spans="1:18" x14ac:dyDescent="0.2">
      <c r="A2833" s="16"/>
      <c r="B2833" s="16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</row>
    <row r="2834" spans="1:18" x14ac:dyDescent="0.2">
      <c r="A2834" s="16"/>
      <c r="B2834" s="16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</row>
    <row r="2835" spans="1:18" x14ac:dyDescent="0.2">
      <c r="A2835" s="16"/>
      <c r="B2835" s="16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</row>
    <row r="2836" spans="1:18" x14ac:dyDescent="0.2">
      <c r="A2836" s="16"/>
      <c r="B2836" s="16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</row>
    <row r="2837" spans="1:18" x14ac:dyDescent="0.2">
      <c r="A2837" s="16"/>
      <c r="B2837" s="16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</row>
    <row r="2838" spans="1:18" x14ac:dyDescent="0.2">
      <c r="A2838" s="16"/>
      <c r="B2838" s="16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</row>
    <row r="2839" spans="1:18" x14ac:dyDescent="0.2">
      <c r="A2839" s="16"/>
      <c r="B2839" s="16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</row>
    <row r="2840" spans="1:18" x14ac:dyDescent="0.2">
      <c r="A2840" s="16"/>
      <c r="B2840" s="16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</row>
    <row r="2841" spans="1:18" x14ac:dyDescent="0.2">
      <c r="A2841" s="16"/>
      <c r="B2841" s="16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</row>
    <row r="2842" spans="1:18" x14ac:dyDescent="0.2">
      <c r="A2842" s="16"/>
      <c r="B2842" s="16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</row>
    <row r="2843" spans="1:18" x14ac:dyDescent="0.2">
      <c r="A2843" s="16"/>
      <c r="B2843" s="16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</row>
    <row r="2844" spans="1:18" x14ac:dyDescent="0.2">
      <c r="A2844" s="16"/>
      <c r="B2844" s="16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</row>
    <row r="2845" spans="1:18" x14ac:dyDescent="0.2">
      <c r="A2845" s="16"/>
      <c r="B2845" s="16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</row>
    <row r="2846" spans="1:18" x14ac:dyDescent="0.2">
      <c r="A2846" s="16"/>
      <c r="B2846" s="16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</row>
    <row r="2847" spans="1:18" x14ac:dyDescent="0.2">
      <c r="A2847" s="16"/>
      <c r="B2847" s="16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</row>
    <row r="2848" spans="1:18" x14ac:dyDescent="0.2">
      <c r="A2848" s="16"/>
      <c r="B2848" s="16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</row>
    <row r="2849" spans="1:18" x14ac:dyDescent="0.2">
      <c r="A2849" s="16"/>
      <c r="B2849" s="16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</row>
    <row r="2850" spans="1:18" x14ac:dyDescent="0.2">
      <c r="A2850" s="16"/>
      <c r="B2850" s="16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</row>
    <row r="2851" spans="1:18" x14ac:dyDescent="0.2">
      <c r="A2851" s="16"/>
      <c r="B2851" s="16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</row>
    <row r="2852" spans="1:18" x14ac:dyDescent="0.2">
      <c r="A2852" s="16"/>
      <c r="B2852" s="16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</row>
    <row r="2853" spans="1:18" x14ac:dyDescent="0.2">
      <c r="A2853" s="16"/>
      <c r="B2853" s="16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</row>
    <row r="2854" spans="1:18" x14ac:dyDescent="0.2">
      <c r="A2854" s="16"/>
      <c r="B2854" s="16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</row>
    <row r="2855" spans="1:18" x14ac:dyDescent="0.2">
      <c r="A2855" s="16"/>
      <c r="B2855" s="16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</row>
    <row r="2856" spans="1:18" x14ac:dyDescent="0.2">
      <c r="A2856" s="16"/>
      <c r="B2856" s="16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</row>
    <row r="2857" spans="1:18" x14ac:dyDescent="0.2">
      <c r="A2857" s="16"/>
      <c r="B2857" s="16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</row>
    <row r="2858" spans="1:18" x14ac:dyDescent="0.2">
      <c r="A2858" s="16"/>
      <c r="B2858" s="16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</row>
    <row r="2859" spans="1:18" x14ac:dyDescent="0.2">
      <c r="A2859" s="16"/>
      <c r="B2859" s="16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</row>
    <row r="2860" spans="1:18" x14ac:dyDescent="0.2">
      <c r="A2860" s="16"/>
      <c r="B2860" s="16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</row>
    <row r="2861" spans="1:18" x14ac:dyDescent="0.2">
      <c r="A2861" s="16"/>
      <c r="B2861" s="16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</row>
    <row r="2862" spans="1:18" x14ac:dyDescent="0.2">
      <c r="A2862" s="16"/>
      <c r="B2862" s="16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</row>
    <row r="2863" spans="1:18" x14ac:dyDescent="0.2">
      <c r="A2863" s="16"/>
      <c r="B2863" s="16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</row>
    <row r="2864" spans="1:18" x14ac:dyDescent="0.2">
      <c r="A2864" s="16"/>
      <c r="B2864" s="16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</row>
    <row r="2865" spans="1:18" x14ac:dyDescent="0.2">
      <c r="A2865" s="16"/>
      <c r="B2865" s="16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</row>
    <row r="2866" spans="1:18" x14ac:dyDescent="0.2">
      <c r="A2866" s="16"/>
      <c r="B2866" s="16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</row>
    <row r="2867" spans="1:18" x14ac:dyDescent="0.2">
      <c r="A2867" s="16"/>
      <c r="B2867" s="16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</row>
    <row r="2868" spans="1:18" x14ac:dyDescent="0.2">
      <c r="A2868" s="16"/>
      <c r="B2868" s="16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</row>
    <row r="2869" spans="1:18" x14ac:dyDescent="0.2">
      <c r="A2869" s="16"/>
      <c r="B2869" s="16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</row>
    <row r="2870" spans="1:18" x14ac:dyDescent="0.2">
      <c r="A2870" s="16"/>
      <c r="B2870" s="16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</row>
    <row r="2871" spans="1:18" x14ac:dyDescent="0.2">
      <c r="A2871" s="16"/>
      <c r="B2871" s="16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</row>
    <row r="2872" spans="1:18" x14ac:dyDescent="0.2">
      <c r="A2872" s="16"/>
      <c r="B2872" s="16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</row>
    <row r="2873" spans="1:18" x14ac:dyDescent="0.2">
      <c r="A2873" s="16"/>
      <c r="B2873" s="16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</row>
    <row r="2874" spans="1:18" x14ac:dyDescent="0.2">
      <c r="A2874" s="16"/>
      <c r="B2874" s="16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</row>
    <row r="2875" spans="1:18" x14ac:dyDescent="0.2">
      <c r="A2875" s="16"/>
      <c r="B2875" s="16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</row>
    <row r="2876" spans="1:18" x14ac:dyDescent="0.2">
      <c r="A2876" s="16"/>
      <c r="B2876" s="16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</row>
    <row r="2877" spans="1:18" x14ac:dyDescent="0.2">
      <c r="A2877" s="16"/>
      <c r="B2877" s="16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</row>
    <row r="2878" spans="1:18" x14ac:dyDescent="0.2">
      <c r="A2878" s="16"/>
      <c r="B2878" s="16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</row>
    <row r="2879" spans="1:18" x14ac:dyDescent="0.2">
      <c r="A2879" s="16"/>
      <c r="B2879" s="16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</row>
    <row r="2880" spans="1:18" x14ac:dyDescent="0.2">
      <c r="A2880" s="16"/>
      <c r="B2880" s="16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</row>
    <row r="2881" spans="1:18" x14ac:dyDescent="0.2">
      <c r="A2881" s="16"/>
      <c r="B2881" s="16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</row>
    <row r="2882" spans="1:18" x14ac:dyDescent="0.2">
      <c r="A2882" s="16"/>
      <c r="B2882" s="16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</row>
    <row r="2883" spans="1:18" x14ac:dyDescent="0.2">
      <c r="A2883" s="16"/>
      <c r="B2883" s="16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</row>
    <row r="2884" spans="1:18" x14ac:dyDescent="0.2">
      <c r="A2884" s="16"/>
      <c r="B2884" s="16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</row>
    <row r="2885" spans="1:18" x14ac:dyDescent="0.2">
      <c r="A2885" s="16"/>
      <c r="B2885" s="16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</row>
    <row r="2886" spans="1:18" x14ac:dyDescent="0.2">
      <c r="A2886" s="16"/>
      <c r="B2886" s="16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</row>
    <row r="2887" spans="1:18" x14ac:dyDescent="0.2">
      <c r="A2887" s="16"/>
      <c r="B2887" s="16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</row>
    <row r="2888" spans="1:18" x14ac:dyDescent="0.2">
      <c r="A2888" s="16"/>
      <c r="B2888" s="16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</row>
    <row r="2889" spans="1:18" x14ac:dyDescent="0.2">
      <c r="A2889" s="16"/>
      <c r="B2889" s="16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</row>
    <row r="2890" spans="1:18" x14ac:dyDescent="0.2">
      <c r="A2890" s="16"/>
      <c r="B2890" s="16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</row>
    <row r="2891" spans="1:18" x14ac:dyDescent="0.2">
      <c r="A2891" s="16"/>
      <c r="B2891" s="16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</row>
    <row r="2892" spans="1:18" x14ac:dyDescent="0.2">
      <c r="A2892" s="16"/>
      <c r="B2892" s="16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</row>
    <row r="2893" spans="1:18" x14ac:dyDescent="0.2">
      <c r="A2893" s="16"/>
      <c r="B2893" s="16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</row>
    <row r="2894" spans="1:18" x14ac:dyDescent="0.2">
      <c r="A2894" s="16"/>
      <c r="B2894" s="16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</row>
    <row r="2895" spans="1:18" x14ac:dyDescent="0.2">
      <c r="A2895" s="16"/>
      <c r="B2895" s="16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</row>
    <row r="2896" spans="1:18" x14ac:dyDescent="0.2">
      <c r="A2896" s="16"/>
      <c r="B2896" s="16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</row>
    <row r="2897" spans="1:18" x14ac:dyDescent="0.2">
      <c r="A2897" s="16"/>
      <c r="B2897" s="16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</row>
    <row r="2898" spans="1:18" x14ac:dyDescent="0.2">
      <c r="A2898" s="16"/>
      <c r="B2898" s="16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</row>
    <row r="2899" spans="1:18" x14ac:dyDescent="0.2">
      <c r="A2899" s="16"/>
      <c r="B2899" s="16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</row>
    <row r="2900" spans="1:18" x14ac:dyDescent="0.2">
      <c r="A2900" s="16"/>
      <c r="B2900" s="16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</row>
    <row r="2901" spans="1:18" x14ac:dyDescent="0.2">
      <c r="A2901" s="16"/>
      <c r="B2901" s="16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</row>
    <row r="2902" spans="1:18" x14ac:dyDescent="0.2">
      <c r="A2902" s="16"/>
      <c r="B2902" s="16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</row>
    <row r="2903" spans="1:18" x14ac:dyDescent="0.2">
      <c r="A2903" s="16"/>
      <c r="B2903" s="16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</row>
    <row r="2904" spans="1:18" x14ac:dyDescent="0.2">
      <c r="A2904" s="16"/>
      <c r="B2904" s="16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</row>
    <row r="2905" spans="1:18" x14ac:dyDescent="0.2">
      <c r="A2905" s="16"/>
      <c r="B2905" s="16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</row>
    <row r="2906" spans="1:18" x14ac:dyDescent="0.2">
      <c r="A2906" s="16"/>
      <c r="B2906" s="16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</row>
    <row r="2907" spans="1:18" x14ac:dyDescent="0.2">
      <c r="A2907" s="16"/>
      <c r="B2907" s="16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</row>
    <row r="2908" spans="1:18" x14ac:dyDescent="0.2">
      <c r="A2908" s="16"/>
      <c r="B2908" s="16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</row>
    <row r="2909" spans="1:18" x14ac:dyDescent="0.2">
      <c r="A2909" s="16"/>
      <c r="B2909" s="16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</row>
    <row r="2910" spans="1:18" x14ac:dyDescent="0.2">
      <c r="A2910" s="16"/>
      <c r="B2910" s="16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</row>
    <row r="2911" spans="1:18" x14ac:dyDescent="0.2">
      <c r="A2911" s="16"/>
      <c r="B2911" s="16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</row>
    <row r="2912" spans="1:18" x14ac:dyDescent="0.2">
      <c r="A2912" s="16"/>
      <c r="B2912" s="16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</row>
    <row r="2913" spans="1:18" x14ac:dyDescent="0.2">
      <c r="A2913" s="16"/>
      <c r="B2913" s="16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</row>
    <row r="2914" spans="1:18" x14ac:dyDescent="0.2">
      <c r="A2914" s="16"/>
      <c r="B2914" s="16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</row>
    <row r="2915" spans="1:18" x14ac:dyDescent="0.2">
      <c r="A2915" s="16"/>
      <c r="B2915" s="16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</row>
    <row r="2916" spans="1:18" x14ac:dyDescent="0.2">
      <c r="A2916" s="16"/>
      <c r="B2916" s="16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</row>
    <row r="2917" spans="1:18" x14ac:dyDescent="0.2">
      <c r="A2917" s="16"/>
      <c r="B2917" s="16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</row>
    <row r="2918" spans="1:18" x14ac:dyDescent="0.2">
      <c r="A2918" s="16"/>
      <c r="B2918" s="16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</row>
    <row r="2919" spans="1:18" x14ac:dyDescent="0.2">
      <c r="A2919" s="16"/>
      <c r="B2919" s="16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</row>
    <row r="2920" spans="1:18" x14ac:dyDescent="0.2">
      <c r="A2920" s="16"/>
      <c r="B2920" s="16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</row>
    <row r="2921" spans="1:18" x14ac:dyDescent="0.2">
      <c r="A2921" s="16"/>
      <c r="B2921" s="16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</row>
    <row r="2922" spans="1:18" x14ac:dyDescent="0.2">
      <c r="A2922" s="16"/>
      <c r="B2922" s="16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</row>
    <row r="2923" spans="1:18" x14ac:dyDescent="0.2">
      <c r="A2923" s="16"/>
      <c r="B2923" s="16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</row>
    <row r="2924" spans="1:18" x14ac:dyDescent="0.2">
      <c r="A2924" s="16"/>
      <c r="B2924" s="16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</row>
    <row r="2925" spans="1:18" x14ac:dyDescent="0.2">
      <c r="A2925" s="16"/>
      <c r="B2925" s="16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</row>
    <row r="2926" spans="1:18" x14ac:dyDescent="0.2">
      <c r="A2926" s="16"/>
      <c r="B2926" s="16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</row>
    <row r="2927" spans="1:18" x14ac:dyDescent="0.2">
      <c r="A2927" s="16"/>
      <c r="B2927" s="16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</row>
    <row r="2928" spans="1:18" x14ac:dyDescent="0.2">
      <c r="A2928" s="16"/>
      <c r="B2928" s="16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</row>
    <row r="2929" spans="1:18" x14ac:dyDescent="0.2">
      <c r="A2929" s="16"/>
      <c r="B2929" s="16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</row>
    <row r="2930" spans="1:18" x14ac:dyDescent="0.2">
      <c r="A2930" s="16"/>
      <c r="B2930" s="16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</row>
    <row r="2931" spans="1:18" x14ac:dyDescent="0.2">
      <c r="A2931" s="16"/>
      <c r="B2931" s="16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</row>
    <row r="2932" spans="1:18" x14ac:dyDescent="0.2">
      <c r="A2932" s="16"/>
      <c r="B2932" s="16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</row>
    <row r="2933" spans="1:18" x14ac:dyDescent="0.2">
      <c r="A2933" s="16"/>
      <c r="B2933" s="16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</row>
    <row r="2934" spans="1:18" x14ac:dyDescent="0.2">
      <c r="A2934" s="16"/>
      <c r="B2934" s="16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</row>
    <row r="2935" spans="1:18" x14ac:dyDescent="0.2">
      <c r="A2935" s="16"/>
      <c r="B2935" s="16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</row>
    <row r="2936" spans="1:18" x14ac:dyDescent="0.2">
      <c r="A2936" s="16"/>
      <c r="B2936" s="16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</row>
    <row r="2937" spans="1:18" x14ac:dyDescent="0.2">
      <c r="A2937" s="16"/>
      <c r="B2937" s="16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</row>
    <row r="2938" spans="1:18" x14ac:dyDescent="0.2">
      <c r="A2938" s="16"/>
      <c r="B2938" s="16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</row>
    <row r="2939" spans="1:18" x14ac:dyDescent="0.2">
      <c r="A2939" s="16"/>
      <c r="B2939" s="16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</row>
    <row r="2940" spans="1:18" x14ac:dyDescent="0.2">
      <c r="A2940" s="16"/>
      <c r="B2940" s="16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</row>
    <row r="2941" spans="1:18" x14ac:dyDescent="0.2">
      <c r="A2941" s="16"/>
      <c r="B2941" s="16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</row>
    <row r="2942" spans="1:18" x14ac:dyDescent="0.2">
      <c r="A2942" s="16"/>
      <c r="B2942" s="16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</row>
    <row r="2943" spans="1:18" x14ac:dyDescent="0.2">
      <c r="A2943" s="16"/>
      <c r="B2943" s="16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</row>
    <row r="2944" spans="1:18" x14ac:dyDescent="0.2">
      <c r="A2944" s="16"/>
      <c r="B2944" s="16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</row>
    <row r="2945" spans="1:18" x14ac:dyDescent="0.2">
      <c r="A2945" s="16"/>
      <c r="B2945" s="16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</row>
    <row r="2946" spans="1:18" x14ac:dyDescent="0.2">
      <c r="A2946" s="16"/>
      <c r="B2946" s="16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</row>
    <row r="2947" spans="1:18" x14ac:dyDescent="0.2">
      <c r="A2947" s="16"/>
      <c r="B2947" s="16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</row>
    <row r="2948" spans="1:18" x14ac:dyDescent="0.2">
      <c r="A2948" s="16"/>
      <c r="B2948" s="16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</row>
    <row r="2949" spans="1:18" x14ac:dyDescent="0.2">
      <c r="A2949" s="16"/>
      <c r="B2949" s="16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</row>
    <row r="2950" spans="1:18" x14ac:dyDescent="0.2">
      <c r="A2950" s="16"/>
      <c r="B2950" s="16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</row>
    <row r="2951" spans="1:18" x14ac:dyDescent="0.2">
      <c r="A2951" s="16"/>
      <c r="B2951" s="16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</row>
    <row r="2952" spans="1:18" x14ac:dyDescent="0.2">
      <c r="A2952" s="16"/>
      <c r="B2952" s="16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</row>
    <row r="2953" spans="1:18" x14ac:dyDescent="0.2">
      <c r="A2953" s="16"/>
      <c r="B2953" s="16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</row>
    <row r="2954" spans="1:18" x14ac:dyDescent="0.2">
      <c r="A2954" s="16"/>
      <c r="B2954" s="16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</row>
    <row r="2955" spans="1:18" x14ac:dyDescent="0.2">
      <c r="A2955" s="16"/>
      <c r="B2955" s="16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</row>
    <row r="2956" spans="1:18" x14ac:dyDescent="0.2">
      <c r="A2956" s="16"/>
      <c r="B2956" s="16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</row>
    <row r="2957" spans="1:18" x14ac:dyDescent="0.2">
      <c r="A2957" s="16"/>
      <c r="B2957" s="16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</row>
    <row r="2958" spans="1:18" x14ac:dyDescent="0.2">
      <c r="A2958" s="16"/>
      <c r="B2958" s="16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</row>
    <row r="2959" spans="1:18" x14ac:dyDescent="0.2">
      <c r="A2959" s="16"/>
      <c r="B2959" s="16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</row>
    <row r="2960" spans="1:18" x14ac:dyDescent="0.2">
      <c r="A2960" s="16"/>
      <c r="B2960" s="16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</row>
    <row r="2961" spans="1:18" x14ac:dyDescent="0.2">
      <c r="A2961" s="16"/>
      <c r="B2961" s="16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</row>
    <row r="2962" spans="1:18" x14ac:dyDescent="0.2">
      <c r="A2962" s="16"/>
      <c r="B2962" s="16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</row>
    <row r="2963" spans="1:18" x14ac:dyDescent="0.2">
      <c r="A2963" s="16"/>
      <c r="B2963" s="16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</row>
    <row r="2964" spans="1:18" x14ac:dyDescent="0.2">
      <c r="A2964" s="16"/>
      <c r="B2964" s="16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</row>
    <row r="2965" spans="1:18" x14ac:dyDescent="0.2">
      <c r="A2965" s="16"/>
      <c r="B2965" s="16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</row>
    <row r="2966" spans="1:18" x14ac:dyDescent="0.2">
      <c r="A2966" s="16"/>
      <c r="B2966" s="16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</row>
    <row r="2967" spans="1:18" x14ac:dyDescent="0.2">
      <c r="A2967" s="16"/>
      <c r="B2967" s="16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</row>
    <row r="2968" spans="1:18" x14ac:dyDescent="0.2">
      <c r="A2968" s="16"/>
      <c r="B2968" s="16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</row>
    <row r="2969" spans="1:18" x14ac:dyDescent="0.2">
      <c r="A2969" s="16"/>
      <c r="B2969" s="16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</row>
    <row r="2970" spans="1:18" x14ac:dyDescent="0.2">
      <c r="A2970" s="16"/>
      <c r="B2970" s="16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</row>
    <row r="2971" spans="1:18" x14ac:dyDescent="0.2">
      <c r="A2971" s="16"/>
      <c r="B2971" s="16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</row>
    <row r="2972" spans="1:18" x14ac:dyDescent="0.2">
      <c r="A2972" s="16"/>
      <c r="B2972" s="16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</row>
    <row r="2973" spans="1:18" x14ac:dyDescent="0.2">
      <c r="A2973" s="16"/>
      <c r="B2973" s="16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</row>
    <row r="2974" spans="1:18" x14ac:dyDescent="0.2">
      <c r="A2974" s="16"/>
      <c r="B2974" s="16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</row>
    <row r="2975" spans="1:18" x14ac:dyDescent="0.2">
      <c r="A2975" s="16"/>
      <c r="B2975" s="16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</row>
    <row r="2976" spans="1:18" x14ac:dyDescent="0.2">
      <c r="A2976" s="16"/>
      <c r="B2976" s="16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</row>
    <row r="2977" spans="1:18" x14ac:dyDescent="0.2">
      <c r="A2977" s="16"/>
      <c r="B2977" s="16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</row>
    <row r="2978" spans="1:18" x14ac:dyDescent="0.2">
      <c r="A2978" s="16"/>
      <c r="B2978" s="16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</row>
    <row r="2979" spans="1:18" x14ac:dyDescent="0.2">
      <c r="A2979" s="16"/>
      <c r="B2979" s="16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</row>
    <row r="2980" spans="1:18" x14ac:dyDescent="0.2">
      <c r="A2980" s="16"/>
      <c r="B2980" s="16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</row>
    <row r="2981" spans="1:18" x14ac:dyDescent="0.2">
      <c r="A2981" s="16"/>
      <c r="B2981" s="16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</row>
    <row r="2982" spans="1:18" x14ac:dyDescent="0.2">
      <c r="A2982" s="16"/>
      <c r="B2982" s="16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</row>
    <row r="2983" spans="1:18" x14ac:dyDescent="0.2">
      <c r="A2983" s="16"/>
      <c r="B2983" s="16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</row>
    <row r="2984" spans="1:18" x14ac:dyDescent="0.2">
      <c r="A2984" s="16"/>
      <c r="B2984" s="16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</row>
    <row r="2985" spans="1:18" x14ac:dyDescent="0.2">
      <c r="A2985" s="16"/>
      <c r="B2985" s="16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</row>
    <row r="2986" spans="1:18" x14ac:dyDescent="0.2">
      <c r="A2986" s="16"/>
      <c r="B2986" s="16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</row>
    <row r="2987" spans="1:18" x14ac:dyDescent="0.2">
      <c r="A2987" s="16"/>
      <c r="B2987" s="16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</row>
    <row r="2988" spans="1:18" x14ac:dyDescent="0.2">
      <c r="A2988" s="16"/>
      <c r="B2988" s="16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</row>
    <row r="2989" spans="1:18" x14ac:dyDescent="0.2">
      <c r="A2989" s="16"/>
      <c r="B2989" s="16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</row>
    <row r="2990" spans="1:18" x14ac:dyDescent="0.2">
      <c r="A2990" s="16"/>
      <c r="B2990" s="16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</row>
    <row r="2991" spans="1:18" x14ac:dyDescent="0.2">
      <c r="A2991" s="16"/>
      <c r="B2991" s="16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</row>
    <row r="2992" spans="1:18" x14ac:dyDescent="0.2">
      <c r="A2992" s="16"/>
      <c r="B2992" s="16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</row>
    <row r="2993" spans="1:18" x14ac:dyDescent="0.2">
      <c r="A2993" s="16"/>
      <c r="B2993" s="16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</row>
    <row r="2994" spans="1:18" x14ac:dyDescent="0.2">
      <c r="A2994" s="16"/>
      <c r="B2994" s="16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</row>
    <row r="2995" spans="1:18" x14ac:dyDescent="0.2">
      <c r="A2995" s="16"/>
      <c r="B2995" s="16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</row>
    <row r="2996" spans="1:18" x14ac:dyDescent="0.2">
      <c r="A2996" s="16"/>
      <c r="B2996" s="16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</row>
    <row r="2997" spans="1:18" x14ac:dyDescent="0.2">
      <c r="A2997" s="16"/>
      <c r="B2997" s="16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</row>
    <row r="2998" spans="1:18" x14ac:dyDescent="0.2">
      <c r="A2998" s="16"/>
      <c r="B2998" s="16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</row>
    <row r="2999" spans="1:18" x14ac:dyDescent="0.2">
      <c r="A2999" s="16"/>
      <c r="B2999" s="16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</row>
    <row r="3000" spans="1:18" x14ac:dyDescent="0.2">
      <c r="A3000" s="16"/>
      <c r="B3000" s="16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</row>
    <row r="3001" spans="1:18" x14ac:dyDescent="0.2">
      <c r="A3001" s="16"/>
      <c r="B3001" s="16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</row>
    <row r="3002" spans="1:18" x14ac:dyDescent="0.2">
      <c r="A3002" s="16"/>
      <c r="B3002" s="16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</row>
    <row r="3003" spans="1:18" x14ac:dyDescent="0.2">
      <c r="A3003" s="16"/>
      <c r="B3003" s="16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</row>
    <row r="3004" spans="1:18" x14ac:dyDescent="0.2">
      <c r="A3004" s="16"/>
      <c r="B3004" s="16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</row>
    <row r="3005" spans="1:18" x14ac:dyDescent="0.2">
      <c r="A3005" s="16"/>
      <c r="B3005" s="16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</row>
    <row r="3006" spans="1:18" x14ac:dyDescent="0.2">
      <c r="A3006" s="16"/>
      <c r="B3006" s="16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</row>
    <row r="3007" spans="1:18" x14ac:dyDescent="0.2">
      <c r="A3007" s="16"/>
      <c r="B3007" s="16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</row>
    <row r="3008" spans="1:18" x14ac:dyDescent="0.2">
      <c r="A3008" s="16"/>
      <c r="B3008" s="16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</row>
    <row r="3009" spans="1:18" x14ac:dyDescent="0.2">
      <c r="A3009" s="16"/>
      <c r="B3009" s="16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</row>
    <row r="3010" spans="1:18" x14ac:dyDescent="0.2">
      <c r="A3010" s="16"/>
      <c r="B3010" s="16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</row>
    <row r="3011" spans="1:18" x14ac:dyDescent="0.2">
      <c r="A3011" s="16"/>
      <c r="B3011" s="16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</row>
    <row r="3012" spans="1:18" x14ac:dyDescent="0.2">
      <c r="A3012" s="16"/>
      <c r="B3012" s="16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</row>
    <row r="3013" spans="1:18" x14ac:dyDescent="0.2">
      <c r="A3013" s="16"/>
      <c r="B3013" s="16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</row>
    <row r="3014" spans="1:18" x14ac:dyDescent="0.2">
      <c r="A3014" s="16"/>
      <c r="B3014" s="16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</row>
    <row r="3015" spans="1:18" x14ac:dyDescent="0.2">
      <c r="A3015" s="16"/>
      <c r="B3015" s="16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</row>
    <row r="3016" spans="1:18" x14ac:dyDescent="0.2">
      <c r="A3016" s="16"/>
      <c r="B3016" s="16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</row>
    <row r="3017" spans="1:18" x14ac:dyDescent="0.2">
      <c r="A3017" s="16"/>
      <c r="B3017" s="16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</row>
    <row r="3018" spans="1:18" x14ac:dyDescent="0.2">
      <c r="A3018" s="16"/>
      <c r="B3018" s="16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</row>
    <row r="3019" spans="1:18" x14ac:dyDescent="0.2">
      <c r="A3019" s="16"/>
      <c r="B3019" s="16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</row>
    <row r="3020" spans="1:18" x14ac:dyDescent="0.2">
      <c r="A3020" s="16"/>
      <c r="B3020" s="16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</row>
    <row r="3021" spans="1:18" x14ac:dyDescent="0.2">
      <c r="A3021" s="16"/>
      <c r="B3021" s="16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</row>
    <row r="3022" spans="1:18" x14ac:dyDescent="0.2">
      <c r="A3022" s="16"/>
      <c r="B3022" s="16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</row>
    <row r="3023" spans="1:18" x14ac:dyDescent="0.2">
      <c r="A3023" s="16"/>
      <c r="B3023" s="16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</row>
    <row r="3024" spans="1:18" x14ac:dyDescent="0.2">
      <c r="A3024" s="16"/>
      <c r="B3024" s="16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</row>
    <row r="3025" spans="1:18" x14ac:dyDescent="0.2">
      <c r="A3025" s="16"/>
      <c r="B3025" s="16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</row>
    <row r="3026" spans="1:18" x14ac:dyDescent="0.2">
      <c r="A3026" s="16"/>
      <c r="B3026" s="16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</row>
    <row r="3027" spans="1:18" x14ac:dyDescent="0.2">
      <c r="A3027" s="16"/>
      <c r="B3027" s="16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</row>
    <row r="3028" spans="1:18" x14ac:dyDescent="0.2">
      <c r="A3028" s="16"/>
      <c r="B3028" s="16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</row>
    <row r="3029" spans="1:18" x14ac:dyDescent="0.2">
      <c r="A3029" s="16"/>
      <c r="B3029" s="16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</row>
    <row r="3030" spans="1:18" x14ac:dyDescent="0.2">
      <c r="A3030" s="16"/>
      <c r="B3030" s="16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</row>
    <row r="3031" spans="1:18" x14ac:dyDescent="0.2">
      <c r="A3031" s="16"/>
      <c r="B3031" s="16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</row>
    <row r="3032" spans="1:18" x14ac:dyDescent="0.2">
      <c r="A3032" s="16"/>
      <c r="B3032" s="16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</row>
    <row r="3033" spans="1:18" x14ac:dyDescent="0.2">
      <c r="A3033" s="16"/>
      <c r="B3033" s="16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</row>
    <row r="3034" spans="1:18" x14ac:dyDescent="0.2">
      <c r="A3034" s="16"/>
      <c r="B3034" s="16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</row>
    <row r="3035" spans="1:18" x14ac:dyDescent="0.2">
      <c r="A3035" s="16"/>
      <c r="B3035" s="16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</row>
    <row r="3036" spans="1:18" x14ac:dyDescent="0.2">
      <c r="A3036" s="16"/>
      <c r="B3036" s="16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</row>
    <row r="3037" spans="1:18" x14ac:dyDescent="0.2">
      <c r="A3037" s="16"/>
      <c r="B3037" s="16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</row>
    <row r="3038" spans="1:18" x14ac:dyDescent="0.2">
      <c r="A3038" s="16"/>
      <c r="B3038" s="16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</row>
    <row r="3039" spans="1:18" x14ac:dyDescent="0.2">
      <c r="A3039" s="16"/>
      <c r="B3039" s="16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</row>
    <row r="3040" spans="1:18" x14ac:dyDescent="0.2">
      <c r="A3040" s="16"/>
      <c r="B3040" s="16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</row>
    <row r="3041" spans="1:18" x14ac:dyDescent="0.2">
      <c r="A3041" s="16"/>
      <c r="B3041" s="16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</row>
    <row r="3042" spans="1:18" x14ac:dyDescent="0.2">
      <c r="A3042" s="16"/>
      <c r="B3042" s="16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</row>
    <row r="3043" spans="1:18" x14ac:dyDescent="0.2">
      <c r="A3043" s="16"/>
      <c r="B3043" s="16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</row>
    <row r="3044" spans="1:18" x14ac:dyDescent="0.2">
      <c r="A3044" s="16"/>
      <c r="B3044" s="16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</row>
    <row r="3045" spans="1:18" x14ac:dyDescent="0.2">
      <c r="A3045" s="16"/>
      <c r="B3045" s="16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</row>
    <row r="3046" spans="1:18" x14ac:dyDescent="0.2">
      <c r="A3046" s="16"/>
      <c r="B3046" s="16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</row>
    <row r="3047" spans="1:18" x14ac:dyDescent="0.2">
      <c r="A3047" s="16"/>
      <c r="B3047" s="16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</row>
    <row r="3048" spans="1:18" x14ac:dyDescent="0.2">
      <c r="A3048" s="16"/>
      <c r="B3048" s="16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</row>
    <row r="3049" spans="1:18" x14ac:dyDescent="0.2">
      <c r="A3049" s="16"/>
      <c r="B3049" s="16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</row>
    <row r="3050" spans="1:18" x14ac:dyDescent="0.2">
      <c r="A3050" s="16"/>
      <c r="B3050" s="16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</row>
    <row r="3051" spans="1:18" x14ac:dyDescent="0.2">
      <c r="A3051" s="16"/>
      <c r="B3051" s="16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</row>
    <row r="3052" spans="1:18" x14ac:dyDescent="0.2">
      <c r="A3052" s="16"/>
      <c r="B3052" s="16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</row>
    <row r="3053" spans="1:18" x14ac:dyDescent="0.2">
      <c r="A3053" s="16"/>
      <c r="B3053" s="16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</row>
    <row r="3054" spans="1:18" x14ac:dyDescent="0.2">
      <c r="A3054" s="16"/>
      <c r="B3054" s="16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</row>
    <row r="3055" spans="1:18" x14ac:dyDescent="0.2">
      <c r="A3055" s="16"/>
      <c r="B3055" s="16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</row>
    <row r="3056" spans="1:18" x14ac:dyDescent="0.2">
      <c r="A3056" s="16"/>
      <c r="B3056" s="16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</row>
    <row r="3057" spans="1:18" x14ac:dyDescent="0.2">
      <c r="A3057" s="16"/>
      <c r="B3057" s="16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</row>
    <row r="3058" spans="1:18" x14ac:dyDescent="0.2">
      <c r="A3058" s="16"/>
      <c r="B3058" s="16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</row>
    <row r="3059" spans="1:18" x14ac:dyDescent="0.2">
      <c r="A3059" s="16"/>
      <c r="B3059" s="16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</row>
    <row r="3060" spans="1:18" x14ac:dyDescent="0.2">
      <c r="A3060" s="16"/>
      <c r="B3060" s="16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</row>
    <row r="3061" spans="1:18" x14ac:dyDescent="0.2">
      <c r="A3061" s="16"/>
      <c r="B3061" s="16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</row>
    <row r="3062" spans="1:18" x14ac:dyDescent="0.2">
      <c r="A3062" s="16"/>
      <c r="B3062" s="16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</row>
    <row r="3063" spans="1:18" x14ac:dyDescent="0.2">
      <c r="A3063" s="16"/>
      <c r="B3063" s="16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</row>
    <row r="3064" spans="1:18" x14ac:dyDescent="0.2">
      <c r="A3064" s="16"/>
      <c r="B3064" s="16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</row>
    <row r="3065" spans="1:18" x14ac:dyDescent="0.2">
      <c r="A3065" s="16"/>
      <c r="B3065" s="16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</row>
    <row r="3066" spans="1:18" x14ac:dyDescent="0.2">
      <c r="A3066" s="16"/>
      <c r="B3066" s="16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</row>
    <row r="3067" spans="1:18" x14ac:dyDescent="0.2">
      <c r="A3067" s="16"/>
      <c r="B3067" s="16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</row>
    <row r="3068" spans="1:18" x14ac:dyDescent="0.2">
      <c r="A3068" s="16"/>
      <c r="B3068" s="16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</row>
    <row r="3069" spans="1:18" x14ac:dyDescent="0.2">
      <c r="A3069" s="16"/>
      <c r="B3069" s="16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</row>
    <row r="3070" spans="1:18" x14ac:dyDescent="0.2">
      <c r="A3070" s="16"/>
      <c r="B3070" s="16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</row>
    <row r="3071" spans="1:18" x14ac:dyDescent="0.2">
      <c r="A3071" s="16"/>
      <c r="B3071" s="16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</row>
    <row r="3072" spans="1:18" x14ac:dyDescent="0.2">
      <c r="A3072" s="16"/>
      <c r="B3072" s="16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</row>
    <row r="3073" spans="1:18" x14ac:dyDescent="0.2">
      <c r="A3073" s="16"/>
      <c r="B3073" s="16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</row>
    <row r="3074" spans="1:18" x14ac:dyDescent="0.2">
      <c r="A3074" s="16"/>
      <c r="B3074" s="16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</row>
    <row r="3075" spans="1:18" x14ac:dyDescent="0.2">
      <c r="A3075" s="16"/>
      <c r="B3075" s="16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</row>
    <row r="3076" spans="1:18" x14ac:dyDescent="0.2">
      <c r="A3076" s="16"/>
      <c r="B3076" s="16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</row>
    <row r="3077" spans="1:18" x14ac:dyDescent="0.2">
      <c r="A3077" s="16"/>
      <c r="B3077" s="16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</row>
    <row r="3078" spans="1:18" x14ac:dyDescent="0.2">
      <c r="A3078" s="16"/>
      <c r="B3078" s="16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</row>
    <row r="3079" spans="1:18" x14ac:dyDescent="0.2">
      <c r="A3079" s="16"/>
      <c r="B3079" s="16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</row>
    <row r="3080" spans="1:18" x14ac:dyDescent="0.2">
      <c r="A3080" s="16"/>
      <c r="B3080" s="16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</row>
    <row r="3081" spans="1:18" x14ac:dyDescent="0.2">
      <c r="A3081" s="16"/>
      <c r="B3081" s="16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</row>
    <row r="3082" spans="1:18" x14ac:dyDescent="0.2">
      <c r="A3082" s="16"/>
      <c r="B3082" s="16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</row>
    <row r="3083" spans="1:18" x14ac:dyDescent="0.2">
      <c r="A3083" s="16"/>
      <c r="B3083" s="16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</row>
    <row r="3084" spans="1:18" x14ac:dyDescent="0.2">
      <c r="A3084" s="16"/>
      <c r="B3084" s="16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</row>
    <row r="3085" spans="1:18" x14ac:dyDescent="0.2">
      <c r="A3085" s="16"/>
      <c r="B3085" s="16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</row>
    <row r="3086" spans="1:18" x14ac:dyDescent="0.2">
      <c r="A3086" s="16"/>
      <c r="B3086" s="16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</row>
    <row r="3087" spans="1:18" x14ac:dyDescent="0.2">
      <c r="A3087" s="16"/>
      <c r="B3087" s="16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</row>
    <row r="3088" spans="1:18" x14ac:dyDescent="0.2">
      <c r="A3088" s="16"/>
      <c r="B3088" s="16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</row>
    <row r="3089" spans="1:18" x14ac:dyDescent="0.2">
      <c r="A3089" s="16"/>
      <c r="B3089" s="16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</row>
    <row r="3090" spans="1:18" x14ac:dyDescent="0.2">
      <c r="A3090" s="16"/>
      <c r="B3090" s="16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</row>
    <row r="3091" spans="1:18" x14ac:dyDescent="0.2">
      <c r="A3091" s="16"/>
      <c r="B3091" s="16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</row>
    <row r="3092" spans="1:18" x14ac:dyDescent="0.2">
      <c r="A3092" s="16"/>
      <c r="B3092" s="16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</row>
    <row r="3093" spans="1:18" x14ac:dyDescent="0.2">
      <c r="A3093" s="16"/>
      <c r="B3093" s="16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</row>
    <row r="3094" spans="1:18" x14ac:dyDescent="0.2">
      <c r="A3094" s="16"/>
      <c r="B3094" s="16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</row>
    <row r="3095" spans="1:18" x14ac:dyDescent="0.2">
      <c r="A3095" s="16"/>
      <c r="B3095" s="16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</row>
    <row r="3096" spans="1:18" x14ac:dyDescent="0.2">
      <c r="A3096" s="16"/>
      <c r="B3096" s="16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</row>
    <row r="3097" spans="1:18" x14ac:dyDescent="0.2">
      <c r="A3097" s="16"/>
      <c r="B3097" s="16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</row>
    <row r="3098" spans="1:18" x14ac:dyDescent="0.2">
      <c r="A3098" s="16"/>
      <c r="B3098" s="16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</row>
    <row r="3099" spans="1:18" x14ac:dyDescent="0.2">
      <c r="A3099" s="16"/>
      <c r="B3099" s="16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</row>
    <row r="3100" spans="1:18" x14ac:dyDescent="0.2">
      <c r="A3100" s="16"/>
      <c r="B3100" s="16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</row>
    <row r="3101" spans="1:18" x14ac:dyDescent="0.2">
      <c r="A3101" s="16"/>
      <c r="B3101" s="16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</row>
    <row r="3102" spans="1:18" x14ac:dyDescent="0.2">
      <c r="A3102" s="16"/>
      <c r="B3102" s="16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</row>
    <row r="3103" spans="1:18" x14ac:dyDescent="0.2">
      <c r="A3103" s="16"/>
      <c r="B3103" s="16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</row>
    <row r="3104" spans="1:18" x14ac:dyDescent="0.2">
      <c r="A3104" s="16"/>
      <c r="B3104" s="16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</row>
    <row r="3105" spans="1:18" x14ac:dyDescent="0.2">
      <c r="A3105" s="16"/>
      <c r="B3105" s="16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</row>
    <row r="3106" spans="1:18" x14ac:dyDescent="0.2">
      <c r="A3106" s="16"/>
      <c r="B3106" s="16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</row>
    <row r="3107" spans="1:18" x14ac:dyDescent="0.2">
      <c r="A3107" s="16"/>
      <c r="B3107" s="16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</row>
    <row r="3108" spans="1:18" x14ac:dyDescent="0.2">
      <c r="A3108" s="16"/>
      <c r="B3108" s="16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</row>
    <row r="3109" spans="1:18" x14ac:dyDescent="0.2">
      <c r="A3109" s="16"/>
      <c r="B3109" s="16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</row>
    <row r="3110" spans="1:18" x14ac:dyDescent="0.2">
      <c r="A3110" s="16"/>
      <c r="B3110" s="16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</row>
    <row r="3111" spans="1:18" x14ac:dyDescent="0.2">
      <c r="A3111" s="16"/>
      <c r="B3111" s="16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</row>
    <row r="3112" spans="1:18" x14ac:dyDescent="0.2">
      <c r="A3112" s="16"/>
      <c r="B3112" s="16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</row>
    <row r="3113" spans="1:18" x14ac:dyDescent="0.2">
      <c r="A3113" s="16"/>
      <c r="B3113" s="16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</row>
    <row r="3114" spans="1:18" x14ac:dyDescent="0.2">
      <c r="A3114" s="16"/>
      <c r="B3114" s="16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</row>
    <row r="3115" spans="1:18" x14ac:dyDescent="0.2">
      <c r="A3115" s="16"/>
      <c r="B3115" s="16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</row>
    <row r="3116" spans="1:18" x14ac:dyDescent="0.2">
      <c r="A3116" s="16"/>
      <c r="B3116" s="16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</row>
    <row r="3117" spans="1:18" x14ac:dyDescent="0.2">
      <c r="A3117" s="16"/>
      <c r="B3117" s="16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</row>
    <row r="3118" spans="1:18" x14ac:dyDescent="0.2">
      <c r="A3118" s="16"/>
      <c r="B3118" s="16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</row>
    <row r="3119" spans="1:18" x14ac:dyDescent="0.2">
      <c r="A3119" s="16"/>
      <c r="B3119" s="16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</row>
    <row r="3120" spans="1:18" x14ac:dyDescent="0.2">
      <c r="A3120" s="16"/>
      <c r="B3120" s="16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</row>
    <row r="3121" spans="1:18" x14ac:dyDescent="0.2">
      <c r="A3121" s="16"/>
      <c r="B3121" s="16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</row>
    <row r="3122" spans="1:18" x14ac:dyDescent="0.2">
      <c r="A3122" s="16"/>
      <c r="B3122" s="16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</row>
    <row r="3123" spans="1:18" x14ac:dyDescent="0.2">
      <c r="A3123" s="16"/>
      <c r="B3123" s="16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</row>
    <row r="3124" spans="1:18" x14ac:dyDescent="0.2">
      <c r="A3124" s="16"/>
      <c r="B3124" s="16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</row>
    <row r="3125" spans="1:18" x14ac:dyDescent="0.2">
      <c r="A3125" s="16"/>
      <c r="B3125" s="16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</row>
    <row r="3126" spans="1:18" x14ac:dyDescent="0.2">
      <c r="A3126" s="16"/>
      <c r="B3126" s="16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</row>
    <row r="3127" spans="1:18" x14ac:dyDescent="0.2">
      <c r="A3127" s="16"/>
      <c r="B3127" s="16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</row>
    <row r="3128" spans="1:18" x14ac:dyDescent="0.2">
      <c r="A3128" s="16"/>
      <c r="B3128" s="16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</row>
    <row r="3129" spans="1:18" x14ac:dyDescent="0.2">
      <c r="A3129" s="16"/>
      <c r="B3129" s="16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</row>
    <row r="3130" spans="1:18" x14ac:dyDescent="0.2">
      <c r="A3130" s="16"/>
      <c r="B3130" s="16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</row>
    <row r="3131" spans="1:18" x14ac:dyDescent="0.2">
      <c r="A3131" s="16"/>
      <c r="B3131" s="16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</row>
    <row r="3132" spans="1:18" x14ac:dyDescent="0.2">
      <c r="A3132" s="16"/>
      <c r="B3132" s="16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</row>
    <row r="3133" spans="1:18" x14ac:dyDescent="0.2">
      <c r="A3133" s="16"/>
      <c r="B3133" s="16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</row>
    <row r="3134" spans="1:18" x14ac:dyDescent="0.2">
      <c r="A3134" s="16"/>
      <c r="B3134" s="16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</row>
    <row r="3135" spans="1:18" x14ac:dyDescent="0.2">
      <c r="A3135" s="16"/>
      <c r="B3135" s="16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</row>
    <row r="3136" spans="1:18" x14ac:dyDescent="0.2">
      <c r="A3136" s="16"/>
      <c r="B3136" s="16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</row>
    <row r="3137" spans="1:18" x14ac:dyDescent="0.2">
      <c r="A3137" s="16"/>
      <c r="B3137" s="16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</row>
    <row r="3138" spans="1:18" x14ac:dyDescent="0.2">
      <c r="A3138" s="16"/>
      <c r="B3138" s="16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</row>
    <row r="3139" spans="1:18" x14ac:dyDescent="0.2">
      <c r="A3139" s="16"/>
      <c r="B3139" s="16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</row>
    <row r="3140" spans="1:18" x14ac:dyDescent="0.2">
      <c r="A3140" s="16"/>
      <c r="B3140" s="16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</row>
    <row r="3141" spans="1:18" x14ac:dyDescent="0.2">
      <c r="A3141" s="16"/>
      <c r="B3141" s="16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</row>
    <row r="3142" spans="1:18" x14ac:dyDescent="0.2">
      <c r="A3142" s="16"/>
      <c r="B3142" s="16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</row>
    <row r="3143" spans="1:18" x14ac:dyDescent="0.2">
      <c r="A3143" s="16"/>
      <c r="B3143" s="16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</row>
    <row r="3144" spans="1:18" x14ac:dyDescent="0.2">
      <c r="A3144" s="16"/>
      <c r="B3144" s="16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</row>
    <row r="3145" spans="1:18" x14ac:dyDescent="0.2">
      <c r="A3145" s="16"/>
      <c r="B3145" s="16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</row>
    <row r="3146" spans="1:18" x14ac:dyDescent="0.2">
      <c r="A3146" s="16"/>
      <c r="B3146" s="16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</row>
    <row r="3147" spans="1:18" x14ac:dyDescent="0.2">
      <c r="A3147" s="16"/>
      <c r="B3147" s="16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</row>
    <row r="3148" spans="1:18" x14ac:dyDescent="0.2">
      <c r="A3148" s="16"/>
      <c r="B3148" s="16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</row>
    <row r="3149" spans="1:18" x14ac:dyDescent="0.2">
      <c r="A3149" s="16"/>
      <c r="B3149" s="16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</row>
    <row r="3150" spans="1:18" x14ac:dyDescent="0.2">
      <c r="A3150" s="16"/>
      <c r="B3150" s="16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</row>
    <row r="3151" spans="1:18" x14ac:dyDescent="0.2">
      <c r="A3151" s="16"/>
      <c r="B3151" s="16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</row>
    <row r="3152" spans="1:18" x14ac:dyDescent="0.2">
      <c r="A3152" s="16"/>
      <c r="B3152" s="16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</row>
    <row r="3153" spans="1:18" x14ac:dyDescent="0.2">
      <c r="A3153" s="16"/>
      <c r="B3153" s="16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</row>
    <row r="3154" spans="1:18" x14ac:dyDescent="0.2">
      <c r="A3154" s="16"/>
      <c r="B3154" s="16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</row>
    <row r="3155" spans="1:18" x14ac:dyDescent="0.2">
      <c r="A3155" s="16"/>
      <c r="B3155" s="16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</row>
    <row r="3156" spans="1:18" x14ac:dyDescent="0.2">
      <c r="A3156" s="16"/>
      <c r="B3156" s="16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</row>
    <row r="3157" spans="1:18" x14ac:dyDescent="0.2">
      <c r="A3157" s="16"/>
      <c r="B3157" s="16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</row>
    <row r="3158" spans="1:18" x14ac:dyDescent="0.2">
      <c r="A3158" s="16"/>
      <c r="B3158" s="16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</row>
    <row r="3159" spans="1:18" x14ac:dyDescent="0.2">
      <c r="A3159" s="16"/>
      <c r="B3159" s="16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</row>
    <row r="3160" spans="1:18" x14ac:dyDescent="0.2">
      <c r="A3160" s="16"/>
      <c r="B3160" s="16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</row>
    <row r="3161" spans="1:18" x14ac:dyDescent="0.2">
      <c r="A3161" s="16"/>
      <c r="B3161" s="16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</row>
    <row r="3162" spans="1:18" x14ac:dyDescent="0.2">
      <c r="A3162" s="16"/>
      <c r="B3162" s="16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</row>
    <row r="3163" spans="1:18" x14ac:dyDescent="0.2">
      <c r="A3163" s="16"/>
      <c r="B3163" s="16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</row>
    <row r="3164" spans="1:18" x14ac:dyDescent="0.2">
      <c r="A3164" s="16"/>
      <c r="B3164" s="16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</row>
    <row r="3165" spans="1:18" x14ac:dyDescent="0.2">
      <c r="A3165" s="16"/>
      <c r="B3165" s="16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</row>
    <row r="3166" spans="1:18" x14ac:dyDescent="0.2">
      <c r="A3166" s="16"/>
      <c r="B3166" s="16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</row>
    <row r="3167" spans="1:18" x14ac:dyDescent="0.2">
      <c r="A3167" s="16"/>
      <c r="B3167" s="16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</row>
    <row r="3168" spans="1:18" x14ac:dyDescent="0.2">
      <c r="A3168" s="16"/>
      <c r="B3168" s="16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</row>
    <row r="3169" spans="1:18" x14ac:dyDescent="0.2">
      <c r="A3169" s="16"/>
      <c r="B3169" s="16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</row>
    <row r="3170" spans="1:18" x14ac:dyDescent="0.2">
      <c r="A3170" s="16"/>
      <c r="B3170" s="16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</row>
    <row r="3171" spans="1:18" x14ac:dyDescent="0.2">
      <c r="A3171" s="16"/>
      <c r="B3171" s="16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</row>
    <row r="3172" spans="1:18" x14ac:dyDescent="0.2">
      <c r="A3172" s="16"/>
      <c r="B3172" s="16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</row>
    <row r="3173" spans="1:18" x14ac:dyDescent="0.2">
      <c r="A3173" s="16"/>
      <c r="B3173" s="16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</row>
    <row r="3174" spans="1:18" x14ac:dyDescent="0.2">
      <c r="A3174" s="16"/>
      <c r="B3174" s="16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</row>
    <row r="3175" spans="1:18" x14ac:dyDescent="0.2">
      <c r="A3175" s="16"/>
      <c r="B3175" s="16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</row>
    <row r="3176" spans="1:18" x14ac:dyDescent="0.2">
      <c r="A3176" s="16"/>
      <c r="B3176" s="16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</row>
    <row r="3177" spans="1:18" x14ac:dyDescent="0.2">
      <c r="A3177" s="16"/>
      <c r="B3177" s="16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</row>
    <row r="3178" spans="1:18" x14ac:dyDescent="0.2">
      <c r="A3178" s="16"/>
      <c r="B3178" s="16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</row>
    <row r="3179" spans="1:18" x14ac:dyDescent="0.2">
      <c r="A3179" s="16"/>
      <c r="B3179" s="16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</row>
    <row r="3180" spans="1:18" x14ac:dyDescent="0.2">
      <c r="A3180" s="16"/>
      <c r="B3180" s="16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</row>
    <row r="3181" spans="1:18" x14ac:dyDescent="0.2">
      <c r="A3181" s="16"/>
      <c r="B3181" s="16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</row>
    <row r="3182" spans="1:18" x14ac:dyDescent="0.2">
      <c r="A3182" s="16"/>
      <c r="B3182" s="16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</row>
    <row r="3183" spans="1:18" x14ac:dyDescent="0.2">
      <c r="A3183" s="16"/>
      <c r="B3183" s="16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</row>
    <row r="3184" spans="1:18" x14ac:dyDescent="0.2">
      <c r="A3184" s="16"/>
      <c r="B3184" s="16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</row>
    <row r="3185" spans="1:18" x14ac:dyDescent="0.2">
      <c r="A3185" s="16"/>
      <c r="B3185" s="16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</row>
    <row r="3186" spans="1:18" x14ac:dyDescent="0.2">
      <c r="A3186" s="16"/>
      <c r="B3186" s="16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</row>
    <row r="3187" spans="1:18" x14ac:dyDescent="0.2">
      <c r="A3187" s="16"/>
      <c r="B3187" s="16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</row>
    <row r="3188" spans="1:18" x14ac:dyDescent="0.2">
      <c r="A3188" s="16"/>
      <c r="B3188" s="16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</row>
    <row r="3189" spans="1:18" x14ac:dyDescent="0.2">
      <c r="A3189" s="16"/>
      <c r="B3189" s="16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</row>
    <row r="3190" spans="1:18" x14ac:dyDescent="0.2">
      <c r="A3190" s="16"/>
      <c r="B3190" s="16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</row>
    <row r="3191" spans="1:18" x14ac:dyDescent="0.2">
      <c r="A3191" s="16"/>
      <c r="B3191" s="16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</row>
    <row r="3192" spans="1:18" x14ac:dyDescent="0.2">
      <c r="A3192" s="16"/>
      <c r="B3192" s="16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</row>
    <row r="3193" spans="1:18" x14ac:dyDescent="0.2">
      <c r="A3193" s="16"/>
      <c r="B3193" s="16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</row>
    <row r="3194" spans="1:18" x14ac:dyDescent="0.2">
      <c r="A3194" s="16"/>
      <c r="B3194" s="16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</row>
    <row r="3195" spans="1:18" x14ac:dyDescent="0.2">
      <c r="A3195" s="16"/>
      <c r="B3195" s="16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</row>
    <row r="3196" spans="1:18" x14ac:dyDescent="0.2">
      <c r="A3196" s="16"/>
      <c r="B3196" s="16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</row>
    <row r="3197" spans="1:18" x14ac:dyDescent="0.2">
      <c r="A3197" s="16"/>
      <c r="B3197" s="16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</row>
    <row r="3198" spans="1:18" x14ac:dyDescent="0.2">
      <c r="A3198" s="16"/>
      <c r="B3198" s="16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</row>
    <row r="3199" spans="1:18" x14ac:dyDescent="0.2">
      <c r="A3199" s="16"/>
      <c r="B3199" s="16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</row>
    <row r="3200" spans="1:18" x14ac:dyDescent="0.2">
      <c r="A3200" s="16"/>
      <c r="B3200" s="16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</row>
    <row r="3201" spans="1:18" x14ac:dyDescent="0.2">
      <c r="A3201" s="16"/>
      <c r="B3201" s="16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</row>
    <row r="3202" spans="1:18" x14ac:dyDescent="0.2">
      <c r="A3202" s="16"/>
      <c r="B3202" s="16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</row>
    <row r="3203" spans="1:18" x14ac:dyDescent="0.2">
      <c r="A3203" s="16"/>
      <c r="B3203" s="16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</row>
    <row r="3204" spans="1:18" x14ac:dyDescent="0.2">
      <c r="A3204" s="16"/>
      <c r="B3204" s="16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</row>
    <row r="3205" spans="1:18" x14ac:dyDescent="0.2">
      <c r="A3205" s="16"/>
      <c r="B3205" s="16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</row>
    <row r="3206" spans="1:18" x14ac:dyDescent="0.2">
      <c r="A3206" s="16"/>
      <c r="B3206" s="16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</row>
    <row r="3207" spans="1:18" x14ac:dyDescent="0.2">
      <c r="A3207" s="16"/>
      <c r="B3207" s="16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</row>
    <row r="3208" spans="1:18" x14ac:dyDescent="0.2">
      <c r="A3208" s="16"/>
      <c r="B3208" s="16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</row>
    <row r="3209" spans="1:18" x14ac:dyDescent="0.2">
      <c r="A3209" s="16"/>
      <c r="B3209" s="16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</row>
    <row r="3210" spans="1:18" x14ac:dyDescent="0.2">
      <c r="A3210" s="16"/>
      <c r="B3210" s="16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</row>
    <row r="3211" spans="1:18" x14ac:dyDescent="0.2">
      <c r="A3211" s="16"/>
      <c r="B3211" s="16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</row>
    <row r="3212" spans="1:18" x14ac:dyDescent="0.2">
      <c r="A3212" s="16"/>
      <c r="B3212" s="16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</row>
    <row r="3213" spans="1:18" x14ac:dyDescent="0.2">
      <c r="A3213" s="16"/>
      <c r="B3213" s="16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</row>
    <row r="3214" spans="1:18" x14ac:dyDescent="0.2">
      <c r="A3214" s="16"/>
      <c r="B3214" s="16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</row>
    <row r="3215" spans="1:18" x14ac:dyDescent="0.2">
      <c r="A3215" s="16"/>
      <c r="B3215" s="16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</row>
    <row r="3216" spans="1:18" x14ac:dyDescent="0.2">
      <c r="A3216" s="16"/>
      <c r="B3216" s="16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</row>
    <row r="3217" spans="1:18" x14ac:dyDescent="0.2">
      <c r="A3217" s="16"/>
      <c r="B3217" s="16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</row>
    <row r="3218" spans="1:18" x14ac:dyDescent="0.2">
      <c r="A3218" s="16"/>
      <c r="B3218" s="16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</row>
    <row r="3219" spans="1:18" x14ac:dyDescent="0.2">
      <c r="A3219" s="16"/>
      <c r="B3219" s="16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</row>
    <row r="3220" spans="1:18" x14ac:dyDescent="0.2">
      <c r="A3220" s="16"/>
      <c r="B3220" s="16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</row>
    <row r="3221" spans="1:18" x14ac:dyDescent="0.2">
      <c r="A3221" s="16"/>
      <c r="B3221" s="16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</row>
    <row r="3222" spans="1:18" x14ac:dyDescent="0.2">
      <c r="A3222" s="16"/>
      <c r="B3222" s="16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</row>
    <row r="3223" spans="1:18" x14ac:dyDescent="0.2">
      <c r="A3223" s="16"/>
      <c r="B3223" s="16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</row>
    <row r="3224" spans="1:18" x14ac:dyDescent="0.2">
      <c r="A3224" s="16"/>
      <c r="B3224" s="16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</row>
    <row r="3225" spans="1:18" x14ac:dyDescent="0.2">
      <c r="A3225" s="16"/>
      <c r="B3225" s="16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</row>
    <row r="3226" spans="1:18" x14ac:dyDescent="0.2">
      <c r="A3226" s="16"/>
      <c r="B3226" s="16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</row>
    <row r="3227" spans="1:18" x14ac:dyDescent="0.2">
      <c r="A3227" s="16"/>
      <c r="B3227" s="16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</row>
    <row r="3228" spans="1:18" x14ac:dyDescent="0.2">
      <c r="A3228" s="16"/>
      <c r="B3228" s="16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</row>
    <row r="3229" spans="1:18" x14ac:dyDescent="0.2">
      <c r="A3229" s="16"/>
      <c r="B3229" s="16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</row>
    <row r="3230" spans="1:18" x14ac:dyDescent="0.2">
      <c r="A3230" s="16"/>
      <c r="B3230" s="16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</row>
    <row r="3231" spans="1:18" x14ac:dyDescent="0.2">
      <c r="A3231" s="16"/>
      <c r="B3231" s="16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</row>
    <row r="3232" spans="1:18" x14ac:dyDescent="0.2">
      <c r="A3232" s="16"/>
      <c r="B3232" s="16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</row>
    <row r="3233" spans="1:18" x14ac:dyDescent="0.2">
      <c r="A3233" s="16"/>
      <c r="B3233" s="16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</row>
    <row r="3234" spans="1:18" x14ac:dyDescent="0.2">
      <c r="A3234" s="16"/>
      <c r="B3234" s="16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</row>
    <row r="3235" spans="1:18" x14ac:dyDescent="0.2">
      <c r="A3235" s="16"/>
      <c r="B3235" s="16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</row>
    <row r="3236" spans="1:18" x14ac:dyDescent="0.2">
      <c r="A3236" s="16"/>
      <c r="B3236" s="16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</row>
    <row r="3237" spans="1:18" x14ac:dyDescent="0.2">
      <c r="A3237" s="16"/>
      <c r="B3237" s="16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</row>
    <row r="3238" spans="1:18" x14ac:dyDescent="0.2">
      <c r="A3238" s="16"/>
      <c r="B3238" s="16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</row>
    <row r="3239" spans="1:18" x14ac:dyDescent="0.2">
      <c r="A3239" s="16"/>
      <c r="B3239" s="16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</row>
    <row r="3240" spans="1:18" x14ac:dyDescent="0.2">
      <c r="A3240" s="16"/>
      <c r="B3240" s="16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</row>
    <row r="3241" spans="1:18" x14ac:dyDescent="0.2">
      <c r="A3241" s="16"/>
      <c r="B3241" s="16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</row>
    <row r="3242" spans="1:18" x14ac:dyDescent="0.2">
      <c r="A3242" s="16"/>
      <c r="B3242" s="16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</row>
    <row r="3243" spans="1:18" x14ac:dyDescent="0.2">
      <c r="A3243" s="16"/>
      <c r="B3243" s="16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</row>
    <row r="3244" spans="1:18" x14ac:dyDescent="0.2">
      <c r="A3244" s="16"/>
      <c r="B3244" s="16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</row>
    <row r="3245" spans="1:18" x14ac:dyDescent="0.2">
      <c r="A3245" s="16"/>
      <c r="B3245" s="16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</row>
    <row r="3246" spans="1:18" x14ac:dyDescent="0.2">
      <c r="A3246" s="16"/>
      <c r="B3246" s="16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</row>
    <row r="3247" spans="1:18" x14ac:dyDescent="0.2">
      <c r="A3247" s="16"/>
      <c r="B3247" s="16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</row>
    <row r="3248" spans="1:18" x14ac:dyDescent="0.2">
      <c r="A3248" s="16"/>
      <c r="B3248" s="16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</row>
    <row r="3249" spans="1:18" x14ac:dyDescent="0.2">
      <c r="A3249" s="16"/>
      <c r="B3249" s="16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</row>
    <row r="3250" spans="1:18" x14ac:dyDescent="0.2">
      <c r="A3250" s="16"/>
      <c r="B3250" s="16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</row>
    <row r="3251" spans="1:18" x14ac:dyDescent="0.2">
      <c r="A3251" s="16"/>
      <c r="B3251" s="16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</row>
    <row r="3252" spans="1:18" x14ac:dyDescent="0.2">
      <c r="A3252" s="16"/>
      <c r="B3252" s="16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</row>
    <row r="3253" spans="1:18" x14ac:dyDescent="0.2">
      <c r="A3253" s="16"/>
      <c r="B3253" s="16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</row>
    <row r="3254" spans="1:18" x14ac:dyDescent="0.2">
      <c r="A3254" s="16"/>
      <c r="B3254" s="16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</row>
    <row r="3255" spans="1:18" x14ac:dyDescent="0.2">
      <c r="A3255" s="16"/>
      <c r="B3255" s="16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</row>
    <row r="3256" spans="1:18" x14ac:dyDescent="0.2">
      <c r="A3256" s="16"/>
      <c r="B3256" s="16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</row>
    <row r="3257" spans="1:18" x14ac:dyDescent="0.2">
      <c r="A3257" s="16"/>
      <c r="B3257" s="16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</row>
    <row r="3258" spans="1:18" x14ac:dyDescent="0.2">
      <c r="A3258" s="16"/>
      <c r="B3258" s="16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</row>
    <row r="3259" spans="1:18" x14ac:dyDescent="0.2">
      <c r="A3259" s="16"/>
      <c r="B3259" s="16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</row>
    <row r="3260" spans="1:18" x14ac:dyDescent="0.2">
      <c r="A3260" s="16"/>
      <c r="B3260" s="16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</row>
    <row r="3261" spans="1:18" x14ac:dyDescent="0.2">
      <c r="A3261" s="16"/>
      <c r="B3261" s="16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</row>
    <row r="3262" spans="1:18" x14ac:dyDescent="0.2">
      <c r="A3262" s="16"/>
      <c r="B3262" s="16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</row>
    <row r="3263" spans="1:18" x14ac:dyDescent="0.2">
      <c r="A3263" s="16"/>
      <c r="B3263" s="16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</row>
    <row r="3264" spans="1:18" x14ac:dyDescent="0.2">
      <c r="A3264" s="16"/>
      <c r="B3264" s="16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</row>
    <row r="3265" spans="1:18" x14ac:dyDescent="0.2">
      <c r="A3265" s="16"/>
      <c r="B3265" s="16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</row>
    <row r="3266" spans="1:18" x14ac:dyDescent="0.2">
      <c r="A3266" s="16"/>
      <c r="B3266" s="16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</row>
    <row r="3267" spans="1:18" x14ac:dyDescent="0.2">
      <c r="A3267" s="16"/>
      <c r="B3267" s="16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</row>
    <row r="3268" spans="1:18" x14ac:dyDescent="0.2">
      <c r="A3268" s="16"/>
      <c r="B3268" s="16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</row>
    <row r="3269" spans="1:18" x14ac:dyDescent="0.2">
      <c r="A3269" s="16"/>
      <c r="B3269" s="16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</row>
    <row r="3270" spans="1:18" x14ac:dyDescent="0.2">
      <c r="A3270" s="16"/>
      <c r="B3270" s="16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</row>
    <row r="3271" spans="1:18" x14ac:dyDescent="0.2">
      <c r="A3271" s="16"/>
      <c r="B3271" s="16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</row>
    <row r="3272" spans="1:18" x14ac:dyDescent="0.2">
      <c r="A3272" s="16"/>
      <c r="B3272" s="16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</row>
    <row r="3273" spans="1:18" x14ac:dyDescent="0.2">
      <c r="A3273" s="16"/>
      <c r="B3273" s="16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</row>
    <row r="3274" spans="1:18" x14ac:dyDescent="0.2">
      <c r="A3274" s="16"/>
      <c r="B3274" s="16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</row>
    <row r="3275" spans="1:18" x14ac:dyDescent="0.2">
      <c r="A3275" s="16"/>
      <c r="B3275" s="16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</row>
    <row r="3276" spans="1:18" x14ac:dyDescent="0.2">
      <c r="A3276" s="16"/>
      <c r="B3276" s="16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</row>
    <row r="3277" spans="1:18" x14ac:dyDescent="0.2">
      <c r="A3277" s="16"/>
      <c r="B3277" s="16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</row>
    <row r="3278" spans="1:18" x14ac:dyDescent="0.2">
      <c r="A3278" s="16"/>
      <c r="B3278" s="16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</row>
    <row r="3279" spans="1:18" x14ac:dyDescent="0.2">
      <c r="A3279" s="16"/>
      <c r="B3279" s="16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</row>
    <row r="3280" spans="1:18" x14ac:dyDescent="0.2">
      <c r="A3280" s="16"/>
      <c r="B3280" s="16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</row>
    <row r="3281" spans="1:18" x14ac:dyDescent="0.2">
      <c r="A3281" s="16"/>
      <c r="B3281" s="16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</row>
    <row r="3282" spans="1:18" x14ac:dyDescent="0.2">
      <c r="A3282" s="16"/>
      <c r="B3282" s="16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</row>
    <row r="3283" spans="1:18" x14ac:dyDescent="0.2">
      <c r="A3283" s="16"/>
      <c r="B3283" s="16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</row>
    <row r="3284" spans="1:18" x14ac:dyDescent="0.2">
      <c r="A3284" s="16"/>
      <c r="B3284" s="16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</row>
    <row r="3285" spans="1:18" x14ac:dyDescent="0.2">
      <c r="A3285" s="16"/>
      <c r="B3285" s="16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</row>
    <row r="3286" spans="1:18" x14ac:dyDescent="0.2">
      <c r="A3286" s="16"/>
      <c r="B3286" s="16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</row>
    <row r="3287" spans="1:18" x14ac:dyDescent="0.2">
      <c r="A3287" s="16"/>
      <c r="B3287" s="16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</row>
    <row r="3288" spans="1:18" x14ac:dyDescent="0.2">
      <c r="A3288" s="16"/>
      <c r="B3288" s="16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</row>
    <row r="3289" spans="1:18" x14ac:dyDescent="0.2">
      <c r="A3289" s="16"/>
      <c r="B3289" s="16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</row>
    <row r="3290" spans="1:18" x14ac:dyDescent="0.2">
      <c r="A3290" s="16"/>
      <c r="B3290" s="16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</row>
    <row r="3291" spans="1:18" x14ac:dyDescent="0.2">
      <c r="A3291" s="16"/>
      <c r="B3291" s="16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</row>
    <row r="3292" spans="1:18" x14ac:dyDescent="0.2">
      <c r="A3292" s="16"/>
      <c r="B3292" s="16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</row>
    <row r="3293" spans="1:18" x14ac:dyDescent="0.2">
      <c r="A3293" s="16"/>
      <c r="B3293" s="16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</row>
    <row r="3294" spans="1:18" x14ac:dyDescent="0.2">
      <c r="A3294" s="16"/>
      <c r="B3294" s="16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</row>
    <row r="3295" spans="1:18" x14ac:dyDescent="0.2">
      <c r="A3295" s="16"/>
      <c r="B3295" s="16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</row>
    <row r="3296" spans="1:18" x14ac:dyDescent="0.2">
      <c r="A3296" s="16"/>
      <c r="B3296" s="16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</row>
    <row r="3297" spans="1:18" x14ac:dyDescent="0.2">
      <c r="A3297" s="16"/>
      <c r="B3297" s="16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</row>
    <row r="3298" spans="1:18" x14ac:dyDescent="0.2">
      <c r="A3298" s="16"/>
      <c r="B3298" s="16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</row>
    <row r="3299" spans="1:18" x14ac:dyDescent="0.2">
      <c r="A3299" s="16"/>
      <c r="B3299" s="16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</row>
    <row r="3300" spans="1:18" x14ac:dyDescent="0.2">
      <c r="A3300" s="16"/>
      <c r="B3300" s="16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</row>
    <row r="3301" spans="1:18" x14ac:dyDescent="0.2">
      <c r="A3301" s="16"/>
      <c r="B3301" s="16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</row>
    <row r="3302" spans="1:18" x14ac:dyDescent="0.2">
      <c r="A3302" s="16"/>
      <c r="B3302" s="16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</row>
    <row r="3303" spans="1:18" x14ac:dyDescent="0.2">
      <c r="A3303" s="16"/>
      <c r="B3303" s="16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</row>
    <row r="3304" spans="1:18" x14ac:dyDescent="0.2">
      <c r="A3304" s="16"/>
      <c r="B3304" s="16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</row>
    <row r="3305" spans="1:18" x14ac:dyDescent="0.2">
      <c r="A3305" s="16"/>
      <c r="B3305" s="16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</row>
    <row r="3306" spans="1:18" x14ac:dyDescent="0.2">
      <c r="A3306" s="16"/>
      <c r="B3306" s="16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</row>
    <row r="3307" spans="1:18" x14ac:dyDescent="0.2">
      <c r="A3307" s="16"/>
      <c r="B3307" s="16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</row>
    <row r="3308" spans="1:18" x14ac:dyDescent="0.2">
      <c r="A3308" s="16"/>
      <c r="B3308" s="16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</row>
    <row r="3309" spans="1:18" x14ac:dyDescent="0.2">
      <c r="A3309" s="16"/>
      <c r="B3309" s="16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</row>
    <row r="3310" spans="1:18" x14ac:dyDescent="0.2">
      <c r="A3310" s="16"/>
      <c r="B3310" s="16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</row>
    <row r="3311" spans="1:18" x14ac:dyDescent="0.2">
      <c r="A3311" s="16"/>
      <c r="B3311" s="16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</row>
    <row r="3312" spans="1:18" x14ac:dyDescent="0.2">
      <c r="A3312" s="16"/>
      <c r="B3312" s="16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</row>
    <row r="3313" spans="1:18" x14ac:dyDescent="0.2">
      <c r="A3313" s="16"/>
      <c r="B3313" s="16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</row>
    <row r="3314" spans="1:18" x14ac:dyDescent="0.2">
      <c r="A3314" s="16"/>
      <c r="B3314" s="16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</row>
    <row r="3315" spans="1:18" x14ac:dyDescent="0.2">
      <c r="A3315" s="16"/>
      <c r="B3315" s="16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</row>
    <row r="3316" spans="1:18" x14ac:dyDescent="0.2">
      <c r="A3316" s="16"/>
      <c r="B3316" s="16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</row>
    <row r="3317" spans="1:18" x14ac:dyDescent="0.2">
      <c r="A3317" s="16"/>
      <c r="B3317" s="16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</row>
    <row r="3318" spans="1:18" x14ac:dyDescent="0.2">
      <c r="A3318" s="16"/>
      <c r="B3318" s="16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</row>
    <row r="3319" spans="1:18" x14ac:dyDescent="0.2">
      <c r="A3319" s="16"/>
      <c r="B3319" s="16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</row>
    <row r="3320" spans="1:18" x14ac:dyDescent="0.2">
      <c r="A3320" s="16"/>
      <c r="B3320" s="16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</row>
    <row r="3321" spans="1:18" x14ac:dyDescent="0.2">
      <c r="A3321" s="16"/>
      <c r="B3321" s="16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</row>
    <row r="3322" spans="1:18" x14ac:dyDescent="0.2">
      <c r="A3322" s="16"/>
      <c r="B3322" s="16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</row>
    <row r="3323" spans="1:18" x14ac:dyDescent="0.2">
      <c r="A3323" s="16"/>
      <c r="B3323" s="16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</row>
    <row r="3324" spans="1:18" x14ac:dyDescent="0.2">
      <c r="A3324" s="16"/>
      <c r="B3324" s="16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</row>
    <row r="3325" spans="1:18" x14ac:dyDescent="0.2">
      <c r="A3325" s="16"/>
      <c r="B3325" s="16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</row>
    <row r="3326" spans="1:18" x14ac:dyDescent="0.2">
      <c r="A3326" s="16"/>
      <c r="B3326" s="16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</row>
    <row r="3327" spans="1:18" x14ac:dyDescent="0.2">
      <c r="A3327" s="16"/>
      <c r="B3327" s="16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</row>
    <row r="3328" spans="1:18" x14ac:dyDescent="0.2">
      <c r="A3328" s="16"/>
      <c r="B3328" s="16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</row>
    <row r="3329" spans="1:18" x14ac:dyDescent="0.2">
      <c r="A3329" s="16"/>
      <c r="B3329" s="16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</row>
    <row r="3330" spans="1:18" x14ac:dyDescent="0.2">
      <c r="A3330" s="16"/>
      <c r="B3330" s="16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</row>
    <row r="3331" spans="1:18" x14ac:dyDescent="0.2">
      <c r="A3331" s="16"/>
      <c r="B3331" s="16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</row>
    <row r="3332" spans="1:18" x14ac:dyDescent="0.2">
      <c r="A3332" s="16"/>
      <c r="B3332" s="16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</row>
    <row r="3333" spans="1:18" x14ac:dyDescent="0.2">
      <c r="A3333" s="16"/>
      <c r="B3333" s="16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</row>
    <row r="3334" spans="1:18" x14ac:dyDescent="0.2">
      <c r="A3334" s="16"/>
      <c r="B3334" s="16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</row>
    <row r="3335" spans="1:18" x14ac:dyDescent="0.2">
      <c r="A3335" s="16"/>
      <c r="B3335" s="16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</row>
    <row r="3336" spans="1:18" x14ac:dyDescent="0.2">
      <c r="A3336" s="16"/>
      <c r="B3336" s="16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</row>
    <row r="3337" spans="1:18" x14ac:dyDescent="0.2">
      <c r="A3337" s="16"/>
      <c r="B3337" s="16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</row>
    <row r="3338" spans="1:18" x14ac:dyDescent="0.2">
      <c r="A3338" s="16"/>
      <c r="B3338" s="16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</row>
    <row r="3339" spans="1:18" x14ac:dyDescent="0.2">
      <c r="A3339" s="16"/>
      <c r="B3339" s="16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</row>
    <row r="3340" spans="1:18" x14ac:dyDescent="0.2">
      <c r="A3340" s="16"/>
      <c r="B3340" s="16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</row>
    <row r="3341" spans="1:18" x14ac:dyDescent="0.2">
      <c r="A3341" s="16"/>
      <c r="B3341" s="16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</row>
    <row r="3342" spans="1:18" x14ac:dyDescent="0.2">
      <c r="A3342" s="16"/>
      <c r="B3342" s="16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</row>
    <row r="3343" spans="1:18" x14ac:dyDescent="0.2">
      <c r="A3343" s="16"/>
      <c r="B3343" s="16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</row>
    <row r="3344" spans="1:18" x14ac:dyDescent="0.2">
      <c r="A3344" s="16"/>
      <c r="B3344" s="16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</row>
    <row r="3345" spans="1:18" x14ac:dyDescent="0.2">
      <c r="A3345" s="16"/>
      <c r="B3345" s="16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</row>
    <row r="3346" spans="1:18" x14ac:dyDescent="0.2">
      <c r="A3346" s="16"/>
      <c r="B3346" s="16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</row>
    <row r="3347" spans="1:18" x14ac:dyDescent="0.2">
      <c r="A3347" s="16"/>
      <c r="B3347" s="16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</row>
    <row r="3348" spans="1:18" x14ac:dyDescent="0.2">
      <c r="A3348" s="16"/>
      <c r="B3348" s="16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</row>
    <row r="3349" spans="1:18" x14ac:dyDescent="0.2">
      <c r="A3349" s="16"/>
      <c r="B3349" s="16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</row>
    <row r="3350" spans="1:18" x14ac:dyDescent="0.2">
      <c r="A3350" s="16"/>
      <c r="B3350" s="16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</row>
    <row r="3351" spans="1:18" x14ac:dyDescent="0.2">
      <c r="A3351" s="16"/>
      <c r="B3351" s="16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</row>
    <row r="3352" spans="1:18" x14ac:dyDescent="0.2">
      <c r="A3352" s="16"/>
      <c r="B3352" s="16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</row>
    <row r="3353" spans="1:18" x14ac:dyDescent="0.2">
      <c r="A3353" s="16"/>
      <c r="B3353" s="16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</row>
    <row r="3354" spans="1:18" x14ac:dyDescent="0.2">
      <c r="A3354" s="16"/>
      <c r="B3354" s="16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</row>
    <row r="3355" spans="1:18" x14ac:dyDescent="0.2">
      <c r="A3355" s="16"/>
      <c r="B3355" s="16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</row>
    <row r="3356" spans="1:18" x14ac:dyDescent="0.2">
      <c r="A3356" s="16"/>
      <c r="B3356" s="16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</row>
    <row r="3357" spans="1:18" x14ac:dyDescent="0.2">
      <c r="A3357" s="16"/>
      <c r="B3357" s="16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</row>
    <row r="3358" spans="1:18" x14ac:dyDescent="0.2">
      <c r="A3358" s="16"/>
      <c r="B3358" s="16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</row>
    <row r="3359" spans="1:18" x14ac:dyDescent="0.2">
      <c r="A3359" s="16"/>
      <c r="B3359" s="16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</row>
    <row r="3360" spans="1:18" x14ac:dyDescent="0.2">
      <c r="A3360" s="16"/>
      <c r="B3360" s="16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</row>
    <row r="3361" spans="1:18" x14ac:dyDescent="0.2">
      <c r="A3361" s="16"/>
      <c r="B3361" s="16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</row>
    <row r="3362" spans="1:18" x14ac:dyDescent="0.2">
      <c r="A3362" s="16"/>
      <c r="B3362" s="16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</row>
    <row r="3363" spans="1:18" x14ac:dyDescent="0.2">
      <c r="A3363" s="16"/>
      <c r="B3363" s="16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</row>
    <row r="3364" spans="1:18" x14ac:dyDescent="0.2">
      <c r="A3364" s="16"/>
      <c r="B3364" s="16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</row>
    <row r="3365" spans="1:18" x14ac:dyDescent="0.2">
      <c r="A3365" s="16"/>
      <c r="B3365" s="16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</row>
    <row r="3366" spans="1:18" x14ac:dyDescent="0.2">
      <c r="A3366" s="16"/>
      <c r="B3366" s="16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</row>
    <row r="3367" spans="1:18" x14ac:dyDescent="0.2">
      <c r="A3367" s="16"/>
      <c r="B3367" s="16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</row>
    <row r="3368" spans="1:18" x14ac:dyDescent="0.2">
      <c r="A3368" s="16"/>
      <c r="B3368" s="16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</row>
    <row r="3369" spans="1:18" x14ac:dyDescent="0.2">
      <c r="A3369" s="16"/>
      <c r="B3369" s="16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</row>
    <row r="3370" spans="1:18" x14ac:dyDescent="0.2">
      <c r="A3370" s="16"/>
      <c r="B3370" s="16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</row>
    <row r="3371" spans="1:18" x14ac:dyDescent="0.2">
      <c r="A3371" s="16"/>
      <c r="B3371" s="16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</row>
    <row r="3372" spans="1:18" x14ac:dyDescent="0.2">
      <c r="A3372" s="16"/>
      <c r="B3372" s="16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</row>
    <row r="3373" spans="1:18" x14ac:dyDescent="0.2">
      <c r="A3373" s="16"/>
      <c r="B3373" s="16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</row>
    <row r="3374" spans="1:18" x14ac:dyDescent="0.2">
      <c r="A3374" s="16"/>
      <c r="B3374" s="16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</row>
    <row r="3375" spans="1:18" x14ac:dyDescent="0.2">
      <c r="A3375" s="16"/>
      <c r="B3375" s="16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</row>
    <row r="3376" spans="1:18" x14ac:dyDescent="0.2">
      <c r="A3376" s="16"/>
      <c r="B3376" s="16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</row>
    <row r="3377" spans="1:18" x14ac:dyDescent="0.2">
      <c r="A3377" s="16"/>
      <c r="B3377" s="16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</row>
    <row r="3378" spans="1:18" x14ac:dyDescent="0.2">
      <c r="A3378" s="16"/>
      <c r="B3378" s="16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</row>
    <row r="3379" spans="1:18" x14ac:dyDescent="0.2">
      <c r="A3379" s="16"/>
      <c r="B3379" s="16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</row>
    <row r="3380" spans="1:18" x14ac:dyDescent="0.2">
      <c r="A3380" s="16"/>
      <c r="B3380" s="16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</row>
    <row r="3381" spans="1:18" x14ac:dyDescent="0.2">
      <c r="A3381" s="16"/>
      <c r="B3381" s="16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</row>
    <row r="3382" spans="1:18" x14ac:dyDescent="0.2">
      <c r="A3382" s="16"/>
      <c r="B3382" s="16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</row>
    <row r="3383" spans="1:18" x14ac:dyDescent="0.2">
      <c r="A3383" s="16"/>
      <c r="B3383" s="16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</row>
    <row r="3384" spans="1:18" x14ac:dyDescent="0.2">
      <c r="A3384" s="16"/>
      <c r="B3384" s="16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</row>
    <row r="3385" spans="1:18" x14ac:dyDescent="0.2">
      <c r="A3385" s="16"/>
      <c r="B3385" s="16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</row>
    <row r="3386" spans="1:18" x14ac:dyDescent="0.2">
      <c r="A3386" s="16"/>
      <c r="B3386" s="16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</row>
    <row r="3387" spans="1:18" x14ac:dyDescent="0.2">
      <c r="A3387" s="16"/>
      <c r="B3387" s="16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</row>
    <row r="3388" spans="1:18" x14ac:dyDescent="0.2">
      <c r="A3388" s="16"/>
      <c r="B3388" s="16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</row>
    <row r="3389" spans="1:18" x14ac:dyDescent="0.2">
      <c r="A3389" s="16"/>
      <c r="B3389" s="16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</row>
    <row r="3390" spans="1:18" x14ac:dyDescent="0.2">
      <c r="A3390" s="16"/>
      <c r="B3390" s="16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</row>
    <row r="3391" spans="1:18" x14ac:dyDescent="0.2">
      <c r="A3391" s="16"/>
      <c r="B3391" s="16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</row>
    <row r="3392" spans="1:18" x14ac:dyDescent="0.2">
      <c r="A3392" s="16"/>
      <c r="B3392" s="16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</row>
    <row r="3393" spans="1:18" x14ac:dyDescent="0.2">
      <c r="A3393" s="16"/>
      <c r="B3393" s="16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</row>
    <row r="3394" spans="1:18" x14ac:dyDescent="0.2">
      <c r="A3394" s="16"/>
      <c r="B3394" s="16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</row>
    <row r="3395" spans="1:18" x14ac:dyDescent="0.2">
      <c r="A3395" s="16"/>
      <c r="B3395" s="16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</row>
    <row r="3396" spans="1:18" x14ac:dyDescent="0.2">
      <c r="A3396" s="16"/>
      <c r="B3396" s="16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</row>
    <row r="3397" spans="1:18" x14ac:dyDescent="0.2">
      <c r="A3397" s="16"/>
      <c r="B3397" s="16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</row>
    <row r="3398" spans="1:18" x14ac:dyDescent="0.2">
      <c r="A3398" s="16"/>
      <c r="B3398" s="16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</row>
    <row r="3399" spans="1:18" x14ac:dyDescent="0.2">
      <c r="A3399" s="16"/>
      <c r="B3399" s="16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</row>
    <row r="3400" spans="1:18" x14ac:dyDescent="0.2">
      <c r="A3400" s="16"/>
      <c r="B3400" s="16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</row>
    <row r="3401" spans="1:18" x14ac:dyDescent="0.2">
      <c r="A3401" s="16"/>
      <c r="B3401" s="16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</row>
    <row r="3402" spans="1:18" x14ac:dyDescent="0.2">
      <c r="A3402" s="16"/>
      <c r="B3402" s="16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</row>
    <row r="3403" spans="1:18" x14ac:dyDescent="0.2">
      <c r="A3403" s="16"/>
      <c r="B3403" s="16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</row>
    <row r="3404" spans="1:18" x14ac:dyDescent="0.2">
      <c r="A3404" s="16"/>
      <c r="B3404" s="16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</row>
    <row r="3405" spans="1:18" x14ac:dyDescent="0.2">
      <c r="A3405" s="16"/>
      <c r="B3405" s="16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</row>
    <row r="3406" spans="1:18" x14ac:dyDescent="0.2">
      <c r="A3406" s="16"/>
      <c r="B3406" s="16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</row>
    <row r="3407" spans="1:18" x14ac:dyDescent="0.2">
      <c r="A3407" s="16"/>
      <c r="B3407" s="16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</row>
    <row r="3408" spans="1:18" x14ac:dyDescent="0.2">
      <c r="A3408" s="16"/>
      <c r="B3408" s="16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</row>
    <row r="3409" spans="1:18" x14ac:dyDescent="0.2">
      <c r="A3409" s="16"/>
      <c r="B3409" s="16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</row>
    <row r="3410" spans="1:18" x14ac:dyDescent="0.2">
      <c r="A3410" s="16"/>
      <c r="B3410" s="16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</row>
    <row r="3411" spans="1:18" x14ac:dyDescent="0.2">
      <c r="A3411" s="16"/>
      <c r="B3411" s="16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</row>
    <row r="3412" spans="1:18" x14ac:dyDescent="0.2">
      <c r="A3412" s="16"/>
      <c r="B3412" s="16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</row>
    <row r="3413" spans="1:18" x14ac:dyDescent="0.2">
      <c r="A3413" s="16"/>
      <c r="B3413" s="16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</row>
    <row r="3414" spans="1:18" x14ac:dyDescent="0.2">
      <c r="A3414" s="16"/>
      <c r="B3414" s="16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</row>
    <row r="3415" spans="1:18" x14ac:dyDescent="0.2">
      <c r="A3415" s="16"/>
      <c r="B3415" s="16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</row>
    <row r="3416" spans="1:18" x14ac:dyDescent="0.2">
      <c r="A3416" s="16"/>
      <c r="B3416" s="16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</row>
    <row r="3417" spans="1:18" x14ac:dyDescent="0.2">
      <c r="A3417" s="16"/>
      <c r="B3417" s="16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</row>
    <row r="3418" spans="1:18" x14ac:dyDescent="0.2">
      <c r="A3418" s="16"/>
      <c r="B3418" s="16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</row>
    <row r="3419" spans="1:18" x14ac:dyDescent="0.2">
      <c r="A3419" s="16"/>
      <c r="B3419" s="16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</row>
    <row r="3420" spans="1:18" x14ac:dyDescent="0.2">
      <c r="A3420" s="16"/>
      <c r="B3420" s="16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</row>
    <row r="3421" spans="1:18" x14ac:dyDescent="0.2">
      <c r="A3421" s="16"/>
      <c r="B3421" s="16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</row>
    <row r="3422" spans="1:18" x14ac:dyDescent="0.2">
      <c r="A3422" s="16"/>
      <c r="B3422" s="16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</row>
    <row r="3423" spans="1:18" x14ac:dyDescent="0.2">
      <c r="A3423" s="16"/>
      <c r="B3423" s="16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</row>
    <row r="3424" spans="1:18" x14ac:dyDescent="0.2">
      <c r="A3424" s="16"/>
      <c r="B3424" s="16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</row>
    <row r="3425" spans="1:18" x14ac:dyDescent="0.2">
      <c r="A3425" s="16"/>
      <c r="B3425" s="16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</row>
    <row r="3426" spans="1:18" x14ac:dyDescent="0.2">
      <c r="A3426" s="16"/>
      <c r="B3426" s="16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</row>
    <row r="3427" spans="1:18" x14ac:dyDescent="0.2">
      <c r="A3427" s="16"/>
      <c r="B3427" s="16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</row>
    <row r="3428" spans="1:18" x14ac:dyDescent="0.2">
      <c r="A3428" s="16"/>
      <c r="B3428" s="16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</row>
    <row r="3429" spans="1:18" x14ac:dyDescent="0.2">
      <c r="A3429" s="16"/>
      <c r="B3429" s="16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</row>
    <row r="3430" spans="1:18" x14ac:dyDescent="0.2">
      <c r="A3430" s="16"/>
      <c r="B3430" s="16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</row>
    <row r="3431" spans="1:18" x14ac:dyDescent="0.2">
      <c r="A3431" s="16"/>
      <c r="B3431" s="16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</row>
    <row r="3432" spans="1:18" x14ac:dyDescent="0.2">
      <c r="A3432" s="16"/>
      <c r="B3432" s="16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</row>
    <row r="3433" spans="1:18" x14ac:dyDescent="0.2">
      <c r="A3433" s="16"/>
      <c r="B3433" s="16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</row>
    <row r="3434" spans="1:18" x14ac:dyDescent="0.2">
      <c r="A3434" s="16"/>
      <c r="B3434" s="16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</row>
    <row r="3435" spans="1:18" x14ac:dyDescent="0.2">
      <c r="A3435" s="16"/>
      <c r="B3435" s="16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</row>
    <row r="3436" spans="1:18" x14ac:dyDescent="0.2">
      <c r="A3436" s="16"/>
      <c r="B3436" s="16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</row>
    <row r="3437" spans="1:18" x14ac:dyDescent="0.2">
      <c r="A3437" s="16"/>
      <c r="B3437" s="16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</row>
    <row r="3438" spans="1:18" x14ac:dyDescent="0.2">
      <c r="A3438" s="16"/>
      <c r="B3438" s="16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</row>
    <row r="3439" spans="1:18" x14ac:dyDescent="0.2">
      <c r="A3439" s="16"/>
      <c r="B3439" s="16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</row>
    <row r="3440" spans="1:18" x14ac:dyDescent="0.2">
      <c r="A3440" s="16"/>
      <c r="B3440" s="16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</row>
    <row r="3441" spans="1:18" x14ac:dyDescent="0.2">
      <c r="A3441" s="16"/>
      <c r="B3441" s="16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</row>
    <row r="3442" spans="1:18" x14ac:dyDescent="0.2">
      <c r="A3442" s="16"/>
      <c r="B3442" s="16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</row>
    <row r="3443" spans="1:18" x14ac:dyDescent="0.2">
      <c r="A3443" s="16"/>
      <c r="B3443" s="16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</row>
    <row r="3444" spans="1:18" x14ac:dyDescent="0.2">
      <c r="A3444" s="16"/>
      <c r="B3444" s="16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</row>
    <row r="3445" spans="1:18" x14ac:dyDescent="0.2">
      <c r="A3445" s="16"/>
      <c r="B3445" s="16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</row>
    <row r="3446" spans="1:18" x14ac:dyDescent="0.2">
      <c r="A3446" s="16"/>
      <c r="B3446" s="16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</row>
    <row r="3447" spans="1:18" x14ac:dyDescent="0.2">
      <c r="A3447" s="16"/>
      <c r="B3447" s="16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</row>
    <row r="3448" spans="1:18" x14ac:dyDescent="0.2">
      <c r="A3448" s="16"/>
      <c r="B3448" s="16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</row>
    <row r="3449" spans="1:18" x14ac:dyDescent="0.2">
      <c r="A3449" s="16"/>
      <c r="B3449" s="16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</row>
    <row r="3450" spans="1:18" x14ac:dyDescent="0.2">
      <c r="A3450" s="16"/>
      <c r="B3450" s="16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</row>
    <row r="3451" spans="1:18" x14ac:dyDescent="0.2">
      <c r="A3451" s="16"/>
      <c r="B3451" s="16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</row>
    <row r="3452" spans="1:18" x14ac:dyDescent="0.2">
      <c r="A3452" s="16"/>
      <c r="B3452" s="16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</row>
    <row r="3453" spans="1:18" x14ac:dyDescent="0.2">
      <c r="A3453" s="16"/>
      <c r="B3453" s="16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</row>
    <row r="3454" spans="1:18" x14ac:dyDescent="0.2">
      <c r="A3454" s="16"/>
      <c r="B3454" s="16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</row>
    <row r="3455" spans="1:18" x14ac:dyDescent="0.2">
      <c r="A3455" s="16"/>
      <c r="B3455" s="16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</row>
    <row r="3456" spans="1:18" x14ac:dyDescent="0.2">
      <c r="A3456" s="16"/>
      <c r="B3456" s="16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</row>
    <row r="3457" spans="1:18" x14ac:dyDescent="0.2">
      <c r="A3457" s="16"/>
      <c r="B3457" s="16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</row>
    <row r="3458" spans="1:18" x14ac:dyDescent="0.2">
      <c r="A3458" s="16"/>
      <c r="B3458" s="16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</row>
    <row r="3459" spans="1:18" x14ac:dyDescent="0.2">
      <c r="A3459" s="16"/>
      <c r="B3459" s="16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</row>
    <row r="3460" spans="1:18" x14ac:dyDescent="0.2">
      <c r="A3460" s="16"/>
      <c r="B3460" s="16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</row>
    <row r="3461" spans="1:18" x14ac:dyDescent="0.2">
      <c r="A3461" s="16"/>
      <c r="B3461" s="16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</row>
    <row r="3462" spans="1:18" x14ac:dyDescent="0.2">
      <c r="A3462" s="16"/>
      <c r="B3462" s="16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</row>
    <row r="3463" spans="1:18" x14ac:dyDescent="0.2">
      <c r="A3463" s="16"/>
      <c r="B3463" s="16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</row>
    <row r="3464" spans="1:18" x14ac:dyDescent="0.2">
      <c r="A3464" s="16"/>
      <c r="B3464" s="16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</row>
    <row r="3465" spans="1:18" x14ac:dyDescent="0.2">
      <c r="A3465" s="16"/>
      <c r="B3465" s="16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</row>
    <row r="3466" spans="1:18" x14ac:dyDescent="0.2">
      <c r="A3466" s="16"/>
      <c r="B3466" s="16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</row>
    <row r="3467" spans="1:18" x14ac:dyDescent="0.2">
      <c r="A3467" s="16"/>
      <c r="B3467" s="16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</row>
    <row r="3468" spans="1:18" x14ac:dyDescent="0.2">
      <c r="A3468" s="16"/>
      <c r="B3468" s="16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</row>
    <row r="3469" spans="1:18" x14ac:dyDescent="0.2">
      <c r="A3469" s="16"/>
      <c r="B3469" s="16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</row>
    <row r="3470" spans="1:18" x14ac:dyDescent="0.2">
      <c r="A3470" s="16"/>
      <c r="B3470" s="16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</row>
    <row r="3471" spans="1:18" x14ac:dyDescent="0.2">
      <c r="A3471" s="16"/>
      <c r="B3471" s="16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</row>
    <row r="3472" spans="1:18" x14ac:dyDescent="0.2">
      <c r="A3472" s="16"/>
      <c r="B3472" s="16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</row>
    <row r="3473" spans="1:18" x14ac:dyDescent="0.2">
      <c r="A3473" s="16"/>
      <c r="B3473" s="16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</row>
    <row r="3474" spans="1:18" x14ac:dyDescent="0.2">
      <c r="A3474" s="16"/>
      <c r="B3474" s="16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</row>
    <row r="3475" spans="1:18" x14ac:dyDescent="0.2">
      <c r="A3475" s="16"/>
      <c r="B3475" s="16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</row>
    <row r="3476" spans="1:18" x14ac:dyDescent="0.2">
      <c r="A3476" s="16"/>
      <c r="B3476" s="16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</row>
    <row r="3477" spans="1:18" x14ac:dyDescent="0.2">
      <c r="A3477" s="16"/>
      <c r="B3477" s="16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</row>
    <row r="3478" spans="1:18" x14ac:dyDescent="0.2">
      <c r="A3478" s="16"/>
      <c r="B3478" s="16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</row>
    <row r="3479" spans="1:18" x14ac:dyDescent="0.2">
      <c r="A3479" s="16"/>
      <c r="B3479" s="16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</row>
    <row r="3480" spans="1:18" x14ac:dyDescent="0.2">
      <c r="A3480" s="16"/>
      <c r="B3480" s="16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</row>
    <row r="3481" spans="1:18" x14ac:dyDescent="0.2">
      <c r="A3481" s="16"/>
      <c r="B3481" s="16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</row>
    <row r="3482" spans="1:18" x14ac:dyDescent="0.2">
      <c r="A3482" s="16"/>
      <c r="B3482" s="16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</row>
    <row r="3483" spans="1:18" x14ac:dyDescent="0.2">
      <c r="A3483" s="16"/>
      <c r="B3483" s="16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</row>
    <row r="3484" spans="1:18" x14ac:dyDescent="0.2">
      <c r="A3484" s="16"/>
      <c r="B3484" s="16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</row>
    <row r="3485" spans="1:18" x14ac:dyDescent="0.2">
      <c r="A3485" s="16"/>
      <c r="B3485" s="16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</row>
    <row r="3486" spans="1:18" x14ac:dyDescent="0.2">
      <c r="A3486" s="16"/>
      <c r="B3486" s="16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</row>
    <row r="3487" spans="1:18" x14ac:dyDescent="0.2">
      <c r="A3487" s="16"/>
      <c r="B3487" s="16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</row>
    <row r="3488" spans="1:18" x14ac:dyDescent="0.2">
      <c r="A3488" s="16"/>
      <c r="B3488" s="16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</row>
    <row r="3489" spans="1:18" x14ac:dyDescent="0.2">
      <c r="A3489" s="16"/>
      <c r="B3489" s="16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</row>
    <row r="3490" spans="1:18" x14ac:dyDescent="0.2">
      <c r="A3490" s="16"/>
      <c r="B3490" s="16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</row>
    <row r="3491" spans="1:18" x14ac:dyDescent="0.2">
      <c r="A3491" s="16"/>
      <c r="B3491" s="16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</row>
    <row r="3492" spans="1:18" x14ac:dyDescent="0.2">
      <c r="A3492" s="16"/>
      <c r="B3492" s="16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</row>
    <row r="3493" spans="1:18" x14ac:dyDescent="0.2">
      <c r="A3493" s="16"/>
      <c r="B3493" s="16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</row>
    <row r="3494" spans="1:18" x14ac:dyDescent="0.2">
      <c r="A3494" s="16"/>
      <c r="B3494" s="16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</row>
    <row r="3495" spans="1:18" x14ac:dyDescent="0.2">
      <c r="A3495" s="16"/>
      <c r="B3495" s="16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</row>
    <row r="3496" spans="1:18" x14ac:dyDescent="0.2">
      <c r="A3496" s="16"/>
      <c r="B3496" s="16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</row>
    <row r="3497" spans="1:18" x14ac:dyDescent="0.2">
      <c r="A3497" s="16"/>
      <c r="B3497" s="16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</row>
    <row r="3498" spans="1:18" x14ac:dyDescent="0.2">
      <c r="A3498" s="16"/>
      <c r="B3498" s="16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</row>
    <row r="3499" spans="1:18" x14ac:dyDescent="0.2">
      <c r="A3499" s="16"/>
      <c r="B3499" s="16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</row>
    <row r="3500" spans="1:18" x14ac:dyDescent="0.2">
      <c r="A3500" s="16"/>
      <c r="B3500" s="16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</row>
    <row r="3501" spans="1:18" x14ac:dyDescent="0.2">
      <c r="A3501" s="16"/>
      <c r="B3501" s="16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</row>
    <row r="3502" spans="1:18" x14ac:dyDescent="0.2">
      <c r="A3502" s="16"/>
      <c r="B3502" s="16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</row>
    <row r="3503" spans="1:18" x14ac:dyDescent="0.2">
      <c r="A3503" s="16"/>
      <c r="B3503" s="16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</row>
    <row r="3504" spans="1:18" x14ac:dyDescent="0.2">
      <c r="A3504" s="16"/>
      <c r="B3504" s="16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</row>
    <row r="3505" spans="1:18" x14ac:dyDescent="0.2">
      <c r="A3505" s="16"/>
      <c r="B3505" s="16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</row>
    <row r="3506" spans="1:18" x14ac:dyDescent="0.2">
      <c r="A3506" s="16"/>
      <c r="B3506" s="16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</row>
    <row r="3507" spans="1:18" x14ac:dyDescent="0.2">
      <c r="A3507" s="16"/>
      <c r="B3507" s="16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</row>
    <row r="3508" spans="1:18" x14ac:dyDescent="0.2">
      <c r="A3508" s="16"/>
      <c r="B3508" s="16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</row>
    <row r="3509" spans="1:18" x14ac:dyDescent="0.2">
      <c r="A3509" s="16"/>
      <c r="B3509" s="16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</row>
    <row r="3510" spans="1:18" x14ac:dyDescent="0.2">
      <c r="A3510" s="16"/>
      <c r="B3510" s="16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</row>
    <row r="3511" spans="1:18" x14ac:dyDescent="0.2">
      <c r="A3511" s="16"/>
      <c r="B3511" s="16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</row>
    <row r="3512" spans="1:18" x14ac:dyDescent="0.2">
      <c r="A3512" s="16"/>
      <c r="B3512" s="16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</row>
    <row r="3513" spans="1:18" x14ac:dyDescent="0.2">
      <c r="A3513" s="16"/>
      <c r="B3513" s="16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</row>
    <row r="3514" spans="1:18" x14ac:dyDescent="0.2">
      <c r="A3514" s="16"/>
      <c r="B3514" s="16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</row>
    <row r="3515" spans="1:18" x14ac:dyDescent="0.2">
      <c r="A3515" s="16"/>
      <c r="B3515" s="16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</row>
    <row r="3516" spans="1:18" x14ac:dyDescent="0.2">
      <c r="A3516" s="16"/>
      <c r="B3516" s="16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</row>
    <row r="3517" spans="1:18" x14ac:dyDescent="0.2">
      <c r="A3517" s="16"/>
      <c r="B3517" s="16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</row>
    <row r="3518" spans="1:18" x14ac:dyDescent="0.2">
      <c r="A3518" s="16"/>
      <c r="B3518" s="16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</row>
    <row r="3519" spans="1:18" x14ac:dyDescent="0.2">
      <c r="A3519" s="16"/>
      <c r="B3519" s="16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</row>
    <row r="3520" spans="1:18" x14ac:dyDescent="0.2">
      <c r="A3520" s="16"/>
      <c r="B3520" s="16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</row>
    <row r="3521" spans="1:18" x14ac:dyDescent="0.2">
      <c r="A3521" s="16"/>
      <c r="B3521" s="16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</row>
    <row r="3522" spans="1:18" x14ac:dyDescent="0.2">
      <c r="A3522" s="16"/>
      <c r="B3522" s="16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</row>
    <row r="3523" spans="1:18" x14ac:dyDescent="0.2">
      <c r="A3523" s="16"/>
      <c r="B3523" s="16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</row>
    <row r="3524" spans="1:18" x14ac:dyDescent="0.2">
      <c r="A3524" s="16"/>
      <c r="B3524" s="16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</row>
    <row r="3525" spans="1:18" x14ac:dyDescent="0.2">
      <c r="A3525" s="16"/>
      <c r="B3525" s="16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</row>
    <row r="3526" spans="1:18" x14ac:dyDescent="0.2">
      <c r="A3526" s="16"/>
      <c r="B3526" s="16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</row>
    <row r="3527" spans="1:18" x14ac:dyDescent="0.2">
      <c r="A3527" s="16"/>
      <c r="B3527" s="16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</row>
    <row r="3528" spans="1:18" x14ac:dyDescent="0.2">
      <c r="A3528" s="16"/>
      <c r="B3528" s="16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</row>
    <row r="3529" spans="1:18" x14ac:dyDescent="0.2">
      <c r="A3529" s="16"/>
      <c r="B3529" s="16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</row>
    <row r="3530" spans="1:18" x14ac:dyDescent="0.2">
      <c r="A3530" s="16"/>
      <c r="B3530" s="16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</row>
    <row r="3531" spans="1:18" x14ac:dyDescent="0.2">
      <c r="A3531" s="16"/>
      <c r="B3531" s="16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</row>
    <row r="3532" spans="1:18" x14ac:dyDescent="0.2">
      <c r="A3532" s="16"/>
      <c r="B3532" s="16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</row>
    <row r="3533" spans="1:18" x14ac:dyDescent="0.2">
      <c r="A3533" s="16"/>
      <c r="B3533" s="16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</row>
    <row r="3534" spans="1:18" x14ac:dyDescent="0.2">
      <c r="A3534" s="16"/>
      <c r="B3534" s="16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</row>
    <row r="3535" spans="1:18" x14ac:dyDescent="0.2">
      <c r="A3535" s="16"/>
      <c r="B3535" s="16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</row>
    <row r="3536" spans="1:18" x14ac:dyDescent="0.2">
      <c r="A3536" s="16"/>
      <c r="B3536" s="16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</row>
    <row r="3537" spans="1:18" x14ac:dyDescent="0.2">
      <c r="A3537" s="16"/>
      <c r="B3537" s="16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</row>
    <row r="3538" spans="1:18" x14ac:dyDescent="0.2">
      <c r="A3538" s="16"/>
      <c r="B3538" s="16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</row>
    <row r="3539" spans="1:18" x14ac:dyDescent="0.2">
      <c r="A3539" s="16"/>
      <c r="B3539" s="16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</row>
    <row r="3540" spans="1:18" x14ac:dyDescent="0.2">
      <c r="A3540" s="16"/>
      <c r="B3540" s="16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</row>
    <row r="3541" spans="1:18" x14ac:dyDescent="0.2">
      <c r="A3541" s="16"/>
      <c r="B3541" s="16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</row>
    <row r="3542" spans="1:18" x14ac:dyDescent="0.2">
      <c r="A3542" s="16"/>
      <c r="B3542" s="16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</row>
    <row r="3543" spans="1:18" x14ac:dyDescent="0.2">
      <c r="A3543" s="16"/>
      <c r="B3543" s="16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</row>
    <row r="3544" spans="1:18" x14ac:dyDescent="0.2">
      <c r="A3544" s="16"/>
      <c r="B3544" s="16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</row>
    <row r="3545" spans="1:18" x14ac:dyDescent="0.2">
      <c r="A3545" s="16"/>
      <c r="B3545" s="16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</row>
    <row r="3546" spans="1:18" x14ac:dyDescent="0.2">
      <c r="A3546" s="16"/>
      <c r="B3546" s="16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</row>
    <row r="3547" spans="1:18" x14ac:dyDescent="0.2">
      <c r="A3547" s="16"/>
      <c r="B3547" s="16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</row>
    <row r="3548" spans="1:18" x14ac:dyDescent="0.2">
      <c r="A3548" s="16"/>
      <c r="B3548" s="16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</row>
    <row r="3549" spans="1:18" x14ac:dyDescent="0.2">
      <c r="A3549" s="16"/>
      <c r="B3549" s="16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</row>
    <row r="3550" spans="1:18" x14ac:dyDescent="0.2">
      <c r="A3550" s="16"/>
      <c r="B3550" s="16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</row>
    <row r="3551" spans="1:18" x14ac:dyDescent="0.2">
      <c r="A3551" s="16"/>
      <c r="B3551" s="16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</row>
    <row r="3552" spans="1:18" x14ac:dyDescent="0.2">
      <c r="A3552" s="16"/>
      <c r="B3552" s="16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</row>
    <row r="3553" spans="1:18" x14ac:dyDescent="0.2">
      <c r="A3553" s="16"/>
      <c r="B3553" s="16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</row>
    <row r="3554" spans="1:18" x14ac:dyDescent="0.2">
      <c r="A3554" s="16"/>
      <c r="B3554" s="16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</row>
    <row r="3555" spans="1:18" x14ac:dyDescent="0.2">
      <c r="A3555" s="16"/>
      <c r="B3555" s="16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</row>
    <row r="3556" spans="1:18" x14ac:dyDescent="0.2">
      <c r="A3556" s="16"/>
      <c r="B3556" s="16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</row>
    <row r="3557" spans="1:18" x14ac:dyDescent="0.2">
      <c r="A3557" s="16"/>
      <c r="B3557" s="16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</row>
    <row r="3558" spans="1:18" x14ac:dyDescent="0.2">
      <c r="A3558" s="16"/>
      <c r="B3558" s="16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</row>
    <row r="3559" spans="1:18" x14ac:dyDescent="0.2">
      <c r="A3559" s="16"/>
      <c r="B3559" s="16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</row>
    <row r="3560" spans="1:18" x14ac:dyDescent="0.2">
      <c r="A3560" s="16"/>
      <c r="B3560" s="16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</row>
    <row r="3561" spans="1:18" x14ac:dyDescent="0.2">
      <c r="A3561" s="16"/>
      <c r="B3561" s="16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</row>
    <row r="3562" spans="1:18" x14ac:dyDescent="0.2">
      <c r="A3562" s="16"/>
      <c r="B3562" s="16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</row>
    <row r="3563" spans="1:18" x14ac:dyDescent="0.2">
      <c r="A3563" s="16"/>
      <c r="B3563" s="16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</row>
    <row r="3564" spans="1:18" x14ac:dyDescent="0.2">
      <c r="A3564" s="16"/>
      <c r="B3564" s="16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</row>
    <row r="3565" spans="1:18" x14ac:dyDescent="0.2">
      <c r="A3565" s="16"/>
      <c r="B3565" s="16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</row>
    <row r="3566" spans="1:18" x14ac:dyDescent="0.2">
      <c r="A3566" s="16"/>
      <c r="B3566" s="16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</row>
    <row r="3567" spans="1:18" x14ac:dyDescent="0.2">
      <c r="A3567" s="16"/>
      <c r="B3567" s="16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</row>
    <row r="3568" spans="1:18" x14ac:dyDescent="0.2">
      <c r="A3568" s="16"/>
      <c r="B3568" s="16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</row>
    <row r="3569" spans="1:18" x14ac:dyDescent="0.2">
      <c r="A3569" s="16"/>
      <c r="B3569" s="16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</row>
    <row r="3570" spans="1:18" x14ac:dyDescent="0.2">
      <c r="A3570" s="16"/>
      <c r="B3570" s="16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</row>
    <row r="3571" spans="1:18" x14ac:dyDescent="0.2">
      <c r="A3571" s="16"/>
      <c r="B3571" s="16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</row>
    <row r="3572" spans="1:18" x14ac:dyDescent="0.2">
      <c r="A3572" s="16"/>
      <c r="B3572" s="16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</row>
    <row r="3573" spans="1:18" x14ac:dyDescent="0.2">
      <c r="A3573" s="16"/>
      <c r="B3573" s="16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</row>
    <row r="3574" spans="1:18" x14ac:dyDescent="0.2">
      <c r="A3574" s="16"/>
      <c r="B3574" s="16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</row>
    <row r="3575" spans="1:18" x14ac:dyDescent="0.2">
      <c r="A3575" s="16"/>
      <c r="B3575" s="16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</row>
    <row r="3576" spans="1:18" x14ac:dyDescent="0.2">
      <c r="A3576" s="16"/>
      <c r="B3576" s="16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</row>
    <row r="3577" spans="1:18" x14ac:dyDescent="0.2">
      <c r="A3577" s="16"/>
      <c r="B3577" s="16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</row>
    <row r="3578" spans="1:18" x14ac:dyDescent="0.2">
      <c r="A3578" s="16"/>
      <c r="B3578" s="16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</row>
    <row r="3579" spans="1:18" x14ac:dyDescent="0.2">
      <c r="A3579" s="16"/>
      <c r="B3579" s="16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</row>
    <row r="3580" spans="1:18" x14ac:dyDescent="0.2">
      <c r="A3580" s="16"/>
      <c r="B3580" s="16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</row>
    <row r="3581" spans="1:18" x14ac:dyDescent="0.2">
      <c r="A3581" s="16"/>
      <c r="B3581" s="16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</row>
    <row r="3582" spans="1:18" x14ac:dyDescent="0.2">
      <c r="A3582" s="16"/>
      <c r="B3582" s="16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</row>
    <row r="3583" spans="1:18" x14ac:dyDescent="0.2">
      <c r="A3583" s="16"/>
      <c r="B3583" s="16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</row>
    <row r="3584" spans="1:18" x14ac:dyDescent="0.2">
      <c r="A3584" s="16"/>
      <c r="B3584" s="16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</row>
    <row r="3585" spans="1:18" x14ac:dyDescent="0.2">
      <c r="A3585" s="16"/>
      <c r="B3585" s="16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</row>
    <row r="3586" spans="1:18" x14ac:dyDescent="0.2">
      <c r="A3586" s="16"/>
      <c r="B3586" s="16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</row>
    <row r="3587" spans="1:18" x14ac:dyDescent="0.2">
      <c r="A3587" s="16"/>
      <c r="B3587" s="16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</row>
    <row r="3588" spans="1:18" x14ac:dyDescent="0.2">
      <c r="A3588" s="16"/>
      <c r="B3588" s="16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</row>
    <row r="3589" spans="1:18" x14ac:dyDescent="0.2">
      <c r="A3589" s="16"/>
      <c r="B3589" s="16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</row>
    <row r="3590" spans="1:18" x14ac:dyDescent="0.2">
      <c r="A3590" s="16"/>
      <c r="B3590" s="16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</row>
    <row r="3591" spans="1:18" x14ac:dyDescent="0.2">
      <c r="A3591" s="16"/>
      <c r="B3591" s="16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</row>
    <row r="3592" spans="1:18" x14ac:dyDescent="0.2">
      <c r="A3592" s="16"/>
      <c r="B3592" s="16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</row>
    <row r="3593" spans="1:18" x14ac:dyDescent="0.2">
      <c r="A3593" s="16"/>
      <c r="B3593" s="16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</row>
    <row r="3594" spans="1:18" x14ac:dyDescent="0.2">
      <c r="A3594" s="16"/>
      <c r="B3594" s="16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</row>
    <row r="3595" spans="1:18" x14ac:dyDescent="0.2">
      <c r="A3595" s="16"/>
      <c r="B3595" s="16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</row>
    <row r="3596" spans="1:18" x14ac:dyDescent="0.2">
      <c r="A3596" s="16"/>
      <c r="B3596" s="16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</row>
    <row r="3597" spans="1:18" x14ac:dyDescent="0.2">
      <c r="A3597" s="16"/>
      <c r="B3597" s="16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</row>
    <row r="3598" spans="1:18" x14ac:dyDescent="0.2">
      <c r="A3598" s="16"/>
      <c r="B3598" s="16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</row>
    <row r="3599" spans="1:18" x14ac:dyDescent="0.2">
      <c r="A3599" s="16"/>
      <c r="B3599" s="16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</row>
    <row r="3600" spans="1:18" x14ac:dyDescent="0.2">
      <c r="A3600" s="16"/>
      <c r="B3600" s="16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</row>
    <row r="3601" spans="1:18" x14ac:dyDescent="0.2">
      <c r="A3601" s="16"/>
      <c r="B3601" s="16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</row>
    <row r="3602" spans="1:18" x14ac:dyDescent="0.2">
      <c r="A3602" s="16"/>
      <c r="B3602" s="16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</row>
    <row r="3603" spans="1:18" x14ac:dyDescent="0.2">
      <c r="A3603" s="16"/>
      <c r="B3603" s="16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</row>
    <row r="3604" spans="1:18" x14ac:dyDescent="0.2">
      <c r="A3604" s="16"/>
      <c r="B3604" s="16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</row>
    <row r="3605" spans="1:18" x14ac:dyDescent="0.2">
      <c r="A3605" s="16"/>
      <c r="B3605" s="16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</row>
    <row r="3606" spans="1:18" x14ac:dyDescent="0.2">
      <c r="A3606" s="16"/>
      <c r="B3606" s="16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</row>
    <row r="3607" spans="1:18" x14ac:dyDescent="0.2">
      <c r="A3607" s="16"/>
      <c r="B3607" s="16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</row>
    <row r="3608" spans="1:18" x14ac:dyDescent="0.2">
      <c r="A3608" s="16"/>
      <c r="B3608" s="16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</row>
    <row r="3609" spans="1:18" x14ac:dyDescent="0.2">
      <c r="A3609" s="16"/>
      <c r="B3609" s="16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</row>
    <row r="3610" spans="1:18" x14ac:dyDescent="0.2">
      <c r="A3610" s="16"/>
      <c r="B3610" s="16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</row>
    <row r="3611" spans="1:18" x14ac:dyDescent="0.2">
      <c r="A3611" s="16"/>
      <c r="B3611" s="16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</row>
    <row r="3612" spans="1:18" x14ac:dyDescent="0.2">
      <c r="A3612" s="16"/>
      <c r="B3612" s="16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</row>
    <row r="3613" spans="1:18" x14ac:dyDescent="0.2">
      <c r="A3613" s="16"/>
      <c r="B3613" s="16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</row>
    <row r="3614" spans="1:18" x14ac:dyDescent="0.2">
      <c r="A3614" s="16"/>
      <c r="B3614" s="16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</row>
    <row r="3615" spans="1:18" x14ac:dyDescent="0.2">
      <c r="A3615" s="16"/>
      <c r="B3615" s="16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</row>
    <row r="3616" spans="1:18" x14ac:dyDescent="0.2">
      <c r="A3616" s="16"/>
      <c r="B3616" s="16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</row>
    <row r="3617" spans="1:18" x14ac:dyDescent="0.2">
      <c r="A3617" s="16"/>
      <c r="B3617" s="16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</row>
    <row r="3618" spans="1:18" x14ac:dyDescent="0.2">
      <c r="A3618" s="16"/>
      <c r="B3618" s="16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</row>
    <row r="3619" spans="1:18" x14ac:dyDescent="0.2">
      <c r="A3619" s="16"/>
      <c r="B3619" s="16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</row>
    <row r="3620" spans="1:18" x14ac:dyDescent="0.2">
      <c r="A3620" s="16"/>
      <c r="B3620" s="16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</row>
    <row r="3621" spans="1:18" x14ac:dyDescent="0.2">
      <c r="A3621" s="16"/>
      <c r="B3621" s="16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</row>
    <row r="3622" spans="1:18" x14ac:dyDescent="0.2">
      <c r="A3622" s="16"/>
      <c r="B3622" s="16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</row>
    <row r="3623" spans="1:18" x14ac:dyDescent="0.2">
      <c r="A3623" s="16"/>
      <c r="B3623" s="16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</row>
    <row r="3624" spans="1:18" x14ac:dyDescent="0.2">
      <c r="A3624" s="16"/>
      <c r="B3624" s="16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</row>
    <row r="3625" spans="1:18" x14ac:dyDescent="0.2">
      <c r="A3625" s="16"/>
      <c r="B3625" s="16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</row>
    <row r="3626" spans="1:18" x14ac:dyDescent="0.2">
      <c r="A3626" s="16"/>
      <c r="B3626" s="16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</row>
    <row r="3627" spans="1:18" x14ac:dyDescent="0.2">
      <c r="A3627" s="16"/>
      <c r="B3627" s="16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</row>
    <row r="3628" spans="1:18" x14ac:dyDescent="0.2">
      <c r="A3628" s="16"/>
      <c r="B3628" s="16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</row>
    <row r="3629" spans="1:18" x14ac:dyDescent="0.2">
      <c r="A3629" s="16"/>
      <c r="B3629" s="16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</row>
    <row r="3630" spans="1:18" x14ac:dyDescent="0.2">
      <c r="A3630" s="16"/>
      <c r="B3630" s="16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</row>
    <row r="3631" spans="1:18" x14ac:dyDescent="0.2">
      <c r="A3631" s="16"/>
      <c r="B3631" s="16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</row>
    <row r="3632" spans="1:18" x14ac:dyDescent="0.2">
      <c r="A3632" s="16"/>
      <c r="B3632" s="16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</row>
    <row r="3633" spans="1:18" x14ac:dyDescent="0.2">
      <c r="A3633" s="16"/>
      <c r="B3633" s="16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</row>
    <row r="3634" spans="1:18" x14ac:dyDescent="0.2">
      <c r="A3634" s="16"/>
      <c r="B3634" s="16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</row>
    <row r="3635" spans="1:18" x14ac:dyDescent="0.2">
      <c r="A3635" s="16"/>
      <c r="B3635" s="16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</row>
    <row r="3636" spans="1:18" x14ac:dyDescent="0.2">
      <c r="A3636" s="16"/>
      <c r="B3636" s="16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</row>
    <row r="3637" spans="1:18" x14ac:dyDescent="0.2">
      <c r="A3637" s="16"/>
      <c r="B3637" s="16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</row>
    <row r="3638" spans="1:18" x14ac:dyDescent="0.2">
      <c r="A3638" s="16"/>
      <c r="B3638" s="16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</row>
    <row r="3639" spans="1:18" x14ac:dyDescent="0.2">
      <c r="A3639" s="16"/>
      <c r="B3639" s="16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</row>
    <row r="3640" spans="1:18" x14ac:dyDescent="0.2">
      <c r="A3640" s="16"/>
      <c r="B3640" s="16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</row>
    <row r="3641" spans="1:18" x14ac:dyDescent="0.2">
      <c r="A3641" s="16"/>
      <c r="B3641" s="16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</row>
    <row r="3642" spans="1:18" x14ac:dyDescent="0.2">
      <c r="A3642" s="16"/>
      <c r="B3642" s="16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</row>
    <row r="3643" spans="1:18" x14ac:dyDescent="0.2">
      <c r="A3643" s="16"/>
      <c r="B3643" s="16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</row>
    <row r="3644" spans="1:18" x14ac:dyDescent="0.2">
      <c r="A3644" s="16"/>
      <c r="B3644" s="16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</row>
    <row r="3645" spans="1:18" x14ac:dyDescent="0.2">
      <c r="A3645" s="16"/>
      <c r="B3645" s="16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</row>
    <row r="3646" spans="1:18" x14ac:dyDescent="0.2">
      <c r="A3646" s="16"/>
      <c r="B3646" s="16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</row>
    <row r="3647" spans="1:18" x14ac:dyDescent="0.2">
      <c r="A3647" s="16"/>
      <c r="B3647" s="16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</row>
    <row r="3648" spans="1:18" x14ac:dyDescent="0.2">
      <c r="A3648" s="16"/>
      <c r="B3648" s="16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</row>
    <row r="3649" spans="1:18" x14ac:dyDescent="0.2">
      <c r="A3649" s="16"/>
      <c r="B3649" s="16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</row>
    <row r="3650" spans="1:18" x14ac:dyDescent="0.2">
      <c r="A3650" s="16"/>
      <c r="B3650" s="16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</row>
    <row r="3651" spans="1:18" x14ac:dyDescent="0.2">
      <c r="A3651" s="16"/>
      <c r="B3651" s="16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</row>
    <row r="3652" spans="1:18" x14ac:dyDescent="0.2">
      <c r="A3652" s="16"/>
      <c r="B3652" s="16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</row>
    <row r="3653" spans="1:18" x14ac:dyDescent="0.2">
      <c r="A3653" s="16"/>
      <c r="B3653" s="16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</row>
    <row r="3654" spans="1:18" x14ac:dyDescent="0.2">
      <c r="A3654" s="16"/>
      <c r="B3654" s="16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</row>
    <row r="3655" spans="1:18" x14ac:dyDescent="0.2">
      <c r="A3655" s="16"/>
      <c r="B3655" s="16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</row>
    <row r="3656" spans="1:18" x14ac:dyDescent="0.2">
      <c r="A3656" s="16"/>
      <c r="B3656" s="16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</row>
    <row r="3657" spans="1:18" x14ac:dyDescent="0.2">
      <c r="A3657" s="16"/>
      <c r="B3657" s="16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</row>
    <row r="3658" spans="1:18" x14ac:dyDescent="0.2">
      <c r="A3658" s="16"/>
      <c r="B3658" s="16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</row>
    <row r="3659" spans="1:18" x14ac:dyDescent="0.2">
      <c r="A3659" s="16"/>
      <c r="B3659" s="16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</row>
    <row r="3660" spans="1:18" x14ac:dyDescent="0.2">
      <c r="A3660" s="16"/>
      <c r="B3660" s="16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</row>
    <row r="3661" spans="1:18" x14ac:dyDescent="0.2">
      <c r="A3661" s="16"/>
      <c r="B3661" s="16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</row>
    <row r="3662" spans="1:18" x14ac:dyDescent="0.2">
      <c r="A3662" s="16"/>
      <c r="B3662" s="16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</row>
    <row r="3663" spans="1:18" x14ac:dyDescent="0.2">
      <c r="A3663" s="16"/>
      <c r="B3663" s="16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</row>
    <row r="3664" spans="1:18" x14ac:dyDescent="0.2">
      <c r="A3664" s="16"/>
      <c r="B3664" s="16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</row>
    <row r="3665" spans="1:18" x14ac:dyDescent="0.2">
      <c r="A3665" s="16"/>
      <c r="B3665" s="16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</row>
    <row r="3666" spans="1:18" x14ac:dyDescent="0.2">
      <c r="A3666" s="16"/>
      <c r="B3666" s="16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</row>
    <row r="3667" spans="1:18" x14ac:dyDescent="0.2">
      <c r="A3667" s="16"/>
      <c r="B3667" s="16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</row>
    <row r="3668" spans="1:18" x14ac:dyDescent="0.2">
      <c r="A3668" s="16"/>
      <c r="B3668" s="16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</row>
    <row r="3669" spans="1:18" x14ac:dyDescent="0.2">
      <c r="A3669" s="16"/>
      <c r="B3669" s="16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</row>
    <row r="3670" spans="1:18" x14ac:dyDescent="0.2">
      <c r="A3670" s="16"/>
      <c r="B3670" s="16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</row>
    <row r="3671" spans="1:18" x14ac:dyDescent="0.2">
      <c r="A3671" s="16"/>
      <c r="B3671" s="16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</row>
    <row r="3672" spans="1:18" x14ac:dyDescent="0.2">
      <c r="A3672" s="16"/>
      <c r="B3672" s="16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</row>
    <row r="3673" spans="1:18" x14ac:dyDescent="0.2">
      <c r="A3673" s="16"/>
      <c r="B3673" s="16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</row>
    <row r="3674" spans="1:18" x14ac:dyDescent="0.2">
      <c r="A3674" s="16"/>
      <c r="B3674" s="16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</row>
    <row r="3675" spans="1:18" x14ac:dyDescent="0.2">
      <c r="A3675" s="16"/>
      <c r="B3675" s="16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</row>
    <row r="3676" spans="1:18" x14ac:dyDescent="0.2">
      <c r="A3676" s="16"/>
      <c r="B3676" s="16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</row>
    <row r="3677" spans="1:18" x14ac:dyDescent="0.2">
      <c r="A3677" s="16"/>
      <c r="B3677" s="16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</row>
    <row r="3678" spans="1:18" x14ac:dyDescent="0.2">
      <c r="A3678" s="16"/>
      <c r="B3678" s="16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</row>
    <row r="3679" spans="1:18" x14ac:dyDescent="0.2">
      <c r="A3679" s="16"/>
      <c r="B3679" s="16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</row>
    <row r="3680" spans="1:18" x14ac:dyDescent="0.2">
      <c r="A3680" s="16"/>
      <c r="B3680" s="16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</row>
    <row r="3681" spans="1:18" x14ac:dyDescent="0.2">
      <c r="A3681" s="16"/>
      <c r="B3681" s="16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</row>
    <row r="3682" spans="1:18" x14ac:dyDescent="0.2">
      <c r="A3682" s="16"/>
      <c r="B3682" s="16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</row>
    <row r="3683" spans="1:18" x14ac:dyDescent="0.2">
      <c r="A3683" s="16"/>
      <c r="B3683" s="16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</row>
    <row r="3684" spans="1:18" x14ac:dyDescent="0.2">
      <c r="A3684" s="16"/>
      <c r="B3684" s="16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</row>
    <row r="3685" spans="1:18" x14ac:dyDescent="0.2">
      <c r="A3685" s="16"/>
      <c r="B3685" s="16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</row>
    <row r="3686" spans="1:18" x14ac:dyDescent="0.2">
      <c r="A3686" s="16"/>
      <c r="B3686" s="16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</row>
    <row r="3687" spans="1:18" x14ac:dyDescent="0.2">
      <c r="A3687" s="16"/>
      <c r="B3687" s="16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</row>
    <row r="3688" spans="1:18" x14ac:dyDescent="0.2">
      <c r="A3688" s="16"/>
      <c r="B3688" s="16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</row>
    <row r="3689" spans="1:18" x14ac:dyDescent="0.2">
      <c r="A3689" s="16"/>
      <c r="B3689" s="16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</row>
    <row r="3690" spans="1:18" x14ac:dyDescent="0.2">
      <c r="A3690" s="16"/>
      <c r="B3690" s="16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</row>
    <row r="3691" spans="1:18" x14ac:dyDescent="0.2">
      <c r="A3691" s="16"/>
      <c r="B3691" s="16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</row>
    <row r="3692" spans="1:18" x14ac:dyDescent="0.2">
      <c r="A3692" s="16"/>
      <c r="B3692" s="16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</row>
    <row r="3693" spans="1:18" x14ac:dyDescent="0.2">
      <c r="A3693" s="16"/>
      <c r="B3693" s="16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</row>
    <row r="3694" spans="1:18" x14ac:dyDescent="0.2">
      <c r="A3694" s="16"/>
      <c r="B3694" s="16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</row>
    <row r="3695" spans="1:18" x14ac:dyDescent="0.2">
      <c r="A3695" s="16"/>
      <c r="B3695" s="16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</row>
    <row r="3696" spans="1:18" x14ac:dyDescent="0.2">
      <c r="A3696" s="16"/>
      <c r="B3696" s="16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</row>
    <row r="3697" spans="1:18" x14ac:dyDescent="0.2">
      <c r="A3697" s="16"/>
      <c r="B3697" s="16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</row>
    <row r="3698" spans="1:18" x14ac:dyDescent="0.2">
      <c r="A3698" s="16"/>
      <c r="B3698" s="16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</row>
    <row r="3699" spans="1:18" x14ac:dyDescent="0.2">
      <c r="A3699" s="16"/>
      <c r="B3699" s="16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</row>
    <row r="3700" spans="1:18" x14ac:dyDescent="0.2">
      <c r="A3700" s="16"/>
      <c r="B3700" s="16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</row>
    <row r="3701" spans="1:18" x14ac:dyDescent="0.2">
      <c r="A3701" s="16"/>
      <c r="B3701" s="16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</row>
    <row r="3702" spans="1:18" x14ac:dyDescent="0.2">
      <c r="A3702" s="16"/>
      <c r="B3702" s="16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</row>
    <row r="3703" spans="1:18" x14ac:dyDescent="0.2">
      <c r="A3703" s="16"/>
      <c r="B3703" s="16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</row>
    <row r="3704" spans="1:18" x14ac:dyDescent="0.2">
      <c r="A3704" s="16"/>
      <c r="B3704" s="16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</row>
    <row r="3705" spans="1:18" x14ac:dyDescent="0.2">
      <c r="A3705" s="16"/>
      <c r="B3705" s="16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</row>
    <row r="3706" spans="1:18" x14ac:dyDescent="0.2">
      <c r="A3706" s="16"/>
      <c r="B3706" s="16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</row>
    <row r="3707" spans="1:18" x14ac:dyDescent="0.2">
      <c r="A3707" s="16"/>
      <c r="B3707" s="16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</row>
    <row r="3708" spans="1:18" x14ac:dyDescent="0.2">
      <c r="A3708" s="16"/>
      <c r="B3708" s="16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</row>
    <row r="3709" spans="1:18" x14ac:dyDescent="0.2">
      <c r="A3709" s="16"/>
      <c r="B3709" s="16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</row>
    <row r="3710" spans="1:18" x14ac:dyDescent="0.2">
      <c r="A3710" s="16"/>
      <c r="B3710" s="16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</row>
    <row r="3711" spans="1:18" x14ac:dyDescent="0.2">
      <c r="A3711" s="16"/>
      <c r="B3711" s="16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</row>
    <row r="3712" spans="1:18" x14ac:dyDescent="0.2">
      <c r="A3712" s="16"/>
      <c r="B3712" s="16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</row>
    <row r="3713" spans="1:18" x14ac:dyDescent="0.2">
      <c r="A3713" s="16"/>
      <c r="B3713" s="16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</row>
    <row r="3714" spans="1:18" x14ac:dyDescent="0.2">
      <c r="A3714" s="16"/>
      <c r="B3714" s="16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</row>
    <row r="3715" spans="1:18" x14ac:dyDescent="0.2">
      <c r="A3715" s="16"/>
      <c r="B3715" s="16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</row>
    <row r="3716" spans="1:18" x14ac:dyDescent="0.2">
      <c r="A3716" s="16"/>
      <c r="B3716" s="16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</row>
    <row r="3717" spans="1:18" x14ac:dyDescent="0.2">
      <c r="A3717" s="16"/>
      <c r="B3717" s="16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</row>
    <row r="3718" spans="1:18" x14ac:dyDescent="0.2">
      <c r="A3718" s="16"/>
      <c r="B3718" s="16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</row>
    <row r="3719" spans="1:18" x14ac:dyDescent="0.2">
      <c r="A3719" s="16"/>
      <c r="B3719" s="16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</row>
    <row r="3720" spans="1:18" x14ac:dyDescent="0.2">
      <c r="A3720" s="16"/>
      <c r="B3720" s="16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</row>
    <row r="3721" spans="1:18" x14ac:dyDescent="0.2">
      <c r="A3721" s="16"/>
      <c r="B3721" s="16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</row>
    <row r="3722" spans="1:18" x14ac:dyDescent="0.2">
      <c r="A3722" s="16"/>
      <c r="B3722" s="16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</row>
    <row r="3723" spans="1:18" x14ac:dyDescent="0.2">
      <c r="A3723" s="16"/>
      <c r="B3723" s="16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</row>
    <row r="3724" spans="1:18" x14ac:dyDescent="0.2">
      <c r="A3724" s="16"/>
      <c r="B3724" s="16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</row>
    <row r="3725" spans="1:18" x14ac:dyDescent="0.2">
      <c r="A3725" s="16"/>
      <c r="B3725" s="16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</row>
    <row r="3726" spans="1:18" x14ac:dyDescent="0.2">
      <c r="A3726" s="16"/>
      <c r="B3726" s="16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</row>
    <row r="3727" spans="1:18" x14ac:dyDescent="0.2">
      <c r="A3727" s="16"/>
      <c r="B3727" s="16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</row>
    <row r="3728" spans="1:18" x14ac:dyDescent="0.2">
      <c r="A3728" s="16"/>
      <c r="B3728" s="16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</row>
    <row r="3729" spans="1:18" x14ac:dyDescent="0.2">
      <c r="A3729" s="16"/>
      <c r="B3729" s="16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</row>
    <row r="3730" spans="1:18" x14ac:dyDescent="0.2">
      <c r="A3730" s="16"/>
      <c r="B3730" s="16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</row>
    <row r="3731" spans="1:18" x14ac:dyDescent="0.2">
      <c r="A3731" s="16"/>
      <c r="B3731" s="16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</row>
    <row r="3732" spans="1:18" x14ac:dyDescent="0.2">
      <c r="A3732" s="16"/>
      <c r="B3732" s="16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</row>
    <row r="3733" spans="1:18" x14ac:dyDescent="0.2">
      <c r="A3733" s="16"/>
      <c r="B3733" s="16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</row>
    <row r="3734" spans="1:18" x14ac:dyDescent="0.2">
      <c r="A3734" s="16"/>
      <c r="B3734" s="16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</row>
    <row r="3735" spans="1:18" x14ac:dyDescent="0.2">
      <c r="A3735" s="16"/>
      <c r="B3735" s="16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</row>
    <row r="3736" spans="1:18" x14ac:dyDescent="0.2">
      <c r="A3736" s="16"/>
      <c r="B3736" s="16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</row>
    <row r="3737" spans="1:18" x14ac:dyDescent="0.2">
      <c r="A3737" s="16"/>
      <c r="B3737" s="16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</row>
    <row r="3738" spans="1:18" x14ac:dyDescent="0.2">
      <c r="A3738" s="16"/>
      <c r="B3738" s="16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</row>
    <row r="3739" spans="1:18" x14ac:dyDescent="0.2">
      <c r="A3739" s="16"/>
      <c r="B3739" s="16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</row>
    <row r="3740" spans="1:18" x14ac:dyDescent="0.2">
      <c r="A3740" s="16"/>
      <c r="B3740" s="16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</row>
    <row r="3741" spans="1:18" x14ac:dyDescent="0.2">
      <c r="A3741" s="16"/>
      <c r="B3741" s="16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</row>
    <row r="3742" spans="1:18" x14ac:dyDescent="0.2">
      <c r="A3742" s="16"/>
      <c r="B3742" s="16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</row>
    <row r="3743" spans="1:18" x14ac:dyDescent="0.2">
      <c r="A3743" s="16"/>
      <c r="B3743" s="16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</row>
    <row r="3744" spans="1:18" x14ac:dyDescent="0.2">
      <c r="A3744" s="16"/>
      <c r="B3744" s="16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</row>
    <row r="3745" spans="1:18" x14ac:dyDescent="0.2">
      <c r="A3745" s="16"/>
      <c r="B3745" s="16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</row>
    <row r="3746" spans="1:18" x14ac:dyDescent="0.2">
      <c r="A3746" s="16"/>
      <c r="B3746" s="16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</row>
    <row r="3747" spans="1:18" x14ac:dyDescent="0.2">
      <c r="A3747" s="16"/>
      <c r="B3747" s="16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</row>
    <row r="3748" spans="1:18" x14ac:dyDescent="0.2">
      <c r="A3748" s="16"/>
      <c r="B3748" s="16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</row>
    <row r="3749" spans="1:18" x14ac:dyDescent="0.2">
      <c r="A3749" s="16"/>
      <c r="B3749" s="16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</row>
    <row r="3750" spans="1:18" x14ac:dyDescent="0.2">
      <c r="A3750" s="16"/>
      <c r="B3750" s="16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</row>
    <row r="3751" spans="1:18" x14ac:dyDescent="0.2">
      <c r="A3751" s="16"/>
      <c r="B3751" s="16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</row>
    <row r="3752" spans="1:18" x14ac:dyDescent="0.2">
      <c r="A3752" s="16"/>
      <c r="B3752" s="16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</row>
    <row r="3753" spans="1:18" x14ac:dyDescent="0.2">
      <c r="A3753" s="16"/>
      <c r="B3753" s="16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</row>
    <row r="3754" spans="1:18" x14ac:dyDescent="0.2">
      <c r="A3754" s="16"/>
      <c r="B3754" s="16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</row>
    <row r="3755" spans="1:18" x14ac:dyDescent="0.2">
      <c r="A3755" s="16"/>
      <c r="B3755" s="16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</row>
    <row r="3756" spans="1:18" x14ac:dyDescent="0.2">
      <c r="A3756" s="16"/>
      <c r="B3756" s="16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</row>
    <row r="3757" spans="1:18" x14ac:dyDescent="0.2">
      <c r="A3757" s="16"/>
      <c r="B3757" s="16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</row>
    <row r="3758" spans="1:18" x14ac:dyDescent="0.2">
      <c r="A3758" s="16"/>
      <c r="B3758" s="16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</row>
    <row r="3759" spans="1:18" x14ac:dyDescent="0.2">
      <c r="A3759" s="16"/>
      <c r="B3759" s="16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</row>
    <row r="3760" spans="1:18" x14ac:dyDescent="0.2">
      <c r="A3760" s="16"/>
      <c r="B3760" s="16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</row>
    <row r="3761" spans="1:18" x14ac:dyDescent="0.2">
      <c r="A3761" s="16"/>
      <c r="B3761" s="16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</row>
    <row r="3762" spans="1:18" x14ac:dyDescent="0.2">
      <c r="A3762" s="16"/>
      <c r="B3762" s="16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</row>
    <row r="3763" spans="1:18" x14ac:dyDescent="0.2">
      <c r="A3763" s="16"/>
      <c r="B3763" s="16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</row>
    <row r="3764" spans="1:18" x14ac:dyDescent="0.2">
      <c r="A3764" s="16"/>
      <c r="B3764" s="16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</row>
    <row r="3765" spans="1:18" x14ac:dyDescent="0.2">
      <c r="A3765" s="16"/>
      <c r="B3765" s="16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</row>
    <row r="3766" spans="1:18" x14ac:dyDescent="0.2">
      <c r="A3766" s="16"/>
      <c r="B3766" s="16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</row>
    <row r="3767" spans="1:18" x14ac:dyDescent="0.2">
      <c r="A3767" s="16"/>
      <c r="B3767" s="16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</row>
    <row r="3768" spans="1:18" x14ac:dyDescent="0.2">
      <c r="A3768" s="16"/>
      <c r="B3768" s="16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</row>
    <row r="3769" spans="1:18" x14ac:dyDescent="0.2">
      <c r="A3769" s="16"/>
      <c r="B3769" s="16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</row>
    <row r="3770" spans="1:18" x14ac:dyDescent="0.2">
      <c r="A3770" s="16"/>
      <c r="B3770" s="16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</row>
    <row r="3771" spans="1:18" x14ac:dyDescent="0.2">
      <c r="A3771" s="16"/>
      <c r="B3771" s="16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</row>
    <row r="3772" spans="1:18" x14ac:dyDescent="0.2">
      <c r="A3772" s="16"/>
      <c r="B3772" s="16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</row>
    <row r="3773" spans="1:18" x14ac:dyDescent="0.2">
      <c r="A3773" s="16"/>
      <c r="B3773" s="16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</row>
    <row r="3774" spans="1:18" x14ac:dyDescent="0.2">
      <c r="A3774" s="16"/>
      <c r="B3774" s="16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</row>
    <row r="3775" spans="1:18" x14ac:dyDescent="0.2">
      <c r="A3775" s="16"/>
      <c r="B3775" s="16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</row>
    <row r="3776" spans="1:18" x14ac:dyDescent="0.2">
      <c r="A3776" s="16"/>
      <c r="B3776" s="16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</row>
    <row r="3777" spans="1:18" x14ac:dyDescent="0.2">
      <c r="A3777" s="16"/>
      <c r="B3777" s="16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</row>
    <row r="3778" spans="1:18" x14ac:dyDescent="0.2">
      <c r="A3778" s="16"/>
      <c r="B3778" s="16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</row>
    <row r="3779" spans="1:18" x14ac:dyDescent="0.2">
      <c r="A3779" s="16"/>
      <c r="B3779" s="16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</row>
    <row r="3780" spans="1:18" x14ac:dyDescent="0.2">
      <c r="A3780" s="16"/>
      <c r="B3780" s="16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</row>
    <row r="3781" spans="1:18" x14ac:dyDescent="0.2">
      <c r="A3781" s="16"/>
      <c r="B3781" s="16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</row>
    <row r="3782" spans="1:18" x14ac:dyDescent="0.2">
      <c r="A3782" s="16"/>
      <c r="B3782" s="16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</row>
    <row r="3783" spans="1:18" x14ac:dyDescent="0.2">
      <c r="A3783" s="16"/>
      <c r="B3783" s="16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</row>
    <row r="3784" spans="1:18" x14ac:dyDescent="0.2">
      <c r="A3784" s="16"/>
      <c r="B3784" s="16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</row>
    <row r="3785" spans="1:18" x14ac:dyDescent="0.2">
      <c r="A3785" s="16"/>
      <c r="B3785" s="16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</row>
    <row r="3786" spans="1:18" x14ac:dyDescent="0.2">
      <c r="A3786" s="16"/>
      <c r="B3786" s="16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</row>
    <row r="3787" spans="1:18" x14ac:dyDescent="0.2">
      <c r="A3787" s="16"/>
      <c r="B3787" s="16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</row>
    <row r="3788" spans="1:18" x14ac:dyDescent="0.2">
      <c r="A3788" s="16"/>
      <c r="B3788" s="16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</row>
    <row r="3789" spans="1:18" x14ac:dyDescent="0.2">
      <c r="A3789" s="16"/>
      <c r="B3789" s="16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</row>
    <row r="3790" spans="1:18" x14ac:dyDescent="0.2">
      <c r="A3790" s="16"/>
      <c r="B3790" s="16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</row>
    <row r="3791" spans="1:18" x14ac:dyDescent="0.2">
      <c r="A3791" s="16"/>
      <c r="B3791" s="16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</row>
    <row r="3792" spans="1:18" x14ac:dyDescent="0.2">
      <c r="A3792" s="16"/>
      <c r="B3792" s="16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</row>
    <row r="3793" spans="1:18" x14ac:dyDescent="0.2">
      <c r="A3793" s="16"/>
      <c r="B3793" s="16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</row>
    <row r="3794" spans="1:18" x14ac:dyDescent="0.2">
      <c r="A3794" s="16"/>
      <c r="B3794" s="16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</row>
    <row r="3795" spans="1:18" x14ac:dyDescent="0.2">
      <c r="A3795" s="16"/>
      <c r="B3795" s="16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</row>
    <row r="3796" spans="1:18" x14ac:dyDescent="0.2">
      <c r="A3796" s="16"/>
      <c r="B3796" s="16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</row>
    <row r="3797" spans="1:18" x14ac:dyDescent="0.2">
      <c r="A3797" s="16"/>
      <c r="B3797" s="16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</row>
    <row r="3798" spans="1:18" x14ac:dyDescent="0.2">
      <c r="A3798" s="16"/>
      <c r="B3798" s="16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</row>
    <row r="3799" spans="1:18" x14ac:dyDescent="0.2">
      <c r="A3799" s="16"/>
      <c r="B3799" s="16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</row>
    <row r="3800" spans="1:18" x14ac:dyDescent="0.2">
      <c r="A3800" s="16"/>
      <c r="B3800" s="16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</row>
    <row r="3801" spans="1:18" x14ac:dyDescent="0.2">
      <c r="A3801" s="16"/>
      <c r="B3801" s="16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</row>
    <row r="3802" spans="1:18" x14ac:dyDescent="0.2">
      <c r="A3802" s="16"/>
      <c r="B3802" s="16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</row>
    <row r="3803" spans="1:18" x14ac:dyDescent="0.2">
      <c r="A3803" s="16"/>
      <c r="B3803" s="16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</row>
    <row r="3804" spans="1:18" x14ac:dyDescent="0.2">
      <c r="A3804" s="16"/>
      <c r="B3804" s="16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</row>
    <row r="3805" spans="1:18" x14ac:dyDescent="0.2">
      <c r="A3805" s="16"/>
      <c r="B3805" s="16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</row>
    <row r="3806" spans="1:18" x14ac:dyDescent="0.2">
      <c r="A3806" s="16"/>
      <c r="B3806" s="16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</row>
    <row r="3807" spans="1:18" x14ac:dyDescent="0.2">
      <c r="A3807" s="16"/>
      <c r="B3807" s="16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</row>
    <row r="3808" spans="1:18" x14ac:dyDescent="0.2">
      <c r="A3808" s="16"/>
      <c r="B3808" s="16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</row>
    <row r="3809" spans="1:18" x14ac:dyDescent="0.2">
      <c r="A3809" s="16"/>
      <c r="B3809" s="16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</row>
    <row r="3810" spans="1:18" x14ac:dyDescent="0.2">
      <c r="A3810" s="16"/>
      <c r="B3810" s="16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</row>
    <row r="3811" spans="1:18" x14ac:dyDescent="0.2">
      <c r="A3811" s="16"/>
      <c r="B3811" s="16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</row>
    <row r="3812" spans="1:18" x14ac:dyDescent="0.2">
      <c r="A3812" s="16"/>
      <c r="B3812" s="16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</row>
    <row r="3813" spans="1:18" x14ac:dyDescent="0.2">
      <c r="A3813" s="16"/>
      <c r="B3813" s="16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</row>
    <row r="3814" spans="1:18" x14ac:dyDescent="0.2">
      <c r="A3814" s="16"/>
      <c r="B3814" s="16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</row>
    <row r="3815" spans="1:18" x14ac:dyDescent="0.2">
      <c r="A3815" s="16"/>
      <c r="B3815" s="16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</row>
    <row r="3816" spans="1:18" x14ac:dyDescent="0.2">
      <c r="A3816" s="16"/>
      <c r="B3816" s="16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</row>
    <row r="3817" spans="1:18" x14ac:dyDescent="0.2">
      <c r="A3817" s="16"/>
      <c r="B3817" s="16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</row>
    <row r="3818" spans="1:18" x14ac:dyDescent="0.2">
      <c r="A3818" s="16"/>
      <c r="B3818" s="16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</row>
    <row r="3819" spans="1:18" x14ac:dyDescent="0.2">
      <c r="A3819" s="16"/>
      <c r="B3819" s="16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</row>
    <row r="3820" spans="1:18" x14ac:dyDescent="0.2">
      <c r="A3820" s="16"/>
      <c r="B3820" s="16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</row>
    <row r="3821" spans="1:18" x14ac:dyDescent="0.2">
      <c r="A3821" s="16"/>
      <c r="B3821" s="16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</row>
    <row r="3822" spans="1:18" x14ac:dyDescent="0.2">
      <c r="A3822" s="16"/>
      <c r="B3822" s="16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</row>
    <row r="3823" spans="1:18" x14ac:dyDescent="0.2">
      <c r="A3823" s="16"/>
      <c r="B3823" s="16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</row>
    <row r="3824" spans="1:18" x14ac:dyDescent="0.2">
      <c r="A3824" s="16"/>
      <c r="B3824" s="16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</row>
    <row r="3825" spans="1:18" x14ac:dyDescent="0.2">
      <c r="A3825" s="16"/>
      <c r="B3825" s="16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</row>
    <row r="3826" spans="1:18" x14ac:dyDescent="0.2">
      <c r="A3826" s="16"/>
      <c r="B3826" s="16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</row>
    <row r="3827" spans="1:18" x14ac:dyDescent="0.2">
      <c r="A3827" s="16"/>
      <c r="B3827" s="16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</row>
    <row r="3828" spans="1:18" x14ac:dyDescent="0.2">
      <c r="A3828" s="16"/>
      <c r="B3828" s="16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</row>
    <row r="3829" spans="1:18" x14ac:dyDescent="0.2">
      <c r="A3829" s="16"/>
      <c r="B3829" s="16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</row>
    <row r="3830" spans="1:18" x14ac:dyDescent="0.2">
      <c r="A3830" s="16"/>
      <c r="B3830" s="16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</row>
    <row r="3831" spans="1:18" x14ac:dyDescent="0.2">
      <c r="A3831" s="16"/>
      <c r="B3831" s="16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</row>
    <row r="3832" spans="1:18" x14ac:dyDescent="0.2">
      <c r="A3832" s="16"/>
      <c r="B3832" s="16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</row>
    <row r="3833" spans="1:18" x14ac:dyDescent="0.2">
      <c r="A3833" s="16"/>
      <c r="B3833" s="16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</row>
    <row r="3834" spans="1:18" x14ac:dyDescent="0.2">
      <c r="A3834" s="16"/>
      <c r="B3834" s="16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</row>
    <row r="3835" spans="1:18" x14ac:dyDescent="0.2">
      <c r="A3835" s="16"/>
      <c r="B3835" s="16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</row>
    <row r="3836" spans="1:18" x14ac:dyDescent="0.2">
      <c r="A3836" s="16"/>
      <c r="B3836" s="16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</row>
    <row r="3837" spans="1:18" x14ac:dyDescent="0.2">
      <c r="A3837" s="16"/>
      <c r="B3837" s="16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</row>
    <row r="3838" spans="1:18" x14ac:dyDescent="0.2">
      <c r="A3838" s="16"/>
      <c r="B3838" s="16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</row>
    <row r="3839" spans="1:18" x14ac:dyDescent="0.2">
      <c r="A3839" s="16"/>
      <c r="B3839" s="16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</row>
    <row r="3840" spans="1:18" x14ac:dyDescent="0.2">
      <c r="A3840" s="16"/>
      <c r="B3840" s="16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</row>
    <row r="3841" spans="1:18" x14ac:dyDescent="0.2">
      <c r="A3841" s="16"/>
      <c r="B3841" s="16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</row>
    <row r="3842" spans="1:18" x14ac:dyDescent="0.2">
      <c r="A3842" s="16"/>
      <c r="B3842" s="16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</row>
    <row r="3843" spans="1:18" x14ac:dyDescent="0.2">
      <c r="A3843" s="16"/>
      <c r="B3843" s="16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</row>
    <row r="3844" spans="1:18" x14ac:dyDescent="0.2">
      <c r="A3844" s="16"/>
      <c r="B3844" s="16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</row>
    <row r="3845" spans="1:18" x14ac:dyDescent="0.2">
      <c r="A3845" s="16"/>
      <c r="B3845" s="16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</row>
    <row r="3846" spans="1:18" x14ac:dyDescent="0.2">
      <c r="A3846" s="16"/>
      <c r="B3846" s="16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</row>
    <row r="3847" spans="1:18" x14ac:dyDescent="0.2">
      <c r="A3847" s="16"/>
      <c r="B3847" s="16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</row>
    <row r="3848" spans="1:18" x14ac:dyDescent="0.2">
      <c r="A3848" s="16"/>
      <c r="B3848" s="16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</row>
    <row r="3849" spans="1:18" x14ac:dyDescent="0.2">
      <c r="A3849" s="16"/>
      <c r="B3849" s="16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</row>
    <row r="3850" spans="1:18" x14ac:dyDescent="0.2">
      <c r="A3850" s="16"/>
      <c r="B3850" s="16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</row>
    <row r="3851" spans="1:18" x14ac:dyDescent="0.2">
      <c r="A3851" s="16"/>
      <c r="B3851" s="16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</row>
    <row r="3852" spans="1:18" x14ac:dyDescent="0.2">
      <c r="A3852" s="16"/>
      <c r="B3852" s="16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</row>
    <row r="3853" spans="1:18" x14ac:dyDescent="0.2">
      <c r="A3853" s="16"/>
      <c r="B3853" s="16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</row>
    <row r="3854" spans="1:18" x14ac:dyDescent="0.2">
      <c r="A3854" s="16"/>
      <c r="B3854" s="16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</row>
    <row r="3855" spans="1:18" x14ac:dyDescent="0.2">
      <c r="A3855" s="16"/>
      <c r="B3855" s="16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</row>
    <row r="3856" spans="1:18" x14ac:dyDescent="0.2">
      <c r="A3856" s="16"/>
      <c r="B3856" s="16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</row>
    <row r="3857" spans="1:18" x14ac:dyDescent="0.2">
      <c r="A3857" s="16"/>
      <c r="B3857" s="16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</row>
    <row r="3858" spans="1:18" x14ac:dyDescent="0.2">
      <c r="A3858" s="16"/>
      <c r="B3858" s="16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</row>
    <row r="3859" spans="1:18" x14ac:dyDescent="0.2">
      <c r="A3859" s="16"/>
      <c r="B3859" s="16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</row>
    <row r="3860" spans="1:18" x14ac:dyDescent="0.2">
      <c r="A3860" s="16"/>
      <c r="B3860" s="16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</row>
    <row r="3861" spans="1:18" x14ac:dyDescent="0.2">
      <c r="A3861" s="16"/>
      <c r="B3861" s="16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</row>
    <row r="3862" spans="1:18" x14ac:dyDescent="0.2">
      <c r="A3862" s="16"/>
      <c r="B3862" s="16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</row>
    <row r="3863" spans="1:18" x14ac:dyDescent="0.2">
      <c r="A3863" s="16"/>
      <c r="B3863" s="16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</row>
    <row r="3864" spans="1:18" x14ac:dyDescent="0.2">
      <c r="A3864" s="16"/>
      <c r="B3864" s="16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</row>
    <row r="3865" spans="1:18" x14ac:dyDescent="0.2">
      <c r="A3865" s="16"/>
      <c r="B3865" s="16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</row>
    <row r="3866" spans="1:18" x14ac:dyDescent="0.2">
      <c r="A3866" s="16"/>
      <c r="B3866" s="16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</row>
    <row r="3867" spans="1:18" x14ac:dyDescent="0.2">
      <c r="A3867" s="16"/>
      <c r="B3867" s="16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</row>
    <row r="3868" spans="1:18" x14ac:dyDescent="0.2">
      <c r="A3868" s="16"/>
      <c r="B3868" s="16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</row>
    <row r="3869" spans="1:18" x14ac:dyDescent="0.2">
      <c r="A3869" s="16"/>
      <c r="B3869" s="16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</row>
    <row r="3870" spans="1:18" x14ac:dyDescent="0.2">
      <c r="A3870" s="16"/>
      <c r="B3870" s="16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</row>
    <row r="3871" spans="1:18" x14ac:dyDescent="0.2">
      <c r="A3871" s="16"/>
      <c r="B3871" s="16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</row>
    <row r="3872" spans="1:18" x14ac:dyDescent="0.2">
      <c r="A3872" s="16"/>
      <c r="B3872" s="16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</row>
    <row r="3873" spans="1:18" x14ac:dyDescent="0.2">
      <c r="A3873" s="16"/>
      <c r="B3873" s="16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</row>
    <row r="3874" spans="1:18" x14ac:dyDescent="0.2">
      <c r="A3874" s="16"/>
      <c r="B3874" s="16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</row>
    <row r="3875" spans="1:18" x14ac:dyDescent="0.2">
      <c r="A3875" s="16"/>
      <c r="B3875" s="16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</row>
    <row r="3876" spans="1:18" x14ac:dyDescent="0.2">
      <c r="A3876" s="16"/>
      <c r="B3876" s="16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</row>
    <row r="3877" spans="1:18" x14ac:dyDescent="0.2">
      <c r="A3877" s="16"/>
      <c r="B3877" s="16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</row>
    <row r="3878" spans="1:18" x14ac:dyDescent="0.2">
      <c r="A3878" s="16"/>
      <c r="B3878" s="16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</row>
    <row r="3879" spans="1:18" x14ac:dyDescent="0.2">
      <c r="A3879" s="16"/>
      <c r="B3879" s="16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</row>
    <row r="3880" spans="1:18" x14ac:dyDescent="0.2">
      <c r="A3880" s="16"/>
      <c r="B3880" s="16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</row>
    <row r="3881" spans="1:18" x14ac:dyDescent="0.2">
      <c r="A3881" s="16"/>
      <c r="B3881" s="16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</row>
    <row r="3882" spans="1:18" x14ac:dyDescent="0.2">
      <c r="A3882" s="16"/>
      <c r="B3882" s="16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</row>
    <row r="3883" spans="1:18" x14ac:dyDescent="0.2">
      <c r="A3883" s="16"/>
      <c r="B3883" s="16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</row>
    <row r="3884" spans="1:18" x14ac:dyDescent="0.2">
      <c r="A3884" s="16"/>
      <c r="B3884" s="16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</row>
    <row r="3885" spans="1:18" x14ac:dyDescent="0.2">
      <c r="A3885" s="16"/>
      <c r="B3885" s="16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</row>
    <row r="3886" spans="1:18" x14ac:dyDescent="0.2">
      <c r="A3886" s="16"/>
      <c r="B3886" s="16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</row>
    <row r="3887" spans="1:18" x14ac:dyDescent="0.2">
      <c r="A3887" s="16"/>
      <c r="B3887" s="16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</row>
    <row r="3888" spans="1:18" x14ac:dyDescent="0.2">
      <c r="A3888" s="16"/>
      <c r="B3888" s="16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</row>
    <row r="3889" spans="1:18" x14ac:dyDescent="0.2">
      <c r="A3889" s="16"/>
      <c r="B3889" s="16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</row>
    <row r="3890" spans="1:18" x14ac:dyDescent="0.2">
      <c r="A3890" s="16"/>
      <c r="B3890" s="16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</row>
    <row r="3891" spans="1:18" x14ac:dyDescent="0.2">
      <c r="A3891" s="16"/>
      <c r="B3891" s="16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</row>
    <row r="3892" spans="1:18" x14ac:dyDescent="0.2">
      <c r="A3892" s="16"/>
      <c r="B3892" s="16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</row>
    <row r="3893" spans="1:18" x14ac:dyDescent="0.2">
      <c r="A3893" s="16"/>
      <c r="B3893" s="16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</row>
    <row r="3894" spans="1:18" x14ac:dyDescent="0.2">
      <c r="A3894" s="16"/>
      <c r="B3894" s="16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</row>
    <row r="3895" spans="1:18" x14ac:dyDescent="0.2">
      <c r="A3895" s="16"/>
      <c r="B3895" s="16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</row>
    <row r="3896" spans="1:18" x14ac:dyDescent="0.2">
      <c r="A3896" s="16"/>
      <c r="B3896" s="16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</row>
    <row r="3897" spans="1:18" x14ac:dyDescent="0.2">
      <c r="A3897" s="16"/>
      <c r="B3897" s="16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</row>
    <row r="3898" spans="1:18" x14ac:dyDescent="0.2">
      <c r="A3898" s="16"/>
      <c r="B3898" s="16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</row>
    <row r="3899" spans="1:18" x14ac:dyDescent="0.2">
      <c r="A3899" s="16"/>
      <c r="B3899" s="16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</row>
    <row r="3900" spans="1:18" x14ac:dyDescent="0.2">
      <c r="A3900" s="16"/>
      <c r="B3900" s="16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</row>
    <row r="3901" spans="1:18" x14ac:dyDescent="0.2">
      <c r="A3901" s="16"/>
      <c r="B3901" s="16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</row>
    <row r="3902" spans="1:18" x14ac:dyDescent="0.2">
      <c r="A3902" s="16"/>
      <c r="B3902" s="16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</row>
    <row r="3903" spans="1:18" x14ac:dyDescent="0.2">
      <c r="A3903" s="16"/>
      <c r="B3903" s="16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</row>
    <row r="3904" spans="1:18" x14ac:dyDescent="0.2">
      <c r="A3904" s="16"/>
      <c r="B3904" s="16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</row>
    <row r="3905" spans="1:18" x14ac:dyDescent="0.2">
      <c r="A3905" s="16"/>
      <c r="B3905" s="16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</row>
    <row r="3906" spans="1:18" x14ac:dyDescent="0.2">
      <c r="A3906" s="16"/>
      <c r="B3906" s="16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</row>
    <row r="3907" spans="1:18" x14ac:dyDescent="0.2">
      <c r="A3907" s="16"/>
      <c r="B3907" s="16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</row>
    <row r="3908" spans="1:18" x14ac:dyDescent="0.2">
      <c r="A3908" s="16"/>
      <c r="B3908" s="16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</row>
    <row r="3909" spans="1:18" x14ac:dyDescent="0.2">
      <c r="A3909" s="16"/>
      <c r="B3909" s="16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</row>
    <row r="3910" spans="1:18" x14ac:dyDescent="0.2">
      <c r="A3910" s="16"/>
      <c r="B3910" s="16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</row>
    <row r="3911" spans="1:18" x14ac:dyDescent="0.2">
      <c r="A3911" s="16"/>
      <c r="B3911" s="16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</row>
    <row r="3912" spans="1:18" x14ac:dyDescent="0.2">
      <c r="A3912" s="16"/>
      <c r="B3912" s="16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</row>
    <row r="3913" spans="1:18" x14ac:dyDescent="0.2">
      <c r="A3913" s="16"/>
      <c r="B3913" s="16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</row>
    <row r="3914" spans="1:18" x14ac:dyDescent="0.2">
      <c r="A3914" s="16"/>
      <c r="B3914" s="16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</row>
    <row r="3915" spans="1:18" x14ac:dyDescent="0.2">
      <c r="A3915" s="16"/>
      <c r="B3915" s="16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</row>
    <row r="3916" spans="1:18" x14ac:dyDescent="0.2">
      <c r="A3916" s="16"/>
      <c r="B3916" s="16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</row>
    <row r="3917" spans="1:18" x14ac:dyDescent="0.2">
      <c r="A3917" s="16"/>
      <c r="B3917" s="16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</row>
    <row r="3918" spans="1:18" x14ac:dyDescent="0.2">
      <c r="A3918" s="16"/>
      <c r="B3918" s="16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</row>
    <row r="3919" spans="1:18" x14ac:dyDescent="0.2">
      <c r="A3919" s="16"/>
      <c r="B3919" s="16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</row>
    <row r="3920" spans="1:18" x14ac:dyDescent="0.2">
      <c r="A3920" s="16"/>
      <c r="B3920" s="16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</row>
    <row r="3921" spans="1:18" x14ac:dyDescent="0.2">
      <c r="A3921" s="16"/>
      <c r="B3921" s="16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</row>
    <row r="3922" spans="1:18" x14ac:dyDescent="0.2">
      <c r="A3922" s="16"/>
      <c r="B3922" s="16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</row>
    <row r="3923" spans="1:18" x14ac:dyDescent="0.2">
      <c r="A3923" s="16"/>
      <c r="B3923" s="16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</row>
    <row r="3924" spans="1:18" x14ac:dyDescent="0.2">
      <c r="A3924" s="16"/>
      <c r="B3924" s="16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</row>
    <row r="3925" spans="1:18" x14ac:dyDescent="0.2">
      <c r="A3925" s="16"/>
      <c r="B3925" s="16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</row>
    <row r="3926" spans="1:18" x14ac:dyDescent="0.2">
      <c r="A3926" s="16"/>
      <c r="B3926" s="16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</row>
    <row r="3927" spans="1:18" x14ac:dyDescent="0.2">
      <c r="A3927" s="16"/>
      <c r="B3927" s="16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</row>
    <row r="3928" spans="1:18" x14ac:dyDescent="0.2">
      <c r="A3928" s="16"/>
      <c r="B3928" s="16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</row>
    <row r="3929" spans="1:18" x14ac:dyDescent="0.2">
      <c r="A3929" s="16"/>
      <c r="B3929" s="16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</row>
    <row r="3930" spans="1:18" x14ac:dyDescent="0.2">
      <c r="A3930" s="16"/>
      <c r="B3930" s="16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</row>
    <row r="3931" spans="1:18" x14ac:dyDescent="0.2">
      <c r="A3931" s="16"/>
      <c r="B3931" s="16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</row>
    <row r="3932" spans="1:18" x14ac:dyDescent="0.2">
      <c r="A3932" s="16"/>
      <c r="B3932" s="16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</row>
    <row r="3933" spans="1:18" x14ac:dyDescent="0.2">
      <c r="A3933" s="16"/>
      <c r="B3933" s="16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</row>
    <row r="3934" spans="1:18" x14ac:dyDescent="0.2">
      <c r="A3934" s="16"/>
      <c r="B3934" s="16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</row>
    <row r="3935" spans="1:18" x14ac:dyDescent="0.2">
      <c r="A3935" s="16"/>
      <c r="B3935" s="16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</row>
    <row r="3936" spans="1:18" x14ac:dyDescent="0.2">
      <c r="A3936" s="16"/>
      <c r="B3936" s="16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</row>
    <row r="3937" spans="1:18" x14ac:dyDescent="0.2">
      <c r="A3937" s="16"/>
      <c r="B3937" s="16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</row>
    <row r="3938" spans="1:18" x14ac:dyDescent="0.2">
      <c r="A3938" s="16"/>
      <c r="B3938" s="16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</row>
    <row r="3939" spans="1:18" x14ac:dyDescent="0.2">
      <c r="A3939" s="16"/>
      <c r="B3939" s="16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</row>
    <row r="3940" spans="1:18" x14ac:dyDescent="0.2">
      <c r="A3940" s="16"/>
      <c r="B3940" s="16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</row>
    <row r="3941" spans="1:18" x14ac:dyDescent="0.2">
      <c r="A3941" s="16"/>
      <c r="B3941" s="16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</row>
    <row r="3942" spans="1:18" x14ac:dyDescent="0.2">
      <c r="A3942" s="16"/>
      <c r="B3942" s="16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</row>
    <row r="3943" spans="1:18" x14ac:dyDescent="0.2">
      <c r="A3943" s="16"/>
      <c r="B3943" s="16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</row>
    <row r="3944" spans="1:18" x14ac:dyDescent="0.2">
      <c r="A3944" s="16"/>
      <c r="B3944" s="16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</row>
    <row r="3945" spans="1:18" x14ac:dyDescent="0.2">
      <c r="A3945" s="16"/>
      <c r="B3945" s="16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</row>
    <row r="3946" spans="1:18" x14ac:dyDescent="0.2">
      <c r="A3946" s="16"/>
      <c r="B3946" s="16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</row>
    <row r="3947" spans="1:18" x14ac:dyDescent="0.2">
      <c r="A3947" s="16"/>
      <c r="B3947" s="16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</row>
    <row r="3948" spans="1:18" x14ac:dyDescent="0.2">
      <c r="A3948" s="16"/>
      <c r="B3948" s="16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</row>
    <row r="3949" spans="1:18" x14ac:dyDescent="0.2">
      <c r="A3949" s="16"/>
      <c r="B3949" s="16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</row>
    <row r="3950" spans="1:18" x14ac:dyDescent="0.2">
      <c r="A3950" s="16"/>
      <c r="B3950" s="16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</row>
    <row r="3951" spans="1:18" x14ac:dyDescent="0.2">
      <c r="A3951" s="16"/>
      <c r="B3951" s="16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</row>
    <row r="3952" spans="1:18" x14ac:dyDescent="0.2">
      <c r="A3952" s="16"/>
      <c r="B3952" s="16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</row>
    <row r="3953" spans="1:18" x14ac:dyDescent="0.2">
      <c r="A3953" s="16"/>
      <c r="B3953" s="16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</row>
    <row r="3954" spans="1:18" x14ac:dyDescent="0.2">
      <c r="A3954" s="16"/>
      <c r="B3954" s="16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</row>
    <row r="3955" spans="1:18" x14ac:dyDescent="0.2">
      <c r="A3955" s="16"/>
      <c r="B3955" s="16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</row>
    <row r="3956" spans="1:18" x14ac:dyDescent="0.2">
      <c r="A3956" s="16"/>
      <c r="B3956" s="16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</row>
    <row r="3957" spans="1:18" x14ac:dyDescent="0.2">
      <c r="A3957" s="16"/>
      <c r="B3957" s="16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</row>
    <row r="3958" spans="1:18" x14ac:dyDescent="0.2">
      <c r="A3958" s="16"/>
      <c r="B3958" s="16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</row>
    <row r="3959" spans="1:18" x14ac:dyDescent="0.2">
      <c r="A3959" s="16"/>
      <c r="B3959" s="16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</row>
    <row r="3960" spans="1:18" x14ac:dyDescent="0.2">
      <c r="A3960" s="16"/>
      <c r="B3960" s="16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</row>
    <row r="3961" spans="1:18" x14ac:dyDescent="0.2">
      <c r="A3961" s="16"/>
      <c r="B3961" s="16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</row>
    <row r="3962" spans="1:18" x14ac:dyDescent="0.2">
      <c r="A3962" s="16"/>
      <c r="B3962" s="16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</row>
    <row r="3963" spans="1:18" x14ac:dyDescent="0.2">
      <c r="A3963" s="16"/>
      <c r="B3963" s="16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</row>
    <row r="3964" spans="1:18" x14ac:dyDescent="0.2">
      <c r="A3964" s="16"/>
      <c r="B3964" s="16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</row>
    <row r="3965" spans="1:18" x14ac:dyDescent="0.2">
      <c r="A3965" s="16"/>
      <c r="B3965" s="16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</row>
    <row r="3966" spans="1:18" x14ac:dyDescent="0.2">
      <c r="A3966" s="16"/>
      <c r="B3966" s="16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</row>
    <row r="3967" spans="1:18" x14ac:dyDescent="0.2">
      <c r="A3967" s="16"/>
      <c r="B3967" s="16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</row>
    <row r="3968" spans="1:18" x14ac:dyDescent="0.2">
      <c r="A3968" s="16"/>
      <c r="B3968" s="16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</row>
    <row r="3969" spans="1:18" x14ac:dyDescent="0.2">
      <c r="A3969" s="16"/>
      <c r="B3969" s="16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</row>
    <row r="3970" spans="1:18" x14ac:dyDescent="0.2">
      <c r="A3970" s="16"/>
      <c r="B3970" s="16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</row>
    <row r="3971" spans="1:18" x14ac:dyDescent="0.2">
      <c r="A3971" s="16"/>
      <c r="B3971" s="16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</row>
    <row r="3972" spans="1:18" x14ac:dyDescent="0.2">
      <c r="A3972" s="16"/>
      <c r="B3972" s="16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</row>
    <row r="3973" spans="1:18" x14ac:dyDescent="0.2">
      <c r="A3973" s="16"/>
      <c r="B3973" s="16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</row>
    <row r="3974" spans="1:18" x14ac:dyDescent="0.2">
      <c r="A3974" s="16"/>
      <c r="B3974" s="16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</row>
    <row r="3975" spans="1:18" x14ac:dyDescent="0.2">
      <c r="A3975" s="16"/>
      <c r="B3975" s="16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</row>
    <row r="3976" spans="1:18" x14ac:dyDescent="0.2">
      <c r="A3976" s="16"/>
      <c r="B3976" s="16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</row>
    <row r="3977" spans="1:18" x14ac:dyDescent="0.2">
      <c r="A3977" s="16"/>
      <c r="B3977" s="16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</row>
    <row r="3978" spans="1:18" x14ac:dyDescent="0.2">
      <c r="A3978" s="16"/>
      <c r="B3978" s="16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</row>
    <row r="3979" spans="1:18" x14ac:dyDescent="0.2">
      <c r="A3979" s="16"/>
      <c r="B3979" s="16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</row>
    <row r="3980" spans="1:18" x14ac:dyDescent="0.2">
      <c r="A3980" s="16"/>
      <c r="B3980" s="16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</row>
    <row r="3981" spans="1:18" x14ac:dyDescent="0.2">
      <c r="A3981" s="16"/>
      <c r="B3981" s="16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</row>
    <row r="3982" spans="1:18" x14ac:dyDescent="0.2">
      <c r="A3982" s="16"/>
      <c r="B3982" s="16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</row>
    <row r="3983" spans="1:18" x14ac:dyDescent="0.2">
      <c r="A3983" s="16"/>
      <c r="B3983" s="16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</row>
    <row r="3984" spans="1:18" x14ac:dyDescent="0.2">
      <c r="A3984" s="16"/>
      <c r="B3984" s="16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</row>
    <row r="3985" spans="1:18" x14ac:dyDescent="0.2">
      <c r="A3985" s="16"/>
      <c r="B3985" s="16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</row>
    <row r="3986" spans="1:18" x14ac:dyDescent="0.2">
      <c r="A3986" s="16"/>
      <c r="B3986" s="16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</row>
    <row r="3987" spans="1:18" x14ac:dyDescent="0.2">
      <c r="A3987" s="16"/>
      <c r="B3987" s="16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</row>
    <row r="3988" spans="1:18" x14ac:dyDescent="0.2">
      <c r="A3988" s="16"/>
      <c r="B3988" s="16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</row>
    <row r="3989" spans="1:18" x14ac:dyDescent="0.2">
      <c r="A3989" s="16"/>
      <c r="B3989" s="16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</row>
    <row r="3990" spans="1:18" x14ac:dyDescent="0.2">
      <c r="A3990" s="16"/>
      <c r="B3990" s="16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</row>
    <row r="3991" spans="1:18" x14ac:dyDescent="0.2">
      <c r="A3991" s="16"/>
      <c r="B3991" s="16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</row>
    <row r="3992" spans="1:18" x14ac:dyDescent="0.2">
      <c r="A3992" s="16"/>
      <c r="B3992" s="16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</row>
    <row r="3993" spans="1:18" x14ac:dyDescent="0.2">
      <c r="A3993" s="16"/>
      <c r="B3993" s="16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</row>
    <row r="3994" spans="1:18" x14ac:dyDescent="0.2">
      <c r="A3994" s="16"/>
      <c r="B3994" s="16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</row>
    <row r="3995" spans="1:18" x14ac:dyDescent="0.2">
      <c r="A3995" s="16"/>
      <c r="B3995" s="16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</row>
    <row r="3996" spans="1:18" x14ac:dyDescent="0.2">
      <c r="A3996" s="16"/>
      <c r="B3996" s="16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</row>
    <row r="3997" spans="1:18" x14ac:dyDescent="0.2">
      <c r="A3997" s="16"/>
      <c r="B3997" s="16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</row>
    <row r="3998" spans="1:18" x14ac:dyDescent="0.2">
      <c r="A3998" s="16"/>
      <c r="B3998" s="16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</row>
    <row r="3999" spans="1:18" x14ac:dyDescent="0.2">
      <c r="A3999" s="16"/>
      <c r="B3999" s="16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</row>
    <row r="4000" spans="1:18" x14ac:dyDescent="0.2">
      <c r="A4000" s="16"/>
      <c r="B4000" s="16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</row>
    <row r="4001" spans="1:18" x14ac:dyDescent="0.2">
      <c r="A4001" s="16"/>
      <c r="B4001" s="16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</row>
    <row r="4002" spans="1:18" x14ac:dyDescent="0.2">
      <c r="A4002" s="16"/>
      <c r="B4002" s="16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</row>
    <row r="4003" spans="1:18" x14ac:dyDescent="0.2">
      <c r="A4003" s="16"/>
      <c r="B4003" s="16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</row>
    <row r="4004" spans="1:18" x14ac:dyDescent="0.2">
      <c r="A4004" s="16"/>
      <c r="B4004" s="16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</row>
    <row r="4005" spans="1:18" x14ac:dyDescent="0.2">
      <c r="A4005" s="16"/>
      <c r="B4005" s="16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</row>
    <row r="4006" spans="1:18" x14ac:dyDescent="0.2">
      <c r="A4006" s="16"/>
      <c r="B4006" s="16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</row>
    <row r="4007" spans="1:18" x14ac:dyDescent="0.2">
      <c r="A4007" s="16"/>
      <c r="B4007" s="16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</row>
    <row r="4008" spans="1:18" x14ac:dyDescent="0.2">
      <c r="A4008" s="16"/>
      <c r="B4008" s="16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</row>
    <row r="4009" spans="1:18" x14ac:dyDescent="0.2">
      <c r="A4009" s="16"/>
      <c r="B4009" s="16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</row>
    <row r="4010" spans="1:18" x14ac:dyDescent="0.2">
      <c r="A4010" s="16"/>
      <c r="B4010" s="16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</row>
    <row r="4011" spans="1:18" x14ac:dyDescent="0.2">
      <c r="A4011" s="16"/>
      <c r="B4011" s="16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</row>
    <row r="4012" spans="1:18" x14ac:dyDescent="0.2">
      <c r="A4012" s="16"/>
      <c r="B4012" s="16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</row>
    <row r="4013" spans="1:18" x14ac:dyDescent="0.2">
      <c r="A4013" s="16"/>
      <c r="B4013" s="16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</row>
    <row r="4014" spans="1:18" x14ac:dyDescent="0.2">
      <c r="A4014" s="16"/>
      <c r="B4014" s="16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</row>
    <row r="4015" spans="1:18" x14ac:dyDescent="0.2">
      <c r="A4015" s="16"/>
      <c r="B4015" s="16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</row>
    <row r="4016" spans="1:18" x14ac:dyDescent="0.2">
      <c r="A4016" s="16"/>
      <c r="B4016" s="16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</row>
    <row r="4017" spans="1:18" x14ac:dyDescent="0.2">
      <c r="A4017" s="16"/>
      <c r="B4017" s="16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</row>
    <row r="4018" spans="1:18" x14ac:dyDescent="0.2">
      <c r="A4018" s="16"/>
      <c r="B4018" s="16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</row>
    <row r="4019" spans="1:18" x14ac:dyDescent="0.2">
      <c r="A4019" s="16"/>
      <c r="B4019" s="16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</row>
    <row r="4020" spans="1:18" x14ac:dyDescent="0.2">
      <c r="A4020" s="16"/>
      <c r="B4020" s="16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</row>
    <row r="4021" spans="1:18" x14ac:dyDescent="0.2">
      <c r="A4021" s="16"/>
      <c r="B4021" s="16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</row>
    <row r="4022" spans="1:18" x14ac:dyDescent="0.2">
      <c r="A4022" s="16"/>
      <c r="B4022" s="16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</row>
    <row r="4023" spans="1:18" x14ac:dyDescent="0.2">
      <c r="A4023" s="16"/>
      <c r="B4023" s="16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</row>
    <row r="4024" spans="1:18" x14ac:dyDescent="0.2">
      <c r="A4024" s="16"/>
      <c r="B4024" s="16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</row>
    <row r="4025" spans="1:18" x14ac:dyDescent="0.2">
      <c r="A4025" s="16"/>
      <c r="B4025" s="16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</row>
    <row r="4026" spans="1:18" x14ac:dyDescent="0.2">
      <c r="A4026" s="16"/>
      <c r="B4026" s="16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</row>
    <row r="4027" spans="1:18" x14ac:dyDescent="0.2">
      <c r="A4027" s="16"/>
      <c r="B4027" s="16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</row>
    <row r="4028" spans="1:18" x14ac:dyDescent="0.2">
      <c r="A4028" s="16"/>
      <c r="B4028" s="16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</row>
    <row r="4029" spans="1:18" x14ac:dyDescent="0.2">
      <c r="A4029" s="16"/>
      <c r="B4029" s="16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</row>
    <row r="4030" spans="1:18" x14ac:dyDescent="0.2">
      <c r="A4030" s="16"/>
      <c r="B4030" s="16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</row>
    <row r="4031" spans="1:18" x14ac:dyDescent="0.2">
      <c r="A4031" s="16"/>
      <c r="B4031" s="16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</row>
    <row r="4032" spans="1:18" x14ac:dyDescent="0.2">
      <c r="A4032" s="16"/>
      <c r="B4032" s="16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</row>
    <row r="4033" spans="1:18" x14ac:dyDescent="0.2">
      <c r="A4033" s="16"/>
      <c r="B4033" s="16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</row>
    <row r="4034" spans="1:18" x14ac:dyDescent="0.2">
      <c r="A4034" s="16"/>
      <c r="B4034" s="16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</row>
    <row r="4035" spans="1:18" x14ac:dyDescent="0.2">
      <c r="A4035" s="16"/>
      <c r="B4035" s="16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</row>
    <row r="4036" spans="1:18" x14ac:dyDescent="0.2">
      <c r="A4036" s="16"/>
      <c r="B4036" s="16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</row>
    <row r="4037" spans="1:18" x14ac:dyDescent="0.2">
      <c r="A4037" s="16"/>
      <c r="B4037" s="16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</row>
    <row r="4038" spans="1:18" x14ac:dyDescent="0.2">
      <c r="A4038" s="16"/>
      <c r="B4038" s="16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</row>
    <row r="4039" spans="1:18" x14ac:dyDescent="0.2">
      <c r="A4039" s="16"/>
      <c r="B4039" s="16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</row>
    <row r="4040" spans="1:18" x14ac:dyDescent="0.2">
      <c r="A4040" s="16"/>
      <c r="B4040" s="16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</row>
    <row r="4041" spans="1:18" x14ac:dyDescent="0.2">
      <c r="A4041" s="16"/>
      <c r="B4041" s="16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</row>
    <row r="4042" spans="1:18" x14ac:dyDescent="0.2">
      <c r="A4042" s="16"/>
      <c r="B4042" s="16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</row>
    <row r="4043" spans="1:18" x14ac:dyDescent="0.2">
      <c r="A4043" s="16"/>
      <c r="B4043" s="16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</row>
    <row r="4044" spans="1:18" x14ac:dyDescent="0.2">
      <c r="A4044" s="16"/>
      <c r="B4044" s="16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</row>
    <row r="4045" spans="1:18" x14ac:dyDescent="0.2">
      <c r="A4045" s="16"/>
      <c r="B4045" s="16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</row>
    <row r="4046" spans="1:18" x14ac:dyDescent="0.2">
      <c r="A4046" s="16"/>
      <c r="B4046" s="16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</row>
    <row r="4047" spans="1:18" x14ac:dyDescent="0.2">
      <c r="A4047" s="16"/>
      <c r="B4047" s="16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</row>
    <row r="4048" spans="1:18" x14ac:dyDescent="0.2">
      <c r="A4048" s="16"/>
      <c r="B4048" s="16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</row>
    <row r="4049" spans="1:18" x14ac:dyDescent="0.2">
      <c r="A4049" s="16"/>
      <c r="B4049" s="16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</row>
    <row r="4050" spans="1:18" x14ac:dyDescent="0.2">
      <c r="A4050" s="16"/>
      <c r="B4050" s="16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</row>
    <row r="4051" spans="1:18" x14ac:dyDescent="0.2">
      <c r="A4051" s="16"/>
      <c r="B4051" s="16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</row>
    <row r="4052" spans="1:18" x14ac:dyDescent="0.2">
      <c r="A4052" s="16"/>
      <c r="B4052" s="16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</row>
    <row r="4053" spans="1:18" x14ac:dyDescent="0.2">
      <c r="A4053" s="16"/>
      <c r="B4053" s="16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</row>
    <row r="4054" spans="1:18" x14ac:dyDescent="0.2">
      <c r="A4054" s="16"/>
      <c r="B4054" s="16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</row>
    <row r="4055" spans="1:18" x14ac:dyDescent="0.2">
      <c r="A4055" s="16"/>
      <c r="B4055" s="16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</row>
    <row r="4056" spans="1:18" x14ac:dyDescent="0.2">
      <c r="A4056" s="16"/>
      <c r="B4056" s="16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</row>
    <row r="4057" spans="1:18" x14ac:dyDescent="0.2">
      <c r="A4057" s="16"/>
      <c r="B4057" s="16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</row>
    <row r="4058" spans="1:18" x14ac:dyDescent="0.2">
      <c r="A4058" s="16"/>
      <c r="B4058" s="16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</row>
    <row r="4059" spans="1:18" x14ac:dyDescent="0.2">
      <c r="A4059" s="16"/>
      <c r="B4059" s="16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</row>
    <row r="4060" spans="1:18" x14ac:dyDescent="0.2">
      <c r="A4060" s="16"/>
      <c r="B4060" s="16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</row>
    <row r="4061" spans="1:18" x14ac:dyDescent="0.2">
      <c r="A4061" s="16"/>
      <c r="B4061" s="16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</row>
    <row r="4062" spans="1:18" x14ac:dyDescent="0.2">
      <c r="A4062" s="16"/>
      <c r="B4062" s="16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</row>
    <row r="4063" spans="1:18" x14ac:dyDescent="0.2">
      <c r="A4063" s="16"/>
      <c r="B4063" s="16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</row>
    <row r="4064" spans="1:18" x14ac:dyDescent="0.2">
      <c r="A4064" s="16"/>
      <c r="B4064" s="16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</row>
    <row r="4065" spans="1:18" x14ac:dyDescent="0.2">
      <c r="A4065" s="16"/>
      <c r="B4065" s="16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</row>
    <row r="4066" spans="1:18" x14ac:dyDescent="0.2">
      <c r="A4066" s="16"/>
      <c r="B4066" s="16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</row>
    <row r="4067" spans="1:18" x14ac:dyDescent="0.2">
      <c r="A4067" s="16"/>
      <c r="B4067" s="16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</row>
    <row r="4068" spans="1:18" x14ac:dyDescent="0.2">
      <c r="A4068" s="16"/>
      <c r="B4068" s="16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</row>
    <row r="4069" spans="1:18" x14ac:dyDescent="0.2">
      <c r="A4069" s="16"/>
      <c r="B4069" s="16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</row>
    <row r="4070" spans="1:18" x14ac:dyDescent="0.2">
      <c r="A4070" s="16"/>
      <c r="B4070" s="16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</row>
    <row r="4071" spans="1:18" x14ac:dyDescent="0.2">
      <c r="A4071" s="16"/>
      <c r="B4071" s="16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</row>
    <row r="4072" spans="1:18" x14ac:dyDescent="0.2">
      <c r="A4072" s="16"/>
      <c r="B4072" s="16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</row>
    <row r="4073" spans="1:18" x14ac:dyDescent="0.2">
      <c r="A4073" s="16"/>
      <c r="B4073" s="16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</row>
    <row r="4074" spans="1:18" x14ac:dyDescent="0.2">
      <c r="A4074" s="16"/>
      <c r="B4074" s="16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</row>
    <row r="4075" spans="1:18" x14ac:dyDescent="0.2">
      <c r="A4075" s="16"/>
      <c r="B4075" s="16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</row>
    <row r="4076" spans="1:18" x14ac:dyDescent="0.2">
      <c r="A4076" s="16"/>
      <c r="B4076" s="16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</row>
    <row r="4077" spans="1:18" x14ac:dyDescent="0.2">
      <c r="A4077" s="16"/>
      <c r="B4077" s="16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</row>
    <row r="4078" spans="1:18" x14ac:dyDescent="0.2">
      <c r="A4078" s="16"/>
      <c r="B4078" s="16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</row>
    <row r="4079" spans="1:18" x14ac:dyDescent="0.2">
      <c r="A4079" s="16"/>
      <c r="B4079" s="16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</row>
    <row r="4080" spans="1:18" x14ac:dyDescent="0.2">
      <c r="A4080" s="16"/>
      <c r="B4080" s="16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</row>
    <row r="4081" spans="1:18" x14ac:dyDescent="0.2">
      <c r="A4081" s="16"/>
      <c r="B4081" s="16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</row>
    <row r="4082" spans="1:18" x14ac:dyDescent="0.2">
      <c r="A4082" s="16"/>
      <c r="B4082" s="16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</row>
    <row r="4083" spans="1:18" x14ac:dyDescent="0.2">
      <c r="A4083" s="16"/>
      <c r="B4083" s="16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</row>
    <row r="4084" spans="1:18" x14ac:dyDescent="0.2">
      <c r="A4084" s="16"/>
      <c r="B4084" s="16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</row>
    <row r="4085" spans="1:18" x14ac:dyDescent="0.2">
      <c r="A4085" s="16"/>
      <c r="B4085" s="16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</row>
    <row r="4086" spans="1:18" x14ac:dyDescent="0.2">
      <c r="A4086" s="16"/>
      <c r="B4086" s="16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</row>
    <row r="4087" spans="1:18" x14ac:dyDescent="0.2">
      <c r="A4087" s="16"/>
      <c r="B4087" s="16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</row>
    <row r="4088" spans="1:18" x14ac:dyDescent="0.2">
      <c r="A4088" s="16"/>
      <c r="B4088" s="16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</row>
    <row r="4089" spans="1:18" x14ac:dyDescent="0.2">
      <c r="A4089" s="16"/>
      <c r="B4089" s="16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</row>
    <row r="4090" spans="1:18" x14ac:dyDescent="0.2">
      <c r="A4090" s="16"/>
      <c r="B4090" s="16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</row>
    <row r="4091" spans="1:18" x14ac:dyDescent="0.2">
      <c r="A4091" s="16"/>
      <c r="B4091" s="16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</row>
    <row r="4092" spans="1:18" x14ac:dyDescent="0.2">
      <c r="A4092" s="16"/>
      <c r="B4092" s="16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</row>
    <row r="4093" spans="1:18" x14ac:dyDescent="0.2">
      <c r="A4093" s="16"/>
      <c r="B4093" s="16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</row>
    <row r="4094" spans="1:18" x14ac:dyDescent="0.2">
      <c r="A4094" s="16"/>
      <c r="B4094" s="16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</row>
    <row r="4095" spans="1:18" x14ac:dyDescent="0.2">
      <c r="A4095" s="16"/>
      <c r="B4095" s="16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</row>
    <row r="4096" spans="1:18" x14ac:dyDescent="0.2">
      <c r="A4096" s="16"/>
      <c r="B4096" s="16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</row>
    <row r="4097" spans="1:18" x14ac:dyDescent="0.2">
      <c r="A4097" s="16"/>
      <c r="B4097" s="16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</row>
    <row r="4098" spans="1:18" x14ac:dyDescent="0.2">
      <c r="A4098" s="16"/>
      <c r="B4098" s="16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</row>
    <row r="4099" spans="1:18" x14ac:dyDescent="0.2">
      <c r="A4099" s="16"/>
      <c r="B4099" s="16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</row>
    <row r="4100" spans="1:18" x14ac:dyDescent="0.2">
      <c r="A4100" s="16"/>
      <c r="B4100" s="16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</row>
    <row r="4101" spans="1:18" x14ac:dyDescent="0.2">
      <c r="A4101" s="16"/>
      <c r="B4101" s="16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</row>
    <row r="4102" spans="1:18" x14ac:dyDescent="0.2">
      <c r="A4102" s="16"/>
      <c r="B4102" s="16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</row>
    <row r="4103" spans="1:18" x14ac:dyDescent="0.2">
      <c r="A4103" s="16"/>
      <c r="B4103" s="16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</row>
    <row r="4104" spans="1:18" x14ac:dyDescent="0.2">
      <c r="A4104" s="16"/>
      <c r="B4104" s="16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</row>
    <row r="4105" spans="1:18" x14ac:dyDescent="0.2">
      <c r="A4105" s="16"/>
      <c r="B4105" s="16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</row>
    <row r="4106" spans="1:18" x14ac:dyDescent="0.2">
      <c r="A4106" s="16"/>
      <c r="B4106" s="16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</row>
    <row r="4107" spans="1:18" x14ac:dyDescent="0.2">
      <c r="A4107" s="16"/>
      <c r="B4107" s="16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</row>
    <row r="4108" spans="1:18" x14ac:dyDescent="0.2">
      <c r="A4108" s="16"/>
      <c r="B4108" s="16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</row>
    <row r="4109" spans="1:18" x14ac:dyDescent="0.2">
      <c r="A4109" s="16"/>
      <c r="B4109" s="16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</row>
    <row r="4110" spans="1:18" x14ac:dyDescent="0.2">
      <c r="A4110" s="16"/>
      <c r="B4110" s="16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</row>
    <row r="4111" spans="1:18" x14ac:dyDescent="0.2">
      <c r="A4111" s="16"/>
      <c r="B4111" s="16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</row>
    <row r="4112" spans="1:18" x14ac:dyDescent="0.2">
      <c r="A4112" s="16"/>
      <c r="B4112" s="16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</row>
    <row r="4113" spans="1:18" x14ac:dyDescent="0.2">
      <c r="A4113" s="16"/>
      <c r="B4113" s="16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</row>
    <row r="4114" spans="1:18" x14ac:dyDescent="0.2">
      <c r="A4114" s="16"/>
      <c r="B4114" s="16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</row>
    <row r="4115" spans="1:18" x14ac:dyDescent="0.2">
      <c r="A4115" s="16"/>
      <c r="B4115" s="16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</row>
    <row r="4116" spans="1:18" x14ac:dyDescent="0.2">
      <c r="A4116" s="16"/>
      <c r="B4116" s="16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</row>
    <row r="4117" spans="1:18" x14ac:dyDescent="0.2">
      <c r="A4117" s="16"/>
      <c r="B4117" s="16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</row>
    <row r="4118" spans="1:18" x14ac:dyDescent="0.2">
      <c r="A4118" s="16"/>
      <c r="B4118" s="16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</row>
    <row r="4119" spans="1:18" x14ac:dyDescent="0.2">
      <c r="A4119" s="16"/>
      <c r="B4119" s="16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</row>
    <row r="4120" spans="1:18" x14ac:dyDescent="0.2">
      <c r="A4120" s="16"/>
      <c r="B4120" s="16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</row>
    <row r="4121" spans="1:18" x14ac:dyDescent="0.2">
      <c r="A4121" s="16"/>
      <c r="B4121" s="16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</row>
    <row r="4122" spans="1:18" x14ac:dyDescent="0.2">
      <c r="A4122" s="16"/>
      <c r="B4122" s="16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</row>
    <row r="4123" spans="1:18" x14ac:dyDescent="0.2">
      <c r="A4123" s="16"/>
      <c r="B4123" s="16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</row>
    <row r="4124" spans="1:18" x14ac:dyDescent="0.2">
      <c r="A4124" s="16"/>
      <c r="B4124" s="16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</row>
    <row r="4125" spans="1:18" x14ac:dyDescent="0.2">
      <c r="A4125" s="16"/>
      <c r="B4125" s="16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</row>
    <row r="4126" spans="1:18" x14ac:dyDescent="0.2">
      <c r="A4126" s="16"/>
      <c r="B4126" s="16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</row>
    <row r="4127" spans="1:18" x14ac:dyDescent="0.2">
      <c r="A4127" s="16"/>
      <c r="B4127" s="16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</row>
    <row r="4128" spans="1:18" x14ac:dyDescent="0.2">
      <c r="A4128" s="16"/>
      <c r="B4128" s="16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</row>
    <row r="4129" spans="1:18" x14ac:dyDescent="0.2">
      <c r="A4129" s="16"/>
      <c r="B4129" s="16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</row>
    <row r="4130" spans="1:18" x14ac:dyDescent="0.2">
      <c r="A4130" s="16"/>
      <c r="B4130" s="16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</row>
    <row r="4131" spans="1:18" x14ac:dyDescent="0.2">
      <c r="A4131" s="16"/>
      <c r="B4131" s="16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</row>
    <row r="4132" spans="1:18" x14ac:dyDescent="0.2">
      <c r="A4132" s="16"/>
      <c r="B4132" s="16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</row>
    <row r="4133" spans="1:18" x14ac:dyDescent="0.2">
      <c r="A4133" s="16"/>
      <c r="B4133" s="16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</row>
    <row r="4134" spans="1:18" x14ac:dyDescent="0.2">
      <c r="A4134" s="16"/>
      <c r="B4134" s="16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</row>
    <row r="4135" spans="1:18" x14ac:dyDescent="0.2">
      <c r="A4135" s="16"/>
      <c r="B4135" s="16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</row>
    <row r="4136" spans="1:18" x14ac:dyDescent="0.2">
      <c r="A4136" s="16"/>
      <c r="B4136" s="16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</row>
    <row r="4137" spans="1:18" x14ac:dyDescent="0.2">
      <c r="A4137" s="16"/>
      <c r="B4137" s="16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</row>
    <row r="4138" spans="1:18" x14ac:dyDescent="0.2">
      <c r="A4138" s="16"/>
      <c r="B4138" s="16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</row>
    <row r="4139" spans="1:18" x14ac:dyDescent="0.2">
      <c r="A4139" s="16"/>
      <c r="B4139" s="16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</row>
    <row r="4140" spans="1:18" x14ac:dyDescent="0.2">
      <c r="A4140" s="16"/>
      <c r="B4140" s="16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</row>
    <row r="4141" spans="1:18" x14ac:dyDescent="0.2">
      <c r="A4141" s="16"/>
      <c r="B4141" s="16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</row>
    <row r="4142" spans="1:18" x14ac:dyDescent="0.2">
      <c r="A4142" s="16"/>
      <c r="B4142" s="16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</row>
    <row r="4143" spans="1:18" x14ac:dyDescent="0.2">
      <c r="A4143" s="16"/>
      <c r="B4143" s="16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</row>
    <row r="4144" spans="1:18" x14ac:dyDescent="0.2">
      <c r="A4144" s="16"/>
      <c r="B4144" s="16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</row>
    <row r="4145" spans="1:18" x14ac:dyDescent="0.2">
      <c r="A4145" s="16"/>
      <c r="B4145" s="16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</row>
    <row r="4146" spans="1:18" x14ac:dyDescent="0.2">
      <c r="A4146" s="16"/>
      <c r="B4146" s="16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</row>
    <row r="4147" spans="1:18" x14ac:dyDescent="0.2">
      <c r="A4147" s="16"/>
      <c r="B4147" s="16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</row>
    <row r="4148" spans="1:18" x14ac:dyDescent="0.2">
      <c r="A4148" s="16"/>
      <c r="B4148" s="16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</row>
    <row r="4149" spans="1:18" x14ac:dyDescent="0.2">
      <c r="A4149" s="16"/>
      <c r="B4149" s="16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</row>
    <row r="4150" spans="1:18" x14ac:dyDescent="0.2">
      <c r="A4150" s="16"/>
      <c r="B4150" s="16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</row>
    <row r="4151" spans="1:18" x14ac:dyDescent="0.2">
      <c r="A4151" s="16"/>
      <c r="B4151" s="16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</row>
    <row r="4152" spans="1:18" x14ac:dyDescent="0.2">
      <c r="A4152" s="16"/>
      <c r="B4152" s="16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</row>
    <row r="4153" spans="1:18" x14ac:dyDescent="0.2">
      <c r="A4153" s="16"/>
      <c r="B4153" s="16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</row>
    <row r="4154" spans="1:18" x14ac:dyDescent="0.2">
      <c r="A4154" s="16"/>
      <c r="B4154" s="16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</row>
    <row r="4155" spans="1:18" x14ac:dyDescent="0.2">
      <c r="A4155" s="16"/>
      <c r="B4155" s="16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</row>
    <row r="4156" spans="1:18" x14ac:dyDescent="0.2">
      <c r="A4156" s="16"/>
      <c r="B4156" s="16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</row>
    <row r="4157" spans="1:18" x14ac:dyDescent="0.2">
      <c r="A4157" s="16"/>
      <c r="B4157" s="16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</row>
    <row r="4158" spans="1:18" x14ac:dyDescent="0.2">
      <c r="A4158" s="16"/>
      <c r="B4158" s="16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</row>
    <row r="4159" spans="1:18" x14ac:dyDescent="0.2">
      <c r="A4159" s="16"/>
      <c r="B4159" s="16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</row>
    <row r="4160" spans="1:18" x14ac:dyDescent="0.2">
      <c r="A4160" s="16"/>
      <c r="B4160" s="16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</row>
    <row r="4161" spans="1:18" x14ac:dyDescent="0.2">
      <c r="A4161" s="16"/>
      <c r="B4161" s="16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</row>
    <row r="4162" spans="1:18" x14ac:dyDescent="0.2">
      <c r="A4162" s="16"/>
      <c r="B4162" s="16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</row>
    <row r="4163" spans="1:18" x14ac:dyDescent="0.2">
      <c r="A4163" s="16"/>
      <c r="B4163" s="16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</row>
    <row r="4164" spans="1:18" x14ac:dyDescent="0.2">
      <c r="A4164" s="16"/>
      <c r="B4164" s="16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</row>
    <row r="4165" spans="1:18" x14ac:dyDescent="0.2">
      <c r="A4165" s="16"/>
      <c r="B4165" s="16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</row>
    <row r="4166" spans="1:18" x14ac:dyDescent="0.2">
      <c r="A4166" s="16"/>
      <c r="B4166" s="16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</row>
    <row r="4167" spans="1:18" x14ac:dyDescent="0.2">
      <c r="A4167" s="16"/>
      <c r="B4167" s="16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</row>
    <row r="4168" spans="1:18" x14ac:dyDescent="0.2">
      <c r="A4168" s="16"/>
      <c r="B4168" s="16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</row>
    <row r="4169" spans="1:18" x14ac:dyDescent="0.2">
      <c r="A4169" s="16"/>
      <c r="B4169" s="16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</row>
    <row r="4170" spans="1:18" x14ac:dyDescent="0.2">
      <c r="A4170" s="16"/>
      <c r="B4170" s="16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</row>
    <row r="4171" spans="1:18" x14ac:dyDescent="0.2">
      <c r="A4171" s="16"/>
      <c r="B4171" s="16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</row>
    <row r="4172" spans="1:18" x14ac:dyDescent="0.2">
      <c r="A4172" s="16"/>
      <c r="B4172" s="16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</row>
    <row r="4173" spans="1:18" x14ac:dyDescent="0.2">
      <c r="A4173" s="16"/>
      <c r="B4173" s="16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</row>
    <row r="4174" spans="1:18" x14ac:dyDescent="0.2">
      <c r="A4174" s="16"/>
      <c r="B4174" s="16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</row>
    <row r="4175" spans="1:18" x14ac:dyDescent="0.2">
      <c r="A4175" s="16"/>
      <c r="B4175" s="16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</row>
    <row r="4176" spans="1:18" x14ac:dyDescent="0.2">
      <c r="A4176" s="16"/>
      <c r="B4176" s="16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</row>
    <row r="4177" spans="1:18" x14ac:dyDescent="0.2">
      <c r="A4177" s="16"/>
      <c r="B4177" s="16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</row>
    <row r="4178" spans="1:18" x14ac:dyDescent="0.2">
      <c r="A4178" s="16"/>
      <c r="B4178" s="16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</row>
    <row r="4179" spans="1:18" x14ac:dyDescent="0.2">
      <c r="A4179" s="16"/>
      <c r="B4179" s="16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</row>
    <row r="4180" spans="1:18" x14ac:dyDescent="0.2">
      <c r="A4180" s="16"/>
      <c r="B4180" s="16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</row>
    <row r="4181" spans="1:18" x14ac:dyDescent="0.2">
      <c r="A4181" s="16"/>
      <c r="B4181" s="16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</row>
    <row r="4182" spans="1:18" x14ac:dyDescent="0.2">
      <c r="A4182" s="16"/>
      <c r="B4182" s="16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</row>
    <row r="4183" spans="1:18" x14ac:dyDescent="0.2">
      <c r="A4183" s="16"/>
      <c r="B4183" s="16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</row>
    <row r="4184" spans="1:18" x14ac:dyDescent="0.2">
      <c r="A4184" s="16"/>
      <c r="B4184" s="16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</row>
    <row r="4185" spans="1:18" x14ac:dyDescent="0.2">
      <c r="A4185" s="16"/>
      <c r="B4185" s="16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</row>
    <row r="4186" spans="1:18" x14ac:dyDescent="0.2">
      <c r="A4186" s="16"/>
      <c r="B4186" s="16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</row>
    <row r="4187" spans="1:18" x14ac:dyDescent="0.2">
      <c r="A4187" s="16"/>
      <c r="B4187" s="16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</row>
    <row r="4188" spans="1:18" x14ac:dyDescent="0.2">
      <c r="A4188" s="16"/>
      <c r="B4188" s="16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</row>
    <row r="4189" spans="1:18" x14ac:dyDescent="0.2">
      <c r="A4189" s="16"/>
      <c r="B4189" s="16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</row>
    <row r="4190" spans="1:18" x14ac:dyDescent="0.2">
      <c r="A4190" s="16"/>
      <c r="B4190" s="16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</row>
    <row r="4191" spans="1:18" x14ac:dyDescent="0.2">
      <c r="A4191" s="16"/>
      <c r="B4191" s="16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</row>
    <row r="4192" spans="1:18" x14ac:dyDescent="0.2">
      <c r="A4192" s="16"/>
      <c r="B4192" s="16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</row>
    <row r="4193" spans="1:18" x14ac:dyDescent="0.2">
      <c r="A4193" s="16"/>
      <c r="B4193" s="16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</row>
    <row r="4194" spans="1:18" x14ac:dyDescent="0.2">
      <c r="A4194" s="16"/>
      <c r="B4194" s="16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</row>
    <row r="4195" spans="1:18" x14ac:dyDescent="0.2">
      <c r="A4195" s="16"/>
      <c r="B4195" s="16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</row>
    <row r="4196" spans="1:18" x14ac:dyDescent="0.2">
      <c r="A4196" s="16"/>
      <c r="B4196" s="16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</row>
    <row r="4197" spans="1:18" x14ac:dyDescent="0.2">
      <c r="A4197" s="16"/>
      <c r="B4197" s="16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</row>
    <row r="4198" spans="1:18" x14ac:dyDescent="0.2">
      <c r="A4198" s="16"/>
      <c r="B4198" s="16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</row>
    <row r="4199" spans="1:18" x14ac:dyDescent="0.2">
      <c r="A4199" s="16"/>
      <c r="B4199" s="16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</row>
    <row r="4200" spans="1:18" x14ac:dyDescent="0.2">
      <c r="A4200" s="16"/>
      <c r="B4200" s="16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</row>
    <row r="4201" spans="1:18" x14ac:dyDescent="0.2">
      <c r="A4201" s="16"/>
      <c r="B4201" s="16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</row>
    <row r="4202" spans="1:18" x14ac:dyDescent="0.2">
      <c r="A4202" s="16"/>
      <c r="B4202" s="16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</row>
    <row r="4203" spans="1:18" x14ac:dyDescent="0.2">
      <c r="A4203" s="16"/>
      <c r="B4203" s="16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</row>
    <row r="4204" spans="1:18" x14ac:dyDescent="0.2">
      <c r="A4204" s="16"/>
      <c r="B4204" s="16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</row>
    <row r="4205" spans="1:18" x14ac:dyDescent="0.2">
      <c r="A4205" s="16"/>
      <c r="B4205" s="16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</row>
    <row r="4206" spans="1:18" x14ac:dyDescent="0.2">
      <c r="A4206" s="16"/>
      <c r="B4206" s="16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</row>
    <row r="4207" spans="1:18" x14ac:dyDescent="0.2">
      <c r="A4207" s="16"/>
      <c r="B4207" s="16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</row>
    <row r="4208" spans="1:18" x14ac:dyDescent="0.2">
      <c r="A4208" s="16"/>
      <c r="B4208" s="16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</row>
    <row r="4209" spans="1:18" x14ac:dyDescent="0.2">
      <c r="A4209" s="16"/>
      <c r="B4209" s="16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</row>
    <row r="4210" spans="1:18" x14ac:dyDescent="0.2">
      <c r="A4210" s="16"/>
      <c r="B4210" s="16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</row>
    <row r="4211" spans="1:18" x14ac:dyDescent="0.2">
      <c r="A4211" s="16"/>
      <c r="B4211" s="16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</row>
    <row r="4212" spans="1:18" x14ac:dyDescent="0.2">
      <c r="A4212" s="16"/>
      <c r="B4212" s="16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</row>
    <row r="4213" spans="1:18" x14ac:dyDescent="0.2">
      <c r="A4213" s="16"/>
      <c r="B4213" s="16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</row>
    <row r="4214" spans="1:18" x14ac:dyDescent="0.2">
      <c r="A4214" s="16"/>
      <c r="B4214" s="16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</row>
    <row r="4215" spans="1:18" x14ac:dyDescent="0.2">
      <c r="A4215" s="16"/>
      <c r="B4215" s="16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</row>
    <row r="4216" spans="1:18" x14ac:dyDescent="0.2">
      <c r="A4216" s="16"/>
      <c r="B4216" s="16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</row>
    <row r="4217" spans="1:18" x14ac:dyDescent="0.2">
      <c r="A4217" s="16"/>
      <c r="B4217" s="16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</row>
    <row r="4218" spans="1:18" x14ac:dyDescent="0.2">
      <c r="A4218" s="16"/>
      <c r="B4218" s="16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</row>
    <row r="4219" spans="1:18" x14ac:dyDescent="0.2">
      <c r="A4219" s="16"/>
      <c r="B4219" s="16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</row>
    <row r="4220" spans="1:18" x14ac:dyDescent="0.2">
      <c r="A4220" s="16"/>
      <c r="B4220" s="16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</row>
    <row r="4221" spans="1:18" x14ac:dyDescent="0.2">
      <c r="A4221" s="16"/>
      <c r="B4221" s="16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</row>
    <row r="4222" spans="1:18" x14ac:dyDescent="0.2">
      <c r="A4222" s="16"/>
      <c r="B4222" s="16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</row>
    <row r="4223" spans="1:18" x14ac:dyDescent="0.2">
      <c r="A4223" s="16"/>
      <c r="B4223" s="16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</row>
    <row r="4224" spans="1:18" x14ac:dyDescent="0.2">
      <c r="A4224" s="16"/>
      <c r="B4224" s="16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</row>
    <row r="4225" spans="1:18" x14ac:dyDescent="0.2">
      <c r="A4225" s="16"/>
      <c r="B4225" s="16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</row>
    <row r="4226" spans="1:18" x14ac:dyDescent="0.2">
      <c r="A4226" s="16"/>
      <c r="B4226" s="16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</row>
    <row r="4227" spans="1:18" x14ac:dyDescent="0.2">
      <c r="A4227" s="16"/>
      <c r="B4227" s="16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</row>
    <row r="4228" spans="1:18" x14ac:dyDescent="0.2">
      <c r="A4228" s="16"/>
      <c r="B4228" s="16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</row>
    <row r="4229" spans="1:18" x14ac:dyDescent="0.2">
      <c r="A4229" s="16"/>
      <c r="B4229" s="16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</row>
    <row r="4230" spans="1:18" x14ac:dyDescent="0.2">
      <c r="A4230" s="16"/>
      <c r="B4230" s="16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</row>
    <row r="4231" spans="1:18" x14ac:dyDescent="0.2">
      <c r="A4231" s="16"/>
      <c r="B4231" s="16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</row>
    <row r="4232" spans="1:18" x14ac:dyDescent="0.2">
      <c r="A4232" s="16"/>
      <c r="B4232" s="16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</row>
    <row r="4233" spans="1:18" x14ac:dyDescent="0.2">
      <c r="A4233" s="16"/>
      <c r="B4233" s="16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</row>
    <row r="4234" spans="1:18" x14ac:dyDescent="0.2">
      <c r="A4234" s="16"/>
      <c r="B4234" s="16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</row>
    <row r="4235" spans="1:18" x14ac:dyDescent="0.2">
      <c r="A4235" s="16"/>
      <c r="B4235" s="16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</row>
    <row r="4236" spans="1:18" x14ac:dyDescent="0.2">
      <c r="A4236" s="16"/>
      <c r="B4236" s="16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</row>
    <row r="4237" spans="1:18" x14ac:dyDescent="0.2">
      <c r="A4237" s="16"/>
      <c r="B4237" s="16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</row>
    <row r="4238" spans="1:18" x14ac:dyDescent="0.2">
      <c r="A4238" s="16"/>
      <c r="B4238" s="16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</row>
    <row r="4239" spans="1:18" x14ac:dyDescent="0.2">
      <c r="A4239" s="16"/>
      <c r="B4239" s="16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</row>
    <row r="4240" spans="1:18" x14ac:dyDescent="0.2">
      <c r="A4240" s="16"/>
      <c r="B4240" s="16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</row>
  </sheetData>
  <phoneticPr fontId="6" type="noConversion"/>
  <pageMargins left="0" right="0" top="0.7" bottom="0" header="0.25" footer="0"/>
  <pageSetup scale="63" orientation="landscape" horizontalDpi="300" r:id="rId1"/>
  <headerFooter alignWithMargins="0"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tabColor rgb="FF00FF00"/>
    <pageSetUpPr fitToPage="1"/>
  </sheetPr>
  <dimension ref="A1:Z675"/>
  <sheetViews>
    <sheetView showGridLines="0" view="pageBreakPreview" zoomScale="90" zoomScaleNormal="100" zoomScaleSheetLayoutView="90" workbookViewId="0">
      <selection activeCell="C5" sqref="C5"/>
    </sheetView>
  </sheetViews>
  <sheetFormatPr defaultColWidth="11" defaultRowHeight="15.75" x14ac:dyDescent="0.25"/>
  <cols>
    <col min="1" max="1" width="4.85546875" style="107" customWidth="1"/>
    <col min="2" max="2" width="43.42578125" style="107" bestFit="1" customWidth="1"/>
    <col min="3" max="3" width="16.5703125" style="107" customWidth="1"/>
    <col min="4" max="4" width="15.140625" style="107" bestFit="1" customWidth="1"/>
    <col min="5" max="5" width="15.42578125" style="107" bestFit="1" customWidth="1"/>
    <col min="6" max="6" width="13.42578125" style="107" customWidth="1"/>
    <col min="7" max="7" width="16.5703125" style="107" customWidth="1"/>
    <col min="8" max="8" width="15.42578125" style="107" bestFit="1" customWidth="1"/>
    <col min="9" max="9" width="3.5703125" style="107" customWidth="1"/>
    <col min="10" max="10" width="15.42578125" style="107" customWidth="1"/>
    <col min="11" max="11" width="18.42578125" style="107" customWidth="1"/>
    <col min="12" max="12" width="3.5703125" style="107" customWidth="1"/>
    <col min="13" max="13" width="15.42578125" style="107" bestFit="1" customWidth="1"/>
    <col min="14" max="14" width="3.5703125" style="107" customWidth="1"/>
    <col min="15" max="15" width="11" style="107"/>
    <col min="16" max="16" width="19" style="107" bestFit="1" customWidth="1"/>
    <col min="17" max="17" width="19" style="107" customWidth="1"/>
    <col min="18" max="18" width="21.5703125" style="107" bestFit="1" customWidth="1"/>
    <col min="19" max="19" width="16.140625" style="107" bestFit="1" customWidth="1"/>
    <col min="20" max="20" width="17" style="107" bestFit="1" customWidth="1"/>
    <col min="21" max="22" width="14.5703125" style="107" bestFit="1" customWidth="1"/>
    <col min="23" max="23" width="16.140625" style="107" bestFit="1" customWidth="1"/>
    <col min="24" max="26" width="14.5703125" style="107" bestFit="1" customWidth="1"/>
    <col min="27" max="16384" width="11" style="107"/>
  </cols>
  <sheetData>
    <row r="1" spans="1:26" x14ac:dyDescent="0.25"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26" x14ac:dyDescent="0.25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S2" s="149"/>
      <c r="T2" s="149"/>
      <c r="U2" s="149"/>
    </row>
    <row r="3" spans="1:26" x14ac:dyDescent="0.25"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577" t="s">
        <v>613</v>
      </c>
      <c r="Q3" s="108"/>
      <c r="S3" s="149"/>
      <c r="T3" s="149"/>
      <c r="U3" s="149"/>
    </row>
    <row r="4" spans="1:26" x14ac:dyDescent="0.25">
      <c r="B4" s="149"/>
      <c r="C4" s="149"/>
      <c r="D4" s="149"/>
      <c r="E4" s="149"/>
      <c r="F4" s="149"/>
      <c r="G4" s="109" t="s">
        <v>93</v>
      </c>
      <c r="H4" s="149"/>
      <c r="I4" s="149"/>
      <c r="J4" s="149"/>
      <c r="K4" s="149"/>
      <c r="L4" s="149"/>
      <c r="M4" s="149"/>
      <c r="N4" s="149"/>
      <c r="O4" s="149"/>
      <c r="P4" s="149"/>
      <c r="S4" s="149"/>
      <c r="T4" s="149"/>
      <c r="U4" s="150"/>
      <c r="V4" s="111"/>
      <c r="W4" s="111"/>
      <c r="X4" s="111"/>
      <c r="Y4" s="111"/>
      <c r="Z4" s="111"/>
    </row>
    <row r="5" spans="1:26" x14ac:dyDescent="0.25">
      <c r="B5" s="149"/>
      <c r="C5" s="149"/>
      <c r="D5" s="149"/>
      <c r="E5" s="149"/>
      <c r="F5" s="149"/>
      <c r="G5" s="578" t="s">
        <v>357</v>
      </c>
      <c r="H5" s="149"/>
      <c r="I5" s="149"/>
      <c r="J5" s="149"/>
      <c r="K5" s="149"/>
      <c r="L5" s="149"/>
      <c r="M5" s="149"/>
      <c r="N5" s="149"/>
      <c r="O5" s="149"/>
      <c r="P5" s="577"/>
      <c r="Q5" s="108"/>
      <c r="S5" s="149"/>
      <c r="T5" s="149"/>
      <c r="U5" s="432"/>
      <c r="V5" s="412"/>
      <c r="W5" s="412"/>
      <c r="X5" s="412"/>
      <c r="Y5" s="412"/>
      <c r="Z5" s="412"/>
    </row>
    <row r="6" spans="1:26" x14ac:dyDescent="0.25">
      <c r="B6" s="149"/>
      <c r="C6" s="149"/>
      <c r="D6" s="149"/>
      <c r="E6" s="149"/>
      <c r="F6" s="149"/>
      <c r="G6" s="578" t="s">
        <v>707</v>
      </c>
      <c r="H6" s="149"/>
      <c r="I6" s="149"/>
      <c r="J6" s="149"/>
      <c r="K6" s="149"/>
      <c r="L6" s="149"/>
      <c r="M6" s="149"/>
      <c r="N6" s="149"/>
      <c r="O6" s="149"/>
      <c r="P6" s="149"/>
      <c r="S6" s="149"/>
      <c r="T6" s="149"/>
      <c r="U6" s="432"/>
      <c r="V6" s="412"/>
      <c r="W6" s="412"/>
      <c r="X6" s="412"/>
      <c r="Y6" s="412"/>
      <c r="Z6" s="412"/>
    </row>
    <row r="7" spans="1:26" x14ac:dyDescent="0.25">
      <c r="B7" s="149"/>
      <c r="C7" s="149"/>
      <c r="D7" s="149"/>
      <c r="E7" s="578"/>
      <c r="F7" s="578"/>
      <c r="G7" s="149"/>
      <c r="H7" s="149"/>
      <c r="I7" s="149"/>
      <c r="J7" s="149"/>
      <c r="K7" s="149"/>
      <c r="L7" s="149"/>
      <c r="M7" s="149"/>
      <c r="N7" s="149"/>
      <c r="O7" s="149"/>
      <c r="P7" s="149"/>
      <c r="S7" s="149"/>
      <c r="T7" s="149"/>
      <c r="U7" s="199"/>
      <c r="V7" s="116"/>
      <c r="W7" s="116"/>
      <c r="X7" s="116"/>
      <c r="Y7" s="116"/>
      <c r="Z7" s="116"/>
    </row>
    <row r="8" spans="1:26" x14ac:dyDescent="0.25">
      <c r="B8" s="149"/>
      <c r="C8" s="149"/>
      <c r="D8" s="149"/>
      <c r="E8" s="149"/>
      <c r="F8" s="149"/>
      <c r="G8" s="149"/>
      <c r="H8" s="149"/>
      <c r="I8" s="149"/>
      <c r="J8" s="715" t="s">
        <v>153</v>
      </c>
      <c r="K8" s="715"/>
      <c r="L8" s="149"/>
      <c r="M8" s="149"/>
      <c r="N8" s="149"/>
      <c r="O8" s="149"/>
      <c r="P8" s="149"/>
      <c r="S8" s="149"/>
      <c r="T8" s="149"/>
      <c r="U8" s="433"/>
      <c r="V8" s="413"/>
      <c r="W8" s="413"/>
      <c r="X8" s="413"/>
      <c r="Y8" s="413"/>
      <c r="Z8" s="413"/>
    </row>
    <row r="9" spans="1:26" ht="16.5" thickBot="1" x14ac:dyDescent="0.3">
      <c r="B9" s="149"/>
      <c r="C9" s="149"/>
      <c r="D9" s="579"/>
      <c r="E9" s="579"/>
      <c r="F9" s="580" t="s">
        <v>708</v>
      </c>
      <c r="G9" s="580"/>
      <c r="H9" s="579"/>
      <c r="I9" s="581"/>
      <c r="J9" s="716" t="s">
        <v>359</v>
      </c>
      <c r="K9" s="716"/>
      <c r="L9" s="581"/>
      <c r="M9" s="581"/>
      <c r="N9" s="581"/>
      <c r="O9" s="149"/>
      <c r="P9" s="149"/>
      <c r="S9" s="149"/>
      <c r="T9" s="149"/>
      <c r="U9" s="433"/>
      <c r="V9" s="413"/>
      <c r="W9" s="413"/>
      <c r="X9" s="413"/>
      <c r="Y9" s="413"/>
      <c r="Z9" s="413"/>
    </row>
    <row r="10" spans="1:26" ht="16.5" thickTop="1" x14ac:dyDescent="0.25">
      <c r="B10" s="149"/>
      <c r="C10" s="149"/>
      <c r="D10" s="149"/>
      <c r="E10" s="150"/>
      <c r="F10" s="150" t="s">
        <v>154</v>
      </c>
      <c r="G10" s="139" t="s">
        <v>159</v>
      </c>
      <c r="H10" s="150"/>
      <c r="I10" s="150"/>
      <c r="J10" s="150" t="s">
        <v>105</v>
      </c>
      <c r="K10" s="150" t="s">
        <v>155</v>
      </c>
      <c r="L10" s="150"/>
      <c r="M10" s="150" t="s">
        <v>19</v>
      </c>
      <c r="N10" s="150"/>
      <c r="O10" s="150"/>
      <c r="P10" s="149"/>
      <c r="S10" s="149"/>
      <c r="T10" s="149"/>
      <c r="U10" s="433"/>
      <c r="V10" s="413"/>
      <c r="W10" s="413"/>
      <c r="X10" s="413"/>
      <c r="Y10" s="413"/>
      <c r="Z10" s="413"/>
    </row>
    <row r="11" spans="1:26" x14ac:dyDescent="0.25">
      <c r="A11" s="111" t="s">
        <v>12</v>
      </c>
      <c r="B11" s="149"/>
      <c r="C11" s="149"/>
      <c r="D11" s="150" t="s">
        <v>157</v>
      </c>
      <c r="E11" s="139" t="s">
        <v>106</v>
      </c>
      <c r="F11" s="150" t="s">
        <v>158</v>
      </c>
      <c r="G11" s="139" t="s">
        <v>106</v>
      </c>
      <c r="H11" s="139" t="s">
        <v>19</v>
      </c>
      <c r="I11" s="139"/>
      <c r="J11" s="139" t="s">
        <v>160</v>
      </c>
      <c r="K11" s="150" t="s">
        <v>161</v>
      </c>
      <c r="L11" s="150"/>
      <c r="M11" s="150" t="s">
        <v>162</v>
      </c>
      <c r="N11" s="139"/>
      <c r="O11" s="150" t="s">
        <v>156</v>
      </c>
      <c r="P11" s="150" t="s">
        <v>156</v>
      </c>
      <c r="Q11" s="111"/>
      <c r="R11" s="111"/>
      <c r="S11" s="149"/>
      <c r="T11" s="149"/>
      <c r="U11" s="433"/>
      <c r="V11" s="413"/>
      <c r="W11" s="413"/>
      <c r="X11" s="413"/>
      <c r="Y11" s="413"/>
      <c r="Z11" s="413"/>
    </row>
    <row r="12" spans="1:26" x14ac:dyDescent="0.25">
      <c r="A12" s="112" t="s">
        <v>17</v>
      </c>
      <c r="B12" s="151" t="s">
        <v>163</v>
      </c>
      <c r="C12" s="151" t="s">
        <v>164</v>
      </c>
      <c r="D12" s="151" t="s">
        <v>165</v>
      </c>
      <c r="E12" s="151" t="s">
        <v>166</v>
      </c>
      <c r="F12" s="151" t="s">
        <v>106</v>
      </c>
      <c r="G12" s="582" t="s">
        <v>608</v>
      </c>
      <c r="H12" s="151" t="s">
        <v>106</v>
      </c>
      <c r="I12" s="582"/>
      <c r="J12" s="151" t="s">
        <v>167</v>
      </c>
      <c r="K12" s="151" t="s">
        <v>168</v>
      </c>
      <c r="L12" s="151"/>
      <c r="M12" s="151" t="s">
        <v>106</v>
      </c>
      <c r="N12" s="582"/>
      <c r="O12" s="583" t="s">
        <v>66</v>
      </c>
      <c r="P12" s="151" t="s">
        <v>22</v>
      </c>
      <c r="Q12" s="221"/>
      <c r="S12" s="149"/>
      <c r="T12" s="149"/>
      <c r="U12" s="434"/>
      <c r="V12" s="414"/>
      <c r="W12" s="414"/>
      <c r="X12" s="414"/>
      <c r="Y12" s="414"/>
      <c r="Z12" s="414"/>
    </row>
    <row r="13" spans="1:26" x14ac:dyDescent="0.25">
      <c r="B13" s="150"/>
      <c r="C13" s="150"/>
      <c r="D13" s="150" t="s">
        <v>13</v>
      </c>
      <c r="E13" s="150" t="s">
        <v>14</v>
      </c>
      <c r="F13" s="150" t="s">
        <v>15</v>
      </c>
      <c r="G13" s="150" t="s">
        <v>16</v>
      </c>
      <c r="H13" s="150" t="s">
        <v>108</v>
      </c>
      <c r="I13" s="150"/>
      <c r="J13" s="150" t="s">
        <v>109</v>
      </c>
      <c r="K13" s="150" t="s">
        <v>110</v>
      </c>
      <c r="L13" s="150"/>
      <c r="M13" s="584" t="s">
        <v>112</v>
      </c>
      <c r="N13" s="149"/>
      <c r="O13" s="584" t="s">
        <v>113</v>
      </c>
      <c r="P13" s="584" t="s">
        <v>114</v>
      </c>
      <c r="Q13" s="114"/>
      <c r="R13" s="116"/>
      <c r="S13" s="149"/>
      <c r="T13" s="435"/>
      <c r="U13" s="432"/>
      <c r="V13" s="412"/>
      <c r="W13" s="412"/>
      <c r="X13" s="412"/>
      <c r="Y13" s="412"/>
      <c r="Z13" s="412"/>
    </row>
    <row r="14" spans="1:26" x14ac:dyDescent="0.25">
      <c r="A14" s="111">
        <v>1</v>
      </c>
      <c r="B14" s="585" t="s">
        <v>169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R14" s="116"/>
      <c r="S14" s="434"/>
      <c r="T14" s="149"/>
      <c r="U14" s="432"/>
      <c r="V14" s="412"/>
      <c r="W14" s="412"/>
      <c r="X14" s="412"/>
      <c r="Y14" s="412"/>
      <c r="Z14" s="412"/>
    </row>
    <row r="15" spans="1:26" x14ac:dyDescent="0.25">
      <c r="A15" s="111">
        <v>2</v>
      </c>
      <c r="B15" s="149" t="s">
        <v>526</v>
      </c>
      <c r="C15" s="150" t="s">
        <v>170</v>
      </c>
      <c r="D15" s="152">
        <f>'Bill Frequency'!O13</f>
        <v>1865637</v>
      </c>
      <c r="E15" s="152"/>
      <c r="F15" s="152"/>
      <c r="G15" s="152"/>
      <c r="H15" s="152"/>
      <c r="I15" s="152"/>
      <c r="J15" s="152">
        <f>'Test Year Monthly - (Pres)'!P13-'Test Year Revenue Present'!D15</f>
        <v>8400</v>
      </c>
      <c r="K15" s="152"/>
      <c r="L15" s="152"/>
      <c r="M15" s="152"/>
      <c r="N15" s="152"/>
      <c r="O15" s="586">
        <f>'Rate Design'!F12</f>
        <v>18.649999999999999</v>
      </c>
      <c r="P15" s="155">
        <f>ROUND(+O15*(D15+F15+J15),0)</f>
        <v>34950790</v>
      </c>
      <c r="Q15" s="155"/>
      <c r="R15" s="115"/>
      <c r="S15" s="436"/>
      <c r="T15" s="149"/>
      <c r="U15" s="199"/>
      <c r="V15" s="116"/>
      <c r="W15" s="116"/>
      <c r="X15" s="116"/>
      <c r="Y15" s="121"/>
      <c r="Z15" s="121"/>
    </row>
    <row r="16" spans="1:26" x14ac:dyDescent="0.25">
      <c r="A16" s="111">
        <v>3</v>
      </c>
      <c r="B16" s="149"/>
      <c r="C16" s="150" t="s">
        <v>170</v>
      </c>
      <c r="D16" s="199">
        <f>'Bill Frequency'!O20+'Bill Frequency'!O27+'Bill Frequency'!O34</f>
        <v>228871</v>
      </c>
      <c r="E16" s="152"/>
      <c r="F16" s="152">
        <f>+'Contract &amp; Vol Adj'!O20+'Contract &amp; Vol Adj'!O27+'Contract &amp; Vol Adj'!O34</f>
        <v>-2</v>
      </c>
      <c r="G16" s="149"/>
      <c r="H16" s="149"/>
      <c r="I16" s="149"/>
      <c r="J16" s="199"/>
      <c r="K16" s="199"/>
      <c r="L16" s="149"/>
      <c r="M16" s="436"/>
      <c r="N16" s="149"/>
      <c r="O16" s="587">
        <f>'Rate Design'!F13</f>
        <v>48.44</v>
      </c>
      <c r="P16" s="156">
        <f>ROUND(+O16*(D16+F16+J16),0)</f>
        <v>11086414</v>
      </c>
      <c r="Q16" s="156"/>
      <c r="R16" s="115"/>
      <c r="S16" s="436"/>
      <c r="T16" s="149"/>
      <c r="U16" s="433"/>
      <c r="V16" s="413"/>
      <c r="W16" s="116"/>
      <c r="X16" s="116"/>
      <c r="Y16" s="121"/>
      <c r="Z16" s="121"/>
    </row>
    <row r="17" spans="1:26" x14ac:dyDescent="0.25">
      <c r="A17" s="111">
        <v>4</v>
      </c>
      <c r="B17" s="149"/>
      <c r="C17" s="150" t="s">
        <v>171</v>
      </c>
      <c r="D17" s="199"/>
      <c r="E17" s="152">
        <f>'Bill Frequency'!P21+'Bill Frequency'!P28+'Bill Frequency'!P35+'Bill Frequency'!P14</f>
        <v>16904415.608727276</v>
      </c>
      <c r="F17" s="152">
        <f>'Contract &amp; Vol Adj'!P21+'Contract &amp; Vol Adj'!P28+'Contract &amp; Vol Adj'!P35+'Contract &amp; Vol Adj'!P14</f>
        <v>2142.8409090909095</v>
      </c>
      <c r="G17" s="152">
        <f>'WNA Summary'!P14+'WNA Summary'!P21+'WNA Summary'!P28</f>
        <v>-1064446.6656917988</v>
      </c>
      <c r="H17" s="152">
        <f>SUM(E17:G17)</f>
        <v>15842111.783944568</v>
      </c>
      <c r="I17" s="152"/>
      <c r="J17" s="152">
        <f>M17-H17</f>
        <v>51504.841527856886</v>
      </c>
      <c r="K17" s="152">
        <v>0</v>
      </c>
      <c r="L17" s="152"/>
      <c r="M17" s="156">
        <f>Q17</f>
        <v>15893616.625472425</v>
      </c>
      <c r="N17" s="152"/>
      <c r="O17" s="588">
        <f>'Rate Design'!F19</f>
        <v>1.3180000000000001</v>
      </c>
      <c r="P17" s="152">
        <f>ROUND((+M17)*O17,0)</f>
        <v>20947787</v>
      </c>
      <c r="Q17" s="152">
        <f>'Test Year Monthly - (Pres)'!P14+'Test Year Monthly - (Pres)'!P23+'Test Year Monthly - (Pres)'!P32+'Test Year Monthly - (Pres)'!P41</f>
        <v>15893616.625472425</v>
      </c>
      <c r="R17" s="115"/>
      <c r="S17" s="436"/>
      <c r="T17" s="437"/>
      <c r="U17" s="437"/>
      <c r="V17" s="123"/>
      <c r="W17" s="117"/>
      <c r="X17" s="117"/>
      <c r="Y17" s="121"/>
      <c r="Z17" s="121"/>
    </row>
    <row r="18" spans="1:26" x14ac:dyDescent="0.25">
      <c r="A18" s="111">
        <v>5</v>
      </c>
      <c r="B18" s="199"/>
      <c r="C18" s="150" t="s">
        <v>172</v>
      </c>
      <c r="D18" s="199"/>
      <c r="E18" s="152">
        <f>'Bill Frequency'!P22+'Bill Frequency'!P29+'Bill Frequency'!P36+'Bill Frequency'!P15</f>
        <v>1298067.3522727273</v>
      </c>
      <c r="F18" s="152">
        <f>'Contract &amp; Vol Adj'!P15+'Contract &amp; Vol Adj'!P22+'Contract &amp; Vol Adj'!P29+'Contract &amp; Vol Adj'!P36</f>
        <v>-3224.9409090909094</v>
      </c>
      <c r="G18" s="152">
        <f>'WNA Summary'!P15+'WNA Summary'!P22+'WNA Summary'!P29</f>
        <v>-68733.334308201331</v>
      </c>
      <c r="H18" s="152">
        <f>SUM(E18:G18)</f>
        <v>1226109.0770554352</v>
      </c>
      <c r="I18" s="152"/>
      <c r="J18" s="152">
        <v>0</v>
      </c>
      <c r="K18" s="152">
        <v>0</v>
      </c>
      <c r="L18" s="152"/>
      <c r="M18" s="156">
        <f>H18+J18+K18</f>
        <v>1226109.0770554352</v>
      </c>
      <c r="N18" s="152"/>
      <c r="O18" s="588">
        <f>'Rate Design'!F20</f>
        <v>0.87999999999999989</v>
      </c>
      <c r="P18" s="152">
        <f>ROUND((+M18)*O18,0)</f>
        <v>1078976</v>
      </c>
      <c r="Q18" s="152">
        <f>'Test Year Monthly - (Pres)'!P15+'Test Year Monthly - (Pres)'!P24+'Test Year Monthly - (Pres)'!P33+'Test Year Monthly - (Pres)'!P42</f>
        <v>1226109.0770554352</v>
      </c>
      <c r="R18" s="115"/>
      <c r="S18" s="436"/>
      <c r="T18" s="149"/>
      <c r="U18" s="437"/>
      <c r="W18" s="117"/>
      <c r="X18" s="117"/>
      <c r="Y18" s="121"/>
      <c r="Z18" s="121"/>
    </row>
    <row r="19" spans="1:26" x14ac:dyDescent="0.25">
      <c r="A19" s="111">
        <v>6</v>
      </c>
      <c r="B19" s="589"/>
      <c r="C19" s="150" t="s">
        <v>173</v>
      </c>
      <c r="D19" s="199"/>
      <c r="E19" s="152">
        <f>'Bill Frequency'!P23+'Bill Frequency'!P30+'Bill Frequency'!P37+'Bill Frequency'!P16</f>
        <v>0</v>
      </c>
      <c r="F19" s="152">
        <f>'Contract &amp; Vol Adj'!P16+'Contract &amp; Vol Adj'!P23+'Contract &amp; Vol Adj'!P30+'Contract &amp; Vol Adj'!P37</f>
        <v>0</v>
      </c>
      <c r="G19" s="152">
        <f>'WNA Summary'!P16+'WNA Summary'!P23+'WNA Summary'!P53+'WNA Summary'!P30</f>
        <v>0</v>
      </c>
      <c r="H19" s="152">
        <f>SUM(E19:G19)</f>
        <v>0</v>
      </c>
      <c r="I19" s="152"/>
      <c r="J19" s="152">
        <v>0</v>
      </c>
      <c r="K19" s="152">
        <v>0</v>
      </c>
      <c r="L19" s="152"/>
      <c r="M19" s="156">
        <f>H19+J19+K19</f>
        <v>0</v>
      </c>
      <c r="N19" s="152"/>
      <c r="O19" s="588">
        <f>'Rate Design'!F21</f>
        <v>0.62</v>
      </c>
      <c r="P19" s="152">
        <f>ROUND((+M19)*O19,0)</f>
        <v>0</v>
      </c>
      <c r="Q19" s="152"/>
      <c r="R19" s="115"/>
      <c r="S19" s="436"/>
      <c r="T19" s="149"/>
      <c r="U19" s="149"/>
      <c r="W19" s="117"/>
      <c r="X19" s="117"/>
      <c r="Y19" s="121"/>
      <c r="Z19" s="121"/>
    </row>
    <row r="20" spans="1:26" x14ac:dyDescent="0.25">
      <c r="A20" s="111">
        <v>7</v>
      </c>
      <c r="B20" s="149" t="s">
        <v>527</v>
      </c>
      <c r="C20" s="150" t="s">
        <v>170</v>
      </c>
      <c r="D20" s="152">
        <f>'Bill Frequency'!O41+'Bill Frequency'!O47</f>
        <v>125</v>
      </c>
      <c r="E20" s="152"/>
      <c r="F20" s="152">
        <f>'Contract &amp; Vol Adj'!O41+'Contract &amp; Vol Adj'!O47</f>
        <v>12</v>
      </c>
      <c r="G20" s="152"/>
      <c r="H20" s="152"/>
      <c r="I20" s="152"/>
      <c r="J20" s="152"/>
      <c r="K20" s="152"/>
      <c r="L20" s="152"/>
      <c r="M20" s="156"/>
      <c r="N20" s="152"/>
      <c r="O20" s="587">
        <f>'Rate Design'!F14</f>
        <v>395.56</v>
      </c>
      <c r="P20" s="156">
        <f>ROUND(+O20*(D20+F20+J20),0)</f>
        <v>54192</v>
      </c>
      <c r="Q20" s="156"/>
      <c r="R20" s="118" t="s">
        <v>562</v>
      </c>
      <c r="S20" s="438" t="s">
        <v>560</v>
      </c>
      <c r="T20" s="439" t="s">
        <v>561</v>
      </c>
      <c r="U20" s="113" t="s">
        <v>173</v>
      </c>
      <c r="W20" s="116"/>
      <c r="X20" s="116"/>
      <c r="Y20" s="121"/>
      <c r="Z20" s="121"/>
    </row>
    <row r="21" spans="1:26" x14ac:dyDescent="0.25">
      <c r="A21" s="111">
        <v>8</v>
      </c>
      <c r="B21" s="590"/>
      <c r="C21" s="150" t="s">
        <v>174</v>
      </c>
      <c r="D21" s="152"/>
      <c r="E21" s="152">
        <f>'Bill Frequency'!P42+'Bill Frequency'!P48</f>
        <v>316552.01799999998</v>
      </c>
      <c r="F21" s="152">
        <f>'Contract &amp; Vol Adj'!P42+'Contract &amp; Vol Adj'!P48</f>
        <v>-11394</v>
      </c>
      <c r="G21" s="152"/>
      <c r="H21" s="152">
        <f>SUM(E21:G21)</f>
        <v>305158.01799999998</v>
      </c>
      <c r="I21" s="152"/>
      <c r="J21" s="152"/>
      <c r="K21" s="152"/>
      <c r="L21" s="152"/>
      <c r="M21" s="156">
        <f>H21+J21+K21</f>
        <v>305158.01799999998</v>
      </c>
      <c r="N21" s="152"/>
      <c r="O21" s="588">
        <f>'Rate Design'!F27</f>
        <v>0.80770000000000008</v>
      </c>
      <c r="P21" s="152">
        <f>ROUND((+M21)*O21,0)</f>
        <v>246476</v>
      </c>
      <c r="Q21" s="152"/>
      <c r="R21" s="115" t="s">
        <v>94</v>
      </c>
      <c r="S21" s="117">
        <f>'Bill Frequency'!P14+'Contract &amp; Vol Adj'!P14+'WNA Summary'!P14</f>
        <v>10285002.129700003</v>
      </c>
      <c r="T21" s="116">
        <f>'Bill Frequency'!P15+'Contract &amp; Vol Adj'!P15+'WNA Summary'!P15</f>
        <v>0</v>
      </c>
      <c r="U21" s="116">
        <f>'Bill Frequency'!P16+'Contract &amp; Vol Adj'!P16+'WNA Summary'!P16</f>
        <v>0</v>
      </c>
      <c r="W21" s="116"/>
      <c r="X21" s="116"/>
      <c r="Y21" s="121"/>
      <c r="Z21" s="121"/>
    </row>
    <row r="22" spans="1:26" x14ac:dyDescent="0.25">
      <c r="A22" s="111">
        <v>9</v>
      </c>
      <c r="B22" s="149"/>
      <c r="C22" s="150" t="s">
        <v>173</v>
      </c>
      <c r="D22" s="152"/>
      <c r="E22" s="152">
        <f>'Bill Frequency'!P43+'Bill Frequency'!P49</f>
        <v>156226</v>
      </c>
      <c r="F22" s="152">
        <f>'Contract &amp; Vol Adj'!P43+'Contract &amp; Vol Adj'!P49</f>
        <v>-132606</v>
      </c>
      <c r="G22" s="152"/>
      <c r="H22" s="152">
        <f>SUM(E22:G22)</f>
        <v>23620</v>
      </c>
      <c r="I22" s="152"/>
      <c r="J22" s="152"/>
      <c r="K22" s="152"/>
      <c r="L22" s="152"/>
      <c r="M22" s="156">
        <f>H22+J22+K22</f>
        <v>23620</v>
      </c>
      <c r="N22" s="152"/>
      <c r="O22" s="588">
        <f>'Rate Design'!F28</f>
        <v>0.54190000000000005</v>
      </c>
      <c r="P22" s="152">
        <f>ROUND((+M22)*O22,0)</f>
        <v>12800</v>
      </c>
      <c r="Q22" s="152"/>
      <c r="R22" s="115" t="s">
        <v>124</v>
      </c>
      <c r="S22" s="117">
        <f>'Bill Frequency'!P21+'Contract &amp; Vol Adj'!P21+'WNA Summary'!P21</f>
        <v>4437500.9670017408</v>
      </c>
      <c r="T22" s="116">
        <f>'Bill Frequency'!P22+'Contract &amp; Vol Adj'!P22+'WNA Summary'!P22</f>
        <v>654965.87099825835</v>
      </c>
      <c r="U22" s="116">
        <f>'Bill Frequency'!P23+'Contract &amp; Vol Adj'!P23+'WNA Summary'!P23</f>
        <v>0</v>
      </c>
      <c r="W22" s="116"/>
      <c r="X22" s="116"/>
      <c r="Y22" s="121"/>
      <c r="Z22" s="121"/>
    </row>
    <row r="23" spans="1:26" x14ac:dyDescent="0.25">
      <c r="A23" s="111">
        <v>10</v>
      </c>
      <c r="B23" s="591"/>
      <c r="C23" s="592"/>
      <c r="D23" s="153"/>
      <c r="E23" s="153"/>
      <c r="F23" s="153"/>
      <c r="G23" s="591"/>
      <c r="H23" s="153"/>
      <c r="I23" s="153"/>
      <c r="J23" s="153"/>
      <c r="K23" s="153"/>
      <c r="L23" s="153"/>
      <c r="M23" s="638"/>
      <c r="N23" s="153"/>
      <c r="O23" s="593"/>
      <c r="P23" s="153"/>
      <c r="Q23" s="153"/>
      <c r="R23" s="115" t="s">
        <v>328</v>
      </c>
      <c r="S23" s="436">
        <f>'Bill Frequency'!P28+'Contract &amp; Vol Adj'!P28+'WNA Summary'!P51</f>
        <v>275016.43995454547</v>
      </c>
      <c r="T23" s="199">
        <f>'Bill Frequency'!P29+'Contract &amp; Vol Adj'!P29+'WNA Summary'!P52</f>
        <v>331031.22954545461</v>
      </c>
      <c r="U23" s="199">
        <f>'Bill Frequency'!P30+'Contract &amp; Vol Adj'!P30+'WNA Summary'!P53</f>
        <v>0</v>
      </c>
      <c r="Y23" s="121"/>
      <c r="Z23" s="121"/>
    </row>
    <row r="24" spans="1:26" x14ac:dyDescent="0.25">
      <c r="A24" s="111">
        <v>11</v>
      </c>
      <c r="B24" s="585" t="s">
        <v>70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436"/>
      <c r="N24" s="149"/>
      <c r="O24" s="149"/>
      <c r="P24" s="152"/>
      <c r="Q24" s="152"/>
      <c r="R24" s="118" t="s">
        <v>559</v>
      </c>
      <c r="S24" s="440">
        <f>'Bill Frequency'!P35+'Contract &amp; Vol Adj'!P35+'WNA Summary'!P28</f>
        <v>844592.24728827795</v>
      </c>
      <c r="T24" s="440">
        <f>'Bill Frequency'!P36+'Contract &amp; Vol Adj'!P36+'WNA Summary'!P29</f>
        <v>240111.97651172214</v>
      </c>
      <c r="U24" s="440">
        <f>'Bill Frequency'!P37+'Contract &amp; Vol Adj'!P37+'WNA Summary'!P30</f>
        <v>0</v>
      </c>
      <c r="Y24" s="121"/>
      <c r="Z24" s="121"/>
    </row>
    <row r="25" spans="1:26" x14ac:dyDescent="0.25">
      <c r="A25" s="111">
        <v>12</v>
      </c>
      <c r="B25" s="149" t="s">
        <v>531</v>
      </c>
      <c r="C25" s="150" t="s">
        <v>170</v>
      </c>
      <c r="D25" s="199">
        <f>'Bill Frequency'!O53</f>
        <v>1451</v>
      </c>
      <c r="E25" s="149"/>
      <c r="F25" s="193">
        <f>'Contract &amp; Vol Adj'!O53</f>
        <v>25</v>
      </c>
      <c r="G25" s="149"/>
      <c r="H25" s="152"/>
      <c r="I25" s="152"/>
      <c r="J25" s="152"/>
      <c r="K25" s="152"/>
      <c r="L25" s="152"/>
      <c r="M25" s="156"/>
      <c r="N25" s="152"/>
      <c r="O25" s="587">
        <f>'Rate Design'!F15</f>
        <v>390.12</v>
      </c>
      <c r="P25" s="152">
        <f>ROUND(+O25*(D25+F25),0)</f>
        <v>575817</v>
      </c>
      <c r="Q25" s="152"/>
      <c r="R25" s="115"/>
      <c r="S25" s="117">
        <f>SUM(S21:S24)</f>
        <v>15842111.783944568</v>
      </c>
      <c r="T25" s="117">
        <f>SUM(T21:T24)</f>
        <v>1226109.0770554352</v>
      </c>
      <c r="U25" s="116">
        <f>SUM(U21:U24)</f>
        <v>0</v>
      </c>
      <c r="W25" s="116"/>
      <c r="X25" s="116"/>
      <c r="Y25" s="121"/>
      <c r="Z25" s="121"/>
    </row>
    <row r="26" spans="1:26" x14ac:dyDescent="0.25">
      <c r="A26" s="111">
        <v>13</v>
      </c>
      <c r="B26" s="149" t="s">
        <v>530</v>
      </c>
      <c r="C26" s="150" t="s">
        <v>170</v>
      </c>
      <c r="D26" s="199">
        <f>'Bill Frequency'!O69</f>
        <v>833</v>
      </c>
      <c r="E26" s="149"/>
      <c r="F26" s="193">
        <f>'Contract &amp; Vol Adj'!O69</f>
        <v>19</v>
      </c>
      <c r="G26" s="149"/>
      <c r="H26" s="152"/>
      <c r="I26" s="152"/>
      <c r="J26" s="152"/>
      <c r="K26" s="152"/>
      <c r="L26" s="152"/>
      <c r="M26" s="152"/>
      <c r="N26" s="152"/>
      <c r="O26" s="587">
        <f>'Rate Design'!F16</f>
        <v>388.79</v>
      </c>
      <c r="P26" s="152">
        <f>ROUND(+O26*(D26+F26),0)</f>
        <v>331249</v>
      </c>
      <c r="Q26" s="152"/>
      <c r="S26" s="117"/>
      <c r="W26" s="116"/>
      <c r="X26" s="116"/>
      <c r="Y26" s="121"/>
      <c r="Z26" s="121"/>
    </row>
    <row r="27" spans="1:26" x14ac:dyDescent="0.25">
      <c r="A27" s="111">
        <v>14</v>
      </c>
      <c r="B27" s="149" t="s">
        <v>532</v>
      </c>
      <c r="C27" s="150" t="s">
        <v>170</v>
      </c>
      <c r="D27" s="639">
        <f>'Bill Frequency'!O78</f>
        <v>204</v>
      </c>
      <c r="E27" s="149"/>
      <c r="F27" s="640">
        <f>'Contract &amp; Vol Adj'!O78</f>
        <v>-24</v>
      </c>
      <c r="G27" s="149"/>
      <c r="H27" s="149"/>
      <c r="I27" s="149"/>
      <c r="J27" s="149"/>
      <c r="K27" s="149"/>
      <c r="L27" s="149"/>
      <c r="M27" s="149"/>
      <c r="N27" s="149"/>
      <c r="O27" s="587">
        <f>'Rate Design'!F17</f>
        <v>350</v>
      </c>
      <c r="P27" s="152">
        <f>ROUND(+O27*(D27+F27),0)</f>
        <v>63000</v>
      </c>
      <c r="Q27" s="152"/>
      <c r="R27" s="441" t="s">
        <v>563</v>
      </c>
      <c r="S27" s="441"/>
      <c r="T27" s="441"/>
      <c r="U27" s="441"/>
      <c r="Y27" s="121"/>
      <c r="Z27" s="121"/>
    </row>
    <row r="28" spans="1:26" x14ac:dyDescent="0.25">
      <c r="A28" s="111">
        <v>15</v>
      </c>
      <c r="B28" s="149" t="s">
        <v>175</v>
      </c>
      <c r="C28" s="150" t="s">
        <v>170</v>
      </c>
      <c r="D28" s="436">
        <f>('Bill Frequency'!R54+'Bill Frequency'!R70+'Bill Frequency'!R79)/50</f>
        <v>2464</v>
      </c>
      <c r="E28" s="149"/>
      <c r="F28" s="193">
        <f>(+'Contract &amp; Vol Adj'!R54+'Contract &amp; Vol Adj'!R70+'Contract &amp; Vol Adj'!R79)/50</f>
        <v>20</v>
      </c>
      <c r="G28" s="149"/>
      <c r="H28" s="152"/>
      <c r="I28" s="152"/>
      <c r="J28" s="152"/>
      <c r="K28" s="152"/>
      <c r="L28" s="152"/>
      <c r="M28" s="152"/>
      <c r="N28" s="152"/>
      <c r="O28" s="587">
        <f>'Rate Design'!F33</f>
        <v>50</v>
      </c>
      <c r="P28" s="152">
        <f>ROUND(+O28*(D28+F28),0)</f>
        <v>124200</v>
      </c>
      <c r="Q28" s="115"/>
      <c r="R28" s="115" t="s">
        <v>94</v>
      </c>
      <c r="S28" s="117">
        <f>'Test Year Monthly - (Pres)'!P14</f>
        <v>10336506.97122786</v>
      </c>
      <c r="T28" s="117">
        <f>'Test Year Monthly - (Pres)'!P15</f>
        <v>0</v>
      </c>
      <c r="U28" s="116">
        <f>'Test Year Monthly - (Pres)'!P16</f>
        <v>0</v>
      </c>
      <c r="Y28" s="121"/>
      <c r="Z28" s="121"/>
    </row>
    <row r="29" spans="1:26" x14ac:dyDescent="0.25">
      <c r="A29" s="111">
        <v>16</v>
      </c>
      <c r="B29" s="149" t="s">
        <v>483</v>
      </c>
      <c r="C29" s="149"/>
      <c r="D29" s="149"/>
      <c r="E29" s="436">
        <f>(+'Bill Frequency'!R56+'Bill Frequency'!R72+'Bill Frequency'!R81)/0.1</f>
        <v>963990.99999999988</v>
      </c>
      <c r="F29" s="193">
        <f>(+'Contract &amp; Vol Adj'!R56+'Contract &amp; Vol Adj'!R72+'Contract &amp; Vol Adj'!R81)/0.1</f>
        <v>0</v>
      </c>
      <c r="G29" s="149"/>
      <c r="H29" s="149"/>
      <c r="I29" s="149"/>
      <c r="J29" s="149"/>
      <c r="K29" s="149"/>
      <c r="L29" s="149"/>
      <c r="M29" s="149"/>
      <c r="N29" s="149"/>
      <c r="O29" s="587">
        <f>'Rate Design'!F34</f>
        <v>0.1</v>
      </c>
      <c r="P29" s="152">
        <f>ROUND((+E29+G29+F29)*O29,0)</f>
        <v>96399</v>
      </c>
      <c r="Q29" s="115"/>
      <c r="R29" s="115" t="s">
        <v>124</v>
      </c>
      <c r="S29" s="117">
        <f>'Test Year Monthly - (Pres)'!P23</f>
        <v>4437500.9670017418</v>
      </c>
      <c r="T29" s="117">
        <f>'Test Year Monthly - (Pres)'!P24</f>
        <v>654965.87099825847</v>
      </c>
      <c r="U29" s="116">
        <f>'Test Year Monthly - (Pres)'!P25</f>
        <v>0</v>
      </c>
      <c r="Y29" s="121"/>
      <c r="Z29" s="121"/>
    </row>
    <row r="30" spans="1:26" x14ac:dyDescent="0.25">
      <c r="A30" s="111">
        <v>17</v>
      </c>
      <c r="B30" s="149" t="s">
        <v>0</v>
      </c>
      <c r="C30" s="149"/>
      <c r="D30" s="149"/>
      <c r="E30" s="149"/>
      <c r="F30" s="193"/>
      <c r="G30" s="149"/>
      <c r="H30" s="149"/>
      <c r="I30" s="149"/>
      <c r="J30" s="149"/>
      <c r="K30" s="149"/>
      <c r="L30" s="149"/>
      <c r="M30" s="149"/>
      <c r="N30" s="149"/>
      <c r="O30" s="577" t="s">
        <v>61</v>
      </c>
      <c r="P30" s="199">
        <f>'Test Year Monthly - (Pres)'!P67+'Test Year Monthly - (Pres)'!P83+'Test Year Monthly - (Pres)'!P92</f>
        <v>122200</v>
      </c>
      <c r="Q30" s="116"/>
      <c r="R30" s="115" t="s">
        <v>328</v>
      </c>
      <c r="S30" s="117">
        <f>'Test Year Monthly - (Pres)'!P32</f>
        <v>275016.43995454541</v>
      </c>
      <c r="T30" s="117">
        <f>'Test Year Monthly - (Pres)'!P33</f>
        <v>331031.22954545461</v>
      </c>
      <c r="U30" s="116">
        <f>'Test Year Monthly - (Pres)'!P34</f>
        <v>0</v>
      </c>
      <c r="Y30" s="121"/>
      <c r="Z30" s="121"/>
    </row>
    <row r="31" spans="1:26" x14ac:dyDescent="0.25">
      <c r="A31" s="111">
        <v>18</v>
      </c>
      <c r="B31" s="149" t="s">
        <v>528</v>
      </c>
      <c r="C31" s="150" t="s">
        <v>171</v>
      </c>
      <c r="D31" s="152"/>
      <c r="E31" s="199">
        <f>'Bill Frequency'!P57</f>
        <v>420823</v>
      </c>
      <c r="F31" s="199">
        <f>'Contract &amp; Vol Adj'!P57</f>
        <v>7787</v>
      </c>
      <c r="G31" s="152"/>
      <c r="H31" s="152">
        <f t="shared" ref="H31:H38" si="0">SUM(E31:G31)</f>
        <v>428610</v>
      </c>
      <c r="I31" s="152"/>
      <c r="J31" s="152"/>
      <c r="K31" s="152"/>
      <c r="L31" s="152"/>
      <c r="M31" s="152">
        <f t="shared" ref="M31:M38" si="1">H31+J31+K31</f>
        <v>428610</v>
      </c>
      <c r="N31" s="152"/>
      <c r="O31" s="588">
        <f>'Rate Design'!F23</f>
        <v>1.4401000000000002</v>
      </c>
      <c r="P31" s="152">
        <f t="shared" ref="P31:P37" si="2">ROUND((+M31)*O31,0)</f>
        <v>617241</v>
      </c>
      <c r="Q31" s="115"/>
      <c r="R31" s="118" t="s">
        <v>559</v>
      </c>
      <c r="S31" s="420">
        <f>'Test Year Monthly - (Pres)'!P41</f>
        <v>844592.24728827795</v>
      </c>
      <c r="T31" s="420">
        <f>'Test Year Monthly - (Pres)'!P42</f>
        <v>240111.97651172217</v>
      </c>
      <c r="U31" s="122">
        <f>'Test Year Monthly - (Pres)'!P43</f>
        <v>0</v>
      </c>
      <c r="Y31" s="121"/>
      <c r="Z31" s="121"/>
    </row>
    <row r="32" spans="1:26" x14ac:dyDescent="0.25">
      <c r="A32" s="111">
        <v>19</v>
      </c>
      <c r="B32" s="149"/>
      <c r="C32" s="150" t="s">
        <v>172</v>
      </c>
      <c r="D32" s="152"/>
      <c r="E32" s="199">
        <f>'Bill Frequency'!P58</f>
        <v>5646929</v>
      </c>
      <c r="F32" s="199">
        <f>'Contract &amp; Vol Adj'!P58</f>
        <v>154293.1</v>
      </c>
      <c r="G32" s="152"/>
      <c r="H32" s="152">
        <f t="shared" si="0"/>
        <v>5801222.0999999996</v>
      </c>
      <c r="I32" s="152"/>
      <c r="J32" s="152"/>
      <c r="K32" s="152"/>
      <c r="L32" s="152"/>
      <c r="M32" s="152">
        <f t="shared" si="1"/>
        <v>5801222.0999999996</v>
      </c>
      <c r="N32" s="152"/>
      <c r="O32" s="588">
        <f>'Rate Design'!F24</f>
        <v>0.96149999999999991</v>
      </c>
      <c r="P32" s="152">
        <f t="shared" si="2"/>
        <v>5577875</v>
      </c>
      <c r="Q32" s="115"/>
      <c r="R32" s="115"/>
      <c r="S32" s="117">
        <f>SUM(S28:S31)</f>
        <v>15893616.625472425</v>
      </c>
      <c r="T32" s="121">
        <f>SUM(T28:T31)</f>
        <v>1226109.0770554352</v>
      </c>
      <c r="U32" s="116">
        <f>SUM(U28:U31)</f>
        <v>0</v>
      </c>
      <c r="Y32" s="121"/>
      <c r="Z32" s="121"/>
    </row>
    <row r="33" spans="1:26" x14ac:dyDescent="0.25">
      <c r="A33" s="111">
        <v>20</v>
      </c>
      <c r="B33" s="149"/>
      <c r="C33" s="150" t="s">
        <v>173</v>
      </c>
      <c r="D33" s="152"/>
      <c r="E33" s="199">
        <f>'Bill Frequency'!P59</f>
        <v>1191778</v>
      </c>
      <c r="F33" s="199">
        <f>'Contract &amp; Vol Adj'!P59</f>
        <v>-49741</v>
      </c>
      <c r="G33" s="152"/>
      <c r="H33" s="152">
        <f t="shared" si="0"/>
        <v>1142037</v>
      </c>
      <c r="I33" s="152"/>
      <c r="J33" s="152"/>
      <c r="K33" s="152"/>
      <c r="L33" s="152"/>
      <c r="M33" s="152">
        <f t="shared" si="1"/>
        <v>1142037</v>
      </c>
      <c r="N33" s="152"/>
      <c r="O33" s="588">
        <f>'Rate Design'!F25</f>
        <v>0.6774</v>
      </c>
      <c r="P33" s="152">
        <f t="shared" si="2"/>
        <v>773616</v>
      </c>
      <c r="Q33" s="115"/>
      <c r="Y33" s="121"/>
      <c r="Z33" s="121"/>
    </row>
    <row r="34" spans="1:26" x14ac:dyDescent="0.25">
      <c r="A34" s="111">
        <v>21</v>
      </c>
      <c r="B34" s="149" t="s">
        <v>662</v>
      </c>
      <c r="C34" s="150" t="s">
        <v>172</v>
      </c>
      <c r="D34" s="152"/>
      <c r="E34" s="199">
        <f>'Bill Frequency'!P64</f>
        <v>0</v>
      </c>
      <c r="F34" s="199">
        <f>'Contract &amp; Vol Adj'!P64</f>
        <v>13254</v>
      </c>
      <c r="G34" s="152"/>
      <c r="H34" s="152">
        <f t="shared" si="0"/>
        <v>13254</v>
      </c>
      <c r="I34" s="152"/>
      <c r="J34" s="152"/>
      <c r="K34" s="152"/>
      <c r="L34" s="152"/>
      <c r="M34" s="152">
        <f t="shared" si="1"/>
        <v>13254</v>
      </c>
      <c r="N34" s="152"/>
      <c r="O34" s="588">
        <f>'Rate Design'!P24</f>
        <v>0.66</v>
      </c>
      <c r="P34" s="152">
        <f t="shared" si="2"/>
        <v>8748</v>
      </c>
      <c r="Q34" s="115"/>
      <c r="Y34" s="121"/>
      <c r="Z34" s="121"/>
    </row>
    <row r="35" spans="1:26" x14ac:dyDescent="0.25">
      <c r="A35" s="111">
        <v>22</v>
      </c>
      <c r="B35" s="149"/>
      <c r="C35" s="150" t="s">
        <v>173</v>
      </c>
      <c r="D35" s="152"/>
      <c r="E35" s="199">
        <f>'Bill Frequency'!P65</f>
        <v>92773</v>
      </c>
      <c r="F35" s="199">
        <f>'Contract &amp; Vol Adj'!P65</f>
        <v>97741</v>
      </c>
      <c r="G35" s="152"/>
      <c r="H35" s="152">
        <f t="shared" si="0"/>
        <v>190514</v>
      </c>
      <c r="I35" s="152"/>
      <c r="J35" s="152"/>
      <c r="K35" s="152"/>
      <c r="L35" s="152"/>
      <c r="M35" s="152">
        <f t="shared" si="1"/>
        <v>190514</v>
      </c>
      <c r="N35" s="152"/>
      <c r="O35" s="588">
        <f>'Rate Design'!P25</f>
        <v>0.46500000000000002</v>
      </c>
      <c r="P35" s="152">
        <f t="shared" si="2"/>
        <v>88589</v>
      </c>
      <c r="Q35" s="115"/>
      <c r="Y35" s="121"/>
      <c r="Z35" s="121"/>
    </row>
    <row r="36" spans="1:26" x14ac:dyDescent="0.25">
      <c r="A36" s="111">
        <v>23</v>
      </c>
      <c r="B36" s="149" t="s">
        <v>529</v>
      </c>
      <c r="C36" s="150" t="s">
        <v>174</v>
      </c>
      <c r="D36" s="152"/>
      <c r="E36" s="199">
        <f>'Bill Frequency'!P73</f>
        <v>5094467</v>
      </c>
      <c r="F36" s="199">
        <f>'Contract &amp; Vol Adj'!P73</f>
        <v>287624</v>
      </c>
      <c r="G36" s="152"/>
      <c r="H36" s="152">
        <f t="shared" si="0"/>
        <v>5382091</v>
      </c>
      <c r="I36" s="152"/>
      <c r="J36" s="152"/>
      <c r="K36" s="152"/>
      <c r="L36" s="152"/>
      <c r="M36" s="152">
        <f t="shared" si="1"/>
        <v>5382091</v>
      </c>
      <c r="N36" s="152"/>
      <c r="O36" s="588">
        <f>'Rate Design'!F30</f>
        <v>0.877</v>
      </c>
      <c r="P36" s="152">
        <f t="shared" si="2"/>
        <v>4720094</v>
      </c>
      <c r="Q36" s="115"/>
      <c r="R36" s="118" t="s">
        <v>65</v>
      </c>
      <c r="S36" s="420"/>
      <c r="T36" s="441"/>
      <c r="U36" s="441"/>
      <c r="Y36" s="121"/>
      <c r="Z36" s="121"/>
    </row>
    <row r="37" spans="1:26" x14ac:dyDescent="0.25">
      <c r="A37" s="111">
        <v>24</v>
      </c>
      <c r="B37" s="149"/>
      <c r="C37" s="150" t="s">
        <v>173</v>
      </c>
      <c r="D37" s="152"/>
      <c r="E37" s="199">
        <f>'Bill Frequency'!P74</f>
        <v>2598494</v>
      </c>
      <c r="F37" s="199">
        <f>'Contract &amp; Vol Adj'!P74</f>
        <v>64284</v>
      </c>
      <c r="G37" s="152"/>
      <c r="H37" s="152">
        <f t="shared" si="0"/>
        <v>2662778</v>
      </c>
      <c r="I37" s="152"/>
      <c r="J37" s="152"/>
      <c r="K37" s="152"/>
      <c r="L37" s="152"/>
      <c r="M37" s="152">
        <f t="shared" si="1"/>
        <v>2662778</v>
      </c>
      <c r="N37" s="152"/>
      <c r="O37" s="588">
        <f>'Rate Design'!F31</f>
        <v>0.58840000000000003</v>
      </c>
      <c r="P37" s="152">
        <f t="shared" si="2"/>
        <v>1566779</v>
      </c>
      <c r="Q37" s="115"/>
      <c r="R37" s="115" t="s">
        <v>94</v>
      </c>
      <c r="S37" s="117">
        <f>S28-S21</f>
        <v>51504.841527856886</v>
      </c>
      <c r="T37" s="117">
        <f>T28-T21</f>
        <v>0</v>
      </c>
      <c r="U37" s="117">
        <f>U28-U21</f>
        <v>0</v>
      </c>
      <c r="Y37" s="121"/>
      <c r="Z37" s="121"/>
    </row>
    <row r="38" spans="1:26" x14ac:dyDescent="0.25">
      <c r="A38" s="111">
        <v>25</v>
      </c>
      <c r="B38" s="149" t="s">
        <v>484</v>
      </c>
      <c r="C38" s="149"/>
      <c r="D38" s="594"/>
      <c r="E38" s="594">
        <f>'Bill Frequency'!P82</f>
        <v>15377684</v>
      </c>
      <c r="F38" s="594">
        <f>'Contract &amp; Vol Adj'!P82</f>
        <v>-996628</v>
      </c>
      <c r="G38" s="581"/>
      <c r="H38" s="528">
        <f t="shared" si="0"/>
        <v>14381056</v>
      </c>
      <c r="I38" s="528"/>
      <c r="J38" s="528"/>
      <c r="K38" s="528"/>
      <c r="L38" s="528"/>
      <c r="M38" s="528">
        <f t="shared" si="1"/>
        <v>14381056</v>
      </c>
      <c r="N38" s="528"/>
      <c r="O38" s="595" t="s">
        <v>61</v>
      </c>
      <c r="P38" s="594">
        <f>'Test Year Monthly - (Pres)'!P95-P39</f>
        <v>1456879.5</v>
      </c>
      <c r="Q38" s="200"/>
      <c r="R38" s="115" t="s">
        <v>124</v>
      </c>
      <c r="S38" s="117">
        <f>S29-S22</f>
        <v>0</v>
      </c>
      <c r="T38" s="117">
        <f t="shared" ref="T38:U38" si="3">T29-T22</f>
        <v>0</v>
      </c>
      <c r="U38" s="117">
        <f t="shared" si="3"/>
        <v>0</v>
      </c>
      <c r="Y38" s="121"/>
      <c r="Z38" s="121"/>
    </row>
    <row r="39" spans="1:26" x14ac:dyDescent="0.25">
      <c r="A39" s="111">
        <v>26</v>
      </c>
      <c r="B39" s="149" t="s">
        <v>664</v>
      </c>
      <c r="C39" s="149"/>
      <c r="D39" s="596"/>
      <c r="E39" s="596"/>
      <c r="F39" s="596"/>
      <c r="G39" s="597"/>
      <c r="H39" s="198"/>
      <c r="I39" s="528"/>
      <c r="J39" s="198"/>
      <c r="K39" s="198"/>
      <c r="L39" s="198"/>
      <c r="M39" s="198"/>
      <c r="N39" s="528"/>
      <c r="O39" s="595" t="s">
        <v>61</v>
      </c>
      <c r="P39" s="596">
        <f>[2]Summary!$U$79</f>
        <v>989645.95750000002</v>
      </c>
      <c r="Q39" s="200"/>
      <c r="R39" s="115"/>
      <c r="S39" s="117"/>
      <c r="T39" s="117"/>
      <c r="U39" s="117"/>
      <c r="Y39" s="121"/>
      <c r="Z39" s="121"/>
    </row>
    <row r="40" spans="1:26" ht="16.5" thickBot="1" x14ac:dyDescent="0.3">
      <c r="A40" s="111">
        <v>27</v>
      </c>
      <c r="B40" s="149" t="s">
        <v>176</v>
      </c>
      <c r="C40" s="149"/>
      <c r="D40" s="598">
        <f>SUM(D15:D38)-D28</f>
        <v>2097121</v>
      </c>
      <c r="E40" s="598">
        <f>SUM((E17:E23),(E31:E38))</f>
        <v>49098208.979000002</v>
      </c>
      <c r="F40" s="598">
        <f>F17+F18+F19+F21+F22+F23+SUM(F31:F38)</f>
        <v>-566468</v>
      </c>
      <c r="G40" s="598">
        <f>SUM(G14:G38)</f>
        <v>-1133180</v>
      </c>
      <c r="H40" s="598">
        <f>SUM(H14:H38)</f>
        <v>47398560.979000002</v>
      </c>
      <c r="I40" s="599"/>
      <c r="J40" s="154">
        <f>SUM(J14:J38)</f>
        <v>59904.841527856886</v>
      </c>
      <c r="K40" s="154">
        <f>SUM(K17:K38)</f>
        <v>0</v>
      </c>
      <c r="L40" s="598"/>
      <c r="M40" s="598">
        <f>SUM(M14:M38)</f>
        <v>47450065.820527859</v>
      </c>
      <c r="N40" s="599"/>
      <c r="O40" s="149"/>
      <c r="P40" s="436">
        <f>SUM(P14:P39)</f>
        <v>85489767.457499996</v>
      </c>
      <c r="Q40" s="117"/>
      <c r="R40" s="115" t="s">
        <v>328</v>
      </c>
      <c r="S40" s="117">
        <f>S30-S23</f>
        <v>0</v>
      </c>
      <c r="T40" s="117">
        <f t="shared" ref="T40:U40" si="4">T30-T23</f>
        <v>0</v>
      </c>
      <c r="U40" s="117">
        <f t="shared" si="4"/>
        <v>0</v>
      </c>
      <c r="Y40" s="121"/>
      <c r="Z40" s="121"/>
    </row>
    <row r="41" spans="1:26" ht="16.5" thickTop="1" x14ac:dyDescent="0.25">
      <c r="A41" s="111">
        <v>28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R41" s="118" t="s">
        <v>559</v>
      </c>
      <c r="S41" s="420">
        <f>S31-S24</f>
        <v>0</v>
      </c>
      <c r="T41" s="420">
        <f t="shared" ref="T41:U41" si="5">T31-T24</f>
        <v>0</v>
      </c>
      <c r="U41" s="420">
        <f t="shared" si="5"/>
        <v>0</v>
      </c>
      <c r="Y41" s="121"/>
      <c r="Z41" s="121"/>
    </row>
    <row r="42" spans="1:26" x14ac:dyDescent="0.25">
      <c r="A42" s="111">
        <v>29</v>
      </c>
      <c r="B42" s="149" t="s">
        <v>303</v>
      </c>
      <c r="C42" s="149"/>
      <c r="D42" s="149"/>
      <c r="E42" s="600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599">
        <f>'Test Year Monthly - (Pres)'!P99</f>
        <v>795825</v>
      </c>
      <c r="Q42" s="120"/>
      <c r="R42" s="116"/>
      <c r="S42" s="121">
        <f>SUM(S37:S41)</f>
        <v>51504.841527856886</v>
      </c>
      <c r="T42" s="121">
        <f>SUM(T37:T41)</f>
        <v>0</v>
      </c>
      <c r="U42" s="121">
        <f>SUM(U37:U41)</f>
        <v>0</v>
      </c>
      <c r="Y42" s="121"/>
      <c r="Z42" s="121"/>
    </row>
    <row r="43" spans="1:26" x14ac:dyDescent="0.25">
      <c r="A43" s="111">
        <v>30</v>
      </c>
      <c r="B43" s="149" t="s">
        <v>99</v>
      </c>
      <c r="C43" s="149"/>
      <c r="D43" s="641"/>
      <c r="E43" s="437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440">
        <f>'Test Year Monthly - (Pres)'!P100</f>
        <v>1140887.1789956738</v>
      </c>
      <c r="Q43" s="200"/>
      <c r="Y43" s="121"/>
      <c r="Z43" s="121"/>
    </row>
    <row r="44" spans="1:26" x14ac:dyDescent="0.25">
      <c r="A44" s="111">
        <v>31</v>
      </c>
      <c r="B44" s="149" t="s">
        <v>325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436">
        <f>P40+P42+P43</f>
        <v>87426479.636495665</v>
      </c>
      <c r="Q44" s="117">
        <v>88767028.063150674</v>
      </c>
      <c r="R44" s="115"/>
      <c r="S44" s="117"/>
      <c r="Y44" s="121"/>
      <c r="Z44" s="121"/>
    </row>
    <row r="45" spans="1:26" x14ac:dyDescent="0.25">
      <c r="A45" s="111">
        <v>32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S45" s="121"/>
      <c r="Y45" s="121"/>
      <c r="Z45" s="121"/>
    </row>
    <row r="46" spans="1:26" x14ac:dyDescent="0.25">
      <c r="A46" s="111">
        <v>33</v>
      </c>
      <c r="B46" s="149" t="s">
        <v>229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601">
        <f>'Test Year Monthly - (Pres)'!P103</f>
        <v>79378176.690454647</v>
      </c>
      <c r="Q46" s="120"/>
      <c r="S46" s="419"/>
      <c r="Y46" s="121"/>
      <c r="Z46" s="121"/>
    </row>
    <row r="47" spans="1:26" x14ac:dyDescent="0.25">
      <c r="A47" s="111">
        <v>34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Y47" s="121"/>
      <c r="Z47" s="121"/>
    </row>
    <row r="48" spans="1:26" ht="16.5" thickBot="1" x14ac:dyDescent="0.3">
      <c r="A48" s="111">
        <v>35</v>
      </c>
      <c r="B48" s="149" t="s">
        <v>96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602">
        <f>P40+P42+P46+P43</f>
        <v>166804656.32695031</v>
      </c>
      <c r="Q48" s="201"/>
      <c r="R48" s="204"/>
      <c r="S48" s="204"/>
      <c r="T48" s="204"/>
      <c r="Y48" s="121"/>
      <c r="Z48" s="121"/>
    </row>
    <row r="49" spans="1:26" ht="16.5" thickTop="1" x14ac:dyDescent="0.25">
      <c r="A49" s="111">
        <v>36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R49" s="204"/>
      <c r="S49" s="204"/>
      <c r="T49" s="204"/>
      <c r="Y49" s="121"/>
      <c r="Z49" s="121"/>
    </row>
    <row r="50" spans="1:26" x14ac:dyDescent="0.25">
      <c r="A50" s="111">
        <v>37</v>
      </c>
      <c r="B50" s="603" t="s">
        <v>482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577"/>
      <c r="P50" s="149"/>
      <c r="Q50" s="121"/>
      <c r="R50" s="204"/>
      <c r="S50" s="204"/>
      <c r="T50" s="204"/>
      <c r="U50" s="420"/>
    </row>
    <row r="51" spans="1:26" x14ac:dyDescent="0.25">
      <c r="A51" s="111">
        <v>38</v>
      </c>
      <c r="B51" s="603" t="s">
        <v>547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437"/>
      <c r="N51" s="149"/>
      <c r="O51" s="149"/>
      <c r="P51" s="149"/>
      <c r="Q51" s="121"/>
      <c r="U51" s="117"/>
    </row>
    <row r="52" spans="1:26" x14ac:dyDescent="0.25">
      <c r="A52" s="111"/>
      <c r="H52" s="116"/>
      <c r="M52" s="204"/>
      <c r="N52" s="204"/>
      <c r="O52" s="204"/>
      <c r="P52" s="442"/>
    </row>
    <row r="53" spans="1:26" x14ac:dyDescent="0.25">
      <c r="A53" s="111"/>
      <c r="M53" s="204"/>
      <c r="N53" s="204"/>
      <c r="O53" s="204"/>
      <c r="P53" s="34"/>
    </row>
    <row r="54" spans="1:26" x14ac:dyDescent="0.25">
      <c r="A54" s="111"/>
      <c r="M54" s="204"/>
      <c r="N54" s="204"/>
      <c r="O54" s="204"/>
      <c r="P54" s="208"/>
    </row>
    <row r="55" spans="1:26" x14ac:dyDescent="0.25">
      <c r="A55" s="111"/>
    </row>
    <row r="56" spans="1:26" x14ac:dyDescent="0.25">
      <c r="A56" s="111"/>
      <c r="P56" s="208"/>
      <c r="Q56" s="123"/>
    </row>
    <row r="57" spans="1:26" x14ac:dyDescent="0.25">
      <c r="A57" s="111"/>
    </row>
    <row r="58" spans="1:26" x14ac:dyDescent="0.25">
      <c r="A58" s="111"/>
      <c r="P58" s="121"/>
    </row>
    <row r="59" spans="1:26" x14ac:dyDescent="0.25">
      <c r="A59" s="111"/>
    </row>
    <row r="60" spans="1:26" x14ac:dyDescent="0.25">
      <c r="A60" s="111"/>
    </row>
    <row r="61" spans="1:26" x14ac:dyDescent="0.25">
      <c r="A61" s="111"/>
    </row>
    <row r="64" spans="1:26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</row>
    <row r="65" spans="1:25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</row>
    <row r="66" spans="1:25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</row>
    <row r="67" spans="1:25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</row>
    <row r="68" spans="1:25" x14ac:dyDescent="0.25">
      <c r="A68" s="110"/>
      <c r="B68" s="110"/>
      <c r="C68" s="110"/>
      <c r="D68" s="110"/>
      <c r="E68" s="421"/>
      <c r="F68" s="421"/>
      <c r="G68" s="110"/>
      <c r="H68" s="110"/>
      <c r="I68" s="110"/>
      <c r="J68" s="110"/>
      <c r="K68" s="110"/>
      <c r="L68" s="110"/>
      <c r="M68" s="110"/>
      <c r="N68" s="110"/>
      <c r="O68" s="110"/>
      <c r="P68" s="422"/>
      <c r="Q68" s="422"/>
      <c r="R68" s="110"/>
      <c r="S68" s="110"/>
      <c r="T68" s="110"/>
      <c r="U68" s="110"/>
      <c r="V68" s="110"/>
      <c r="W68" s="110"/>
      <c r="X68" s="110"/>
      <c r="Y68" s="110"/>
    </row>
    <row r="69" spans="1:25" x14ac:dyDescent="0.25">
      <c r="A69" s="110"/>
      <c r="B69" s="110"/>
      <c r="C69" s="110"/>
      <c r="D69" s="110"/>
      <c r="E69" s="421"/>
      <c r="F69" s="421"/>
      <c r="G69" s="110"/>
      <c r="H69" s="110"/>
      <c r="I69" s="110"/>
      <c r="J69" s="110"/>
      <c r="K69" s="110"/>
      <c r="L69" s="110"/>
      <c r="M69" s="110"/>
      <c r="N69" s="110"/>
      <c r="O69" s="110"/>
      <c r="P69" s="422"/>
      <c r="Q69" s="422"/>
      <c r="R69" s="110"/>
      <c r="S69" s="110"/>
      <c r="T69" s="110"/>
      <c r="U69" s="110"/>
      <c r="V69" s="110"/>
      <c r="W69" s="110"/>
      <c r="X69" s="110"/>
      <c r="Y69" s="110"/>
    </row>
    <row r="70" spans="1:25" x14ac:dyDescent="0.25">
      <c r="A70" s="110"/>
      <c r="B70" s="110"/>
      <c r="C70" s="110"/>
      <c r="D70" s="110"/>
      <c r="E70" s="421"/>
      <c r="F70" s="421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</row>
    <row r="71" spans="1:25" x14ac:dyDescent="0.2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</row>
    <row r="72" spans="1:25" x14ac:dyDescent="0.2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221"/>
      <c r="P72" s="110"/>
      <c r="Q72" s="110"/>
      <c r="R72" s="110"/>
      <c r="S72" s="110"/>
      <c r="T72" s="110"/>
      <c r="U72" s="110"/>
      <c r="V72" s="110"/>
      <c r="W72" s="110"/>
      <c r="X72" s="110"/>
      <c r="Y72" s="110"/>
    </row>
    <row r="73" spans="1:25" x14ac:dyDescent="0.25">
      <c r="A73" s="221"/>
      <c r="B73" s="110"/>
      <c r="C73" s="110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110"/>
      <c r="S73" s="110"/>
      <c r="T73" s="110"/>
      <c r="U73" s="110"/>
      <c r="V73" s="110"/>
      <c r="W73" s="110"/>
      <c r="X73" s="110"/>
      <c r="Y73" s="110"/>
    </row>
    <row r="74" spans="1:25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110"/>
      <c r="S74" s="110"/>
      <c r="T74" s="110"/>
      <c r="U74" s="110"/>
      <c r="V74" s="110"/>
      <c r="W74" s="110"/>
      <c r="X74" s="110"/>
      <c r="Y74" s="110"/>
    </row>
    <row r="75" spans="1:25" x14ac:dyDescent="0.25">
      <c r="A75" s="110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110"/>
      <c r="S75" s="110"/>
      <c r="T75" s="110"/>
      <c r="U75" s="110"/>
      <c r="V75" s="110"/>
      <c r="W75" s="110"/>
      <c r="X75" s="110"/>
      <c r="Y75" s="110"/>
    </row>
    <row r="76" spans="1:25" x14ac:dyDescent="0.25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</row>
    <row r="77" spans="1:25" x14ac:dyDescent="0.25">
      <c r="A77" s="110"/>
      <c r="B77" s="423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9"/>
      <c r="S77" s="110"/>
      <c r="T77" s="110"/>
      <c r="U77" s="110"/>
      <c r="V77" s="110"/>
      <c r="W77" s="110"/>
      <c r="X77" s="110"/>
      <c r="Y77" s="110"/>
    </row>
    <row r="78" spans="1:25" x14ac:dyDescent="0.25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9"/>
      <c r="S78" s="110"/>
      <c r="T78" s="110"/>
      <c r="U78" s="110"/>
      <c r="V78" s="110"/>
      <c r="W78" s="110"/>
      <c r="X78" s="110"/>
      <c r="Y78" s="110"/>
    </row>
    <row r="79" spans="1:25" x14ac:dyDescent="0.25">
      <c r="A79" s="110"/>
      <c r="B79" s="110"/>
      <c r="C79" s="221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424"/>
      <c r="P79" s="425"/>
      <c r="Q79" s="425"/>
      <c r="R79" s="119"/>
      <c r="S79" s="110"/>
      <c r="T79" s="110"/>
      <c r="U79" s="110"/>
      <c r="V79" s="110"/>
      <c r="W79" s="110"/>
      <c r="X79" s="110"/>
      <c r="Y79" s="110"/>
    </row>
    <row r="80" spans="1:25" x14ac:dyDescent="0.25">
      <c r="A80" s="110"/>
      <c r="B80" s="110"/>
      <c r="C80" s="221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9"/>
      <c r="Q80" s="119"/>
      <c r="R80" s="119"/>
      <c r="S80" s="110"/>
      <c r="T80" s="110"/>
      <c r="U80" s="110"/>
      <c r="V80" s="110"/>
      <c r="W80" s="110"/>
      <c r="X80" s="110"/>
      <c r="Y80" s="110"/>
    </row>
    <row r="81" spans="1:25" x14ac:dyDescent="0.25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</row>
    <row r="82" spans="1:25" x14ac:dyDescent="0.2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</row>
    <row r="83" spans="1:25" x14ac:dyDescent="0.25">
      <c r="A83" s="110"/>
      <c r="B83" s="110"/>
      <c r="C83" s="221"/>
      <c r="D83" s="110"/>
      <c r="E83" s="110"/>
      <c r="F83" s="110"/>
      <c r="G83" s="110"/>
      <c r="H83" s="119"/>
      <c r="I83" s="119"/>
      <c r="J83" s="119"/>
      <c r="K83" s="119"/>
      <c r="L83" s="119"/>
      <c r="M83" s="119"/>
      <c r="N83" s="119"/>
      <c r="O83" s="426"/>
      <c r="P83" s="119"/>
      <c r="Q83" s="119"/>
      <c r="R83" s="119"/>
      <c r="S83" s="110"/>
      <c r="T83" s="110"/>
      <c r="U83" s="110"/>
      <c r="V83" s="110"/>
      <c r="W83" s="110"/>
      <c r="X83" s="110"/>
      <c r="Y83" s="110"/>
    </row>
    <row r="84" spans="1:25" x14ac:dyDescent="0.25">
      <c r="A84" s="110"/>
      <c r="B84" s="110"/>
      <c r="C84" s="221"/>
      <c r="D84" s="110"/>
      <c r="E84" s="110"/>
      <c r="F84" s="110"/>
      <c r="G84" s="110"/>
      <c r="H84" s="119"/>
      <c r="I84" s="119"/>
      <c r="J84" s="119"/>
      <c r="K84" s="119"/>
      <c r="L84" s="119"/>
      <c r="M84" s="119"/>
      <c r="N84" s="119"/>
      <c r="O84" s="426"/>
      <c r="P84" s="119"/>
      <c r="Q84" s="119"/>
      <c r="R84" s="119"/>
      <c r="S84" s="110"/>
      <c r="T84" s="110"/>
      <c r="U84" s="110"/>
      <c r="V84" s="110"/>
      <c r="W84" s="110"/>
      <c r="X84" s="110"/>
      <c r="Y84" s="110"/>
    </row>
    <row r="85" spans="1:25" x14ac:dyDescent="0.2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</row>
    <row r="86" spans="1:25" x14ac:dyDescent="0.25">
      <c r="A86" s="110"/>
      <c r="B86" s="110"/>
      <c r="C86" s="221"/>
      <c r="D86" s="110"/>
      <c r="E86" s="110"/>
      <c r="F86" s="110"/>
      <c r="G86" s="110"/>
      <c r="H86" s="119"/>
      <c r="I86" s="119"/>
      <c r="J86" s="119"/>
      <c r="K86" s="119"/>
      <c r="L86" s="119"/>
      <c r="M86" s="119"/>
      <c r="N86" s="119"/>
      <c r="O86" s="426"/>
      <c r="P86" s="119"/>
      <c r="Q86" s="119"/>
      <c r="R86" s="119"/>
      <c r="S86" s="110"/>
      <c r="T86" s="110"/>
      <c r="U86" s="110"/>
      <c r="V86" s="110"/>
      <c r="W86" s="110"/>
      <c r="X86" s="110"/>
      <c r="Y86" s="110"/>
    </row>
    <row r="87" spans="1:25" x14ac:dyDescent="0.25">
      <c r="A87" s="110"/>
      <c r="B87" s="110"/>
      <c r="C87" s="221"/>
      <c r="D87" s="110"/>
      <c r="E87" s="110"/>
      <c r="F87" s="110"/>
      <c r="G87" s="110"/>
      <c r="H87" s="119"/>
      <c r="I87" s="119"/>
      <c r="J87" s="119"/>
      <c r="K87" s="119"/>
      <c r="L87" s="119"/>
      <c r="M87" s="119"/>
      <c r="N87" s="119"/>
      <c r="O87" s="426"/>
      <c r="P87" s="119"/>
      <c r="Q87" s="119"/>
      <c r="R87" s="119"/>
      <c r="S87" s="110"/>
      <c r="T87" s="110"/>
      <c r="U87" s="110"/>
      <c r="V87" s="110"/>
      <c r="W87" s="110"/>
      <c r="X87" s="110"/>
      <c r="Y87" s="110"/>
    </row>
    <row r="88" spans="1:25" x14ac:dyDescent="0.25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</row>
    <row r="89" spans="1:25" x14ac:dyDescent="0.25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</row>
    <row r="90" spans="1:25" x14ac:dyDescent="0.25">
      <c r="A90" s="110"/>
      <c r="B90" s="110"/>
      <c r="C90" s="221"/>
      <c r="D90" s="110"/>
      <c r="E90" s="110"/>
      <c r="F90" s="110"/>
      <c r="G90" s="110"/>
      <c r="H90" s="119"/>
      <c r="I90" s="119"/>
      <c r="J90" s="119"/>
      <c r="K90" s="119"/>
      <c r="L90" s="119"/>
      <c r="M90" s="119"/>
      <c r="N90" s="119"/>
      <c r="O90" s="426"/>
      <c r="P90" s="119"/>
      <c r="Q90" s="119"/>
      <c r="R90" s="119"/>
      <c r="S90" s="110"/>
      <c r="T90" s="110"/>
      <c r="U90" s="110"/>
      <c r="V90" s="110"/>
      <c r="W90" s="110"/>
      <c r="X90" s="110"/>
      <c r="Y90" s="110"/>
    </row>
    <row r="91" spans="1:25" x14ac:dyDescent="0.25">
      <c r="A91" s="110"/>
      <c r="B91" s="110"/>
      <c r="C91" s="221"/>
      <c r="D91" s="110"/>
      <c r="E91" s="110"/>
      <c r="F91" s="110"/>
      <c r="G91" s="110"/>
      <c r="H91" s="119"/>
      <c r="I91" s="119"/>
      <c r="J91" s="119"/>
      <c r="K91" s="119"/>
      <c r="L91" s="119"/>
      <c r="M91" s="119"/>
      <c r="N91" s="119"/>
      <c r="O91" s="426"/>
      <c r="P91" s="119"/>
      <c r="Q91" s="119"/>
      <c r="R91" s="119"/>
      <c r="S91" s="110"/>
      <c r="T91" s="110"/>
      <c r="U91" s="110"/>
      <c r="V91" s="110"/>
      <c r="W91" s="110"/>
      <c r="X91" s="110"/>
      <c r="Y91" s="110"/>
    </row>
    <row r="92" spans="1:25" x14ac:dyDescent="0.25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</row>
    <row r="93" spans="1:25" x14ac:dyDescent="0.25">
      <c r="A93" s="110"/>
      <c r="B93" s="110"/>
      <c r="C93" s="221"/>
      <c r="D93" s="110"/>
      <c r="E93" s="110"/>
      <c r="F93" s="110"/>
      <c r="G93" s="110"/>
      <c r="H93" s="119"/>
      <c r="I93" s="119"/>
      <c r="J93" s="119"/>
      <c r="K93" s="119"/>
      <c r="L93" s="119"/>
      <c r="M93" s="119"/>
      <c r="N93" s="119"/>
      <c r="O93" s="426"/>
      <c r="P93" s="119"/>
      <c r="Q93" s="119"/>
      <c r="R93" s="119"/>
      <c r="S93" s="110"/>
      <c r="T93" s="110"/>
      <c r="U93" s="110"/>
      <c r="V93" s="110"/>
      <c r="W93" s="110"/>
      <c r="X93" s="110"/>
      <c r="Y93" s="110"/>
    </row>
    <row r="94" spans="1:25" x14ac:dyDescent="0.25">
      <c r="A94" s="110"/>
      <c r="B94" s="110"/>
      <c r="C94" s="221"/>
      <c r="D94" s="110"/>
      <c r="E94" s="110"/>
      <c r="F94" s="110"/>
      <c r="G94" s="110"/>
      <c r="H94" s="119"/>
      <c r="I94" s="119"/>
      <c r="J94" s="119"/>
      <c r="K94" s="119"/>
      <c r="L94" s="119"/>
      <c r="M94" s="119"/>
      <c r="N94" s="119"/>
      <c r="O94" s="426"/>
      <c r="P94" s="119"/>
      <c r="Q94" s="119"/>
      <c r="R94" s="119"/>
      <c r="S94" s="110"/>
      <c r="T94" s="110"/>
      <c r="U94" s="110"/>
      <c r="V94" s="110"/>
      <c r="W94" s="110"/>
      <c r="X94" s="110"/>
      <c r="Y94" s="110"/>
    </row>
    <row r="95" spans="1:25" x14ac:dyDescent="0.2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x14ac:dyDescent="0.25">
      <c r="A96" s="110"/>
      <c r="B96" s="110"/>
      <c r="C96" s="221"/>
      <c r="D96" s="110"/>
      <c r="E96" s="110"/>
      <c r="F96" s="110"/>
      <c r="G96" s="110"/>
      <c r="H96" s="119"/>
      <c r="I96" s="119"/>
      <c r="J96" s="119"/>
      <c r="K96" s="119"/>
      <c r="L96" s="119"/>
      <c r="M96" s="119"/>
      <c r="N96" s="119"/>
      <c r="O96" s="426"/>
      <c r="P96" s="119"/>
      <c r="Q96" s="119"/>
      <c r="R96" s="119"/>
      <c r="S96" s="110"/>
      <c r="T96" s="110"/>
      <c r="U96" s="110"/>
      <c r="V96" s="110"/>
      <c r="W96" s="110"/>
      <c r="X96" s="110"/>
      <c r="Y96" s="110"/>
    </row>
    <row r="97" spans="1:25" x14ac:dyDescent="0.25">
      <c r="A97" s="110"/>
      <c r="B97" s="110"/>
      <c r="C97" s="221"/>
      <c r="D97" s="110"/>
      <c r="E97" s="110"/>
      <c r="F97" s="110"/>
      <c r="G97" s="110"/>
      <c r="H97" s="119"/>
      <c r="I97" s="119"/>
      <c r="J97" s="119"/>
      <c r="K97" s="119"/>
      <c r="L97" s="119"/>
      <c r="M97" s="119"/>
      <c r="N97" s="119"/>
      <c r="O97" s="426"/>
      <c r="P97" s="119"/>
      <c r="Q97" s="119"/>
      <c r="R97" s="119"/>
      <c r="S97" s="110"/>
      <c r="T97" s="110"/>
      <c r="U97" s="110"/>
      <c r="V97" s="110"/>
      <c r="W97" s="110"/>
      <c r="X97" s="110"/>
      <c r="Y97" s="110"/>
    </row>
    <row r="98" spans="1:25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x14ac:dyDescent="0.2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x14ac:dyDescent="0.2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x14ac:dyDescent="0.25">
      <c r="A101" s="110"/>
      <c r="B101" s="110"/>
      <c r="C101" s="221"/>
      <c r="D101" s="110"/>
      <c r="E101" s="110"/>
      <c r="F101" s="110"/>
      <c r="G101" s="110"/>
      <c r="H101" s="119"/>
      <c r="I101" s="119"/>
      <c r="J101" s="119"/>
      <c r="K101" s="119"/>
      <c r="L101" s="119"/>
      <c r="M101" s="119"/>
      <c r="N101" s="119"/>
      <c r="O101" s="426"/>
      <c r="P101" s="119"/>
      <c r="Q101" s="119"/>
      <c r="R101" s="119"/>
      <c r="S101" s="110"/>
      <c r="T101" s="110"/>
      <c r="U101" s="110"/>
      <c r="V101" s="110"/>
      <c r="W101" s="110"/>
      <c r="X101" s="110"/>
      <c r="Y101" s="110"/>
    </row>
    <row r="102" spans="1:25" x14ac:dyDescent="0.25">
      <c r="A102" s="110"/>
      <c r="B102" s="110"/>
      <c r="C102" s="221"/>
      <c r="D102" s="110"/>
      <c r="E102" s="110"/>
      <c r="F102" s="110"/>
      <c r="G102" s="110"/>
      <c r="H102" s="119"/>
      <c r="I102" s="119"/>
      <c r="J102" s="119"/>
      <c r="K102" s="119"/>
      <c r="L102" s="119"/>
      <c r="M102" s="119"/>
      <c r="N102" s="119"/>
      <c r="O102" s="426"/>
      <c r="P102" s="119"/>
      <c r="Q102" s="119"/>
      <c r="R102" s="119"/>
      <c r="S102" s="110"/>
      <c r="T102" s="110"/>
      <c r="U102" s="110"/>
      <c r="V102" s="110"/>
      <c r="W102" s="110"/>
      <c r="X102" s="110"/>
      <c r="Y102" s="110"/>
    </row>
    <row r="103" spans="1:25" x14ac:dyDescent="0.25">
      <c r="A103" s="110"/>
      <c r="B103" s="110"/>
      <c r="C103" s="221"/>
      <c r="D103" s="110"/>
      <c r="E103" s="110"/>
      <c r="F103" s="110"/>
      <c r="G103" s="110"/>
      <c r="H103" s="119"/>
      <c r="I103" s="119"/>
      <c r="J103" s="119"/>
      <c r="K103" s="119"/>
      <c r="L103" s="119"/>
      <c r="M103" s="119"/>
      <c r="N103" s="119"/>
      <c r="O103" s="426"/>
      <c r="P103" s="119"/>
      <c r="Q103" s="119"/>
      <c r="R103" s="119"/>
      <c r="S103" s="110"/>
      <c r="T103" s="110"/>
      <c r="U103" s="110"/>
      <c r="V103" s="110"/>
      <c r="W103" s="110"/>
      <c r="X103" s="110"/>
      <c r="Y103" s="110"/>
    </row>
    <row r="104" spans="1:25" x14ac:dyDescent="0.2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x14ac:dyDescent="0.25">
      <c r="A105" s="110"/>
      <c r="B105" s="110"/>
      <c r="C105" s="221"/>
      <c r="D105" s="110"/>
      <c r="E105" s="110"/>
      <c r="F105" s="110"/>
      <c r="G105" s="110"/>
      <c r="H105" s="119"/>
      <c r="I105" s="119"/>
      <c r="J105" s="119"/>
      <c r="K105" s="119"/>
      <c r="L105" s="119"/>
      <c r="M105" s="119"/>
      <c r="N105" s="119"/>
      <c r="O105" s="426"/>
      <c r="P105" s="119"/>
      <c r="Q105" s="119"/>
      <c r="R105" s="119"/>
      <c r="S105" s="110"/>
      <c r="T105" s="110"/>
      <c r="U105" s="110"/>
      <c r="V105" s="110"/>
      <c r="W105" s="110"/>
      <c r="X105" s="110"/>
      <c r="Y105" s="110"/>
    </row>
    <row r="106" spans="1:25" x14ac:dyDescent="0.25">
      <c r="A106" s="110"/>
      <c r="B106" s="110"/>
      <c r="C106" s="221"/>
      <c r="D106" s="110"/>
      <c r="E106" s="110"/>
      <c r="F106" s="110"/>
      <c r="G106" s="110"/>
      <c r="H106" s="119"/>
      <c r="I106" s="119"/>
      <c r="J106" s="119"/>
      <c r="K106" s="119"/>
      <c r="L106" s="119"/>
      <c r="M106" s="119"/>
      <c r="N106" s="119"/>
      <c r="O106" s="426"/>
      <c r="P106" s="119"/>
      <c r="Q106" s="119"/>
      <c r="R106" s="119"/>
      <c r="S106" s="110"/>
      <c r="T106" s="110"/>
      <c r="U106" s="110"/>
      <c r="V106" s="110"/>
      <c r="W106" s="110"/>
      <c r="X106" s="110"/>
      <c r="Y106" s="110"/>
    </row>
    <row r="107" spans="1:25" x14ac:dyDescent="0.25">
      <c r="A107" s="110"/>
      <c r="B107" s="110"/>
      <c r="C107" s="221"/>
      <c r="D107" s="110"/>
      <c r="E107" s="110"/>
      <c r="F107" s="110"/>
      <c r="G107" s="110"/>
      <c r="H107" s="119"/>
      <c r="I107" s="119"/>
      <c r="J107" s="119"/>
      <c r="K107" s="119"/>
      <c r="L107" s="119"/>
      <c r="M107" s="119"/>
      <c r="N107" s="119"/>
      <c r="O107" s="426"/>
      <c r="P107" s="119"/>
      <c r="Q107" s="119"/>
      <c r="R107" s="119"/>
      <c r="S107" s="110"/>
      <c r="T107" s="110"/>
      <c r="U107" s="110"/>
      <c r="V107" s="110"/>
      <c r="W107" s="110"/>
      <c r="X107" s="110"/>
      <c r="Y107" s="110"/>
    </row>
    <row r="108" spans="1:25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9"/>
      <c r="Q108" s="119"/>
      <c r="R108" s="119"/>
      <c r="S108" s="110"/>
      <c r="T108" s="110"/>
      <c r="U108" s="110"/>
      <c r="V108" s="110"/>
      <c r="W108" s="110"/>
      <c r="X108" s="110"/>
      <c r="Y108" s="110"/>
    </row>
    <row r="109" spans="1:25" x14ac:dyDescent="0.25">
      <c r="A109" s="110"/>
      <c r="B109" s="110"/>
      <c r="C109" s="221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9"/>
      <c r="Q109" s="119"/>
      <c r="R109" s="119"/>
      <c r="S109" s="110"/>
      <c r="T109" s="110"/>
      <c r="U109" s="110"/>
      <c r="V109" s="110"/>
      <c r="W109" s="110"/>
      <c r="X109" s="110"/>
      <c r="Y109" s="110"/>
    </row>
    <row r="110" spans="1:25" x14ac:dyDescent="0.25">
      <c r="A110" s="110"/>
      <c r="B110" s="110"/>
      <c r="C110" s="221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427"/>
      <c r="P110" s="119"/>
      <c r="Q110" s="119"/>
      <c r="R110" s="119"/>
      <c r="S110" s="110"/>
      <c r="T110" s="110"/>
      <c r="U110" s="110"/>
      <c r="V110" s="110"/>
      <c r="W110" s="110"/>
      <c r="X110" s="110"/>
      <c r="Y110" s="110"/>
    </row>
    <row r="111" spans="1:25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x14ac:dyDescent="0.25">
      <c r="A112" s="110"/>
      <c r="B112" s="110"/>
      <c r="C112" s="221"/>
      <c r="D112" s="110"/>
      <c r="E112" s="110"/>
      <c r="F112" s="110"/>
      <c r="G112" s="110"/>
      <c r="H112" s="119"/>
      <c r="I112" s="119"/>
      <c r="J112" s="119"/>
      <c r="K112" s="119"/>
      <c r="L112" s="119"/>
      <c r="M112" s="119"/>
      <c r="N112" s="119"/>
      <c r="O112" s="426"/>
      <c r="P112" s="119"/>
      <c r="Q112" s="119"/>
      <c r="R112" s="119"/>
      <c r="S112" s="110"/>
      <c r="T112" s="110"/>
      <c r="U112" s="110"/>
      <c r="V112" s="110"/>
      <c r="W112" s="110"/>
      <c r="X112" s="110"/>
      <c r="Y112" s="110"/>
    </row>
    <row r="113" spans="1:25" x14ac:dyDescent="0.25">
      <c r="A113" s="110"/>
      <c r="B113" s="110"/>
      <c r="C113" s="221"/>
      <c r="D113" s="110"/>
      <c r="E113" s="110"/>
      <c r="F113" s="110"/>
      <c r="G113" s="110"/>
      <c r="H113" s="119"/>
      <c r="I113" s="119"/>
      <c r="J113" s="119"/>
      <c r="K113" s="119"/>
      <c r="L113" s="119"/>
      <c r="M113" s="119"/>
      <c r="N113" s="119"/>
      <c r="O113" s="426"/>
      <c r="P113" s="119"/>
      <c r="Q113" s="119"/>
      <c r="R113" s="119"/>
      <c r="S113" s="110"/>
      <c r="T113" s="110"/>
      <c r="U113" s="110"/>
      <c r="V113" s="110"/>
      <c r="W113" s="110"/>
      <c r="X113" s="110"/>
      <c r="Y113" s="110"/>
    </row>
    <row r="114" spans="1:25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x14ac:dyDescent="0.25">
      <c r="A115" s="110"/>
      <c r="B115" s="110"/>
      <c r="C115" s="221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426"/>
      <c r="P115" s="119"/>
      <c r="Q115" s="119"/>
      <c r="R115" s="119"/>
      <c r="S115" s="110"/>
      <c r="T115" s="110"/>
      <c r="U115" s="110"/>
      <c r="V115" s="110"/>
      <c r="W115" s="110"/>
      <c r="X115" s="110"/>
      <c r="Y115" s="110"/>
    </row>
    <row r="116" spans="1:25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9"/>
      <c r="Q116" s="119"/>
      <c r="R116" s="119"/>
      <c r="S116" s="110"/>
      <c r="T116" s="110"/>
      <c r="U116" s="110"/>
      <c r="V116" s="110"/>
      <c r="W116" s="110"/>
      <c r="X116" s="110"/>
      <c r="Y116" s="110"/>
    </row>
    <row r="117" spans="1:25" x14ac:dyDescent="0.25">
      <c r="A117" s="110"/>
      <c r="B117" s="110"/>
      <c r="C117" s="221"/>
      <c r="D117" s="110"/>
      <c r="E117" s="110"/>
      <c r="F117" s="110"/>
      <c r="G117" s="110"/>
      <c r="H117" s="119"/>
      <c r="I117" s="119"/>
      <c r="J117" s="119"/>
      <c r="K117" s="119"/>
      <c r="L117" s="119"/>
      <c r="M117" s="119"/>
      <c r="N117" s="119"/>
      <c r="O117" s="426"/>
      <c r="P117" s="119"/>
      <c r="Q117" s="119"/>
      <c r="R117" s="119"/>
      <c r="S117" s="110"/>
      <c r="T117" s="110"/>
      <c r="U117" s="110"/>
      <c r="V117" s="110"/>
      <c r="W117" s="110"/>
      <c r="X117" s="110"/>
      <c r="Y117" s="110"/>
    </row>
    <row r="118" spans="1:25" x14ac:dyDescent="0.25">
      <c r="A118" s="110"/>
      <c r="B118" s="110"/>
      <c r="C118" s="221"/>
      <c r="D118" s="110"/>
      <c r="E118" s="110"/>
      <c r="F118" s="110"/>
      <c r="G118" s="110"/>
      <c r="H118" s="119"/>
      <c r="I118" s="119"/>
      <c r="J118" s="119"/>
      <c r="K118" s="119"/>
      <c r="L118" s="119"/>
      <c r="M118" s="119"/>
      <c r="N118" s="119"/>
      <c r="O118" s="426"/>
      <c r="P118" s="119"/>
      <c r="Q118" s="119"/>
      <c r="R118" s="119"/>
      <c r="S118" s="110"/>
      <c r="T118" s="110"/>
      <c r="U118" s="110"/>
      <c r="V118" s="110"/>
      <c r="W118" s="110"/>
      <c r="X118" s="110"/>
      <c r="Y118" s="110"/>
    </row>
    <row r="119" spans="1:25" x14ac:dyDescent="0.2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428"/>
      <c r="P119" s="119"/>
      <c r="Q119" s="119"/>
      <c r="R119" s="119"/>
      <c r="S119" s="110"/>
      <c r="T119" s="110"/>
      <c r="U119" s="110"/>
      <c r="V119" s="110"/>
      <c r="W119" s="110"/>
      <c r="X119" s="110"/>
      <c r="Y119" s="110"/>
    </row>
    <row r="120" spans="1:25" x14ac:dyDescent="0.25">
      <c r="A120" s="110"/>
      <c r="B120" s="110"/>
      <c r="C120" s="221"/>
      <c r="D120" s="110"/>
      <c r="E120" s="110"/>
      <c r="F120" s="110"/>
      <c r="G120" s="110"/>
      <c r="H120" s="119"/>
      <c r="I120" s="119"/>
      <c r="J120" s="119"/>
      <c r="K120" s="119"/>
      <c r="L120" s="119"/>
      <c r="M120" s="119"/>
      <c r="N120" s="119"/>
      <c r="O120" s="426"/>
      <c r="P120" s="119"/>
      <c r="Q120" s="119"/>
      <c r="R120" s="119"/>
      <c r="S120" s="110"/>
      <c r="T120" s="110"/>
      <c r="U120" s="110"/>
      <c r="V120" s="110"/>
      <c r="W120" s="110"/>
      <c r="X120" s="110"/>
      <c r="Y120" s="110"/>
    </row>
    <row r="121" spans="1:25" x14ac:dyDescent="0.2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426"/>
      <c r="P121" s="119"/>
      <c r="Q121" s="119"/>
      <c r="R121" s="119"/>
      <c r="S121" s="110"/>
      <c r="T121" s="110"/>
      <c r="U121" s="110"/>
      <c r="V121" s="110"/>
      <c r="W121" s="110"/>
      <c r="X121" s="110"/>
      <c r="Y121" s="110"/>
    </row>
    <row r="122" spans="1:25" x14ac:dyDescent="0.25">
      <c r="A122" s="110"/>
      <c r="B122" s="110"/>
      <c r="C122" s="221"/>
      <c r="D122" s="110"/>
      <c r="E122" s="110"/>
      <c r="F122" s="110"/>
      <c r="G122" s="110"/>
      <c r="H122" s="119"/>
      <c r="I122" s="119"/>
      <c r="J122" s="119"/>
      <c r="K122" s="119"/>
      <c r="L122" s="119"/>
      <c r="M122" s="119"/>
      <c r="N122" s="119"/>
      <c r="O122" s="426"/>
      <c r="P122" s="119"/>
      <c r="Q122" s="119"/>
      <c r="R122" s="119"/>
      <c r="S122" s="110"/>
      <c r="T122" s="110"/>
      <c r="U122" s="110"/>
      <c r="V122" s="110"/>
      <c r="W122" s="110"/>
      <c r="X122" s="110"/>
      <c r="Y122" s="110"/>
    </row>
    <row r="123" spans="1:25" x14ac:dyDescent="0.25">
      <c r="A123" s="110"/>
      <c r="B123" s="110"/>
      <c r="C123" s="221"/>
      <c r="D123" s="110"/>
      <c r="E123" s="110"/>
      <c r="F123" s="110"/>
      <c r="G123" s="110"/>
      <c r="H123" s="119"/>
      <c r="I123" s="119"/>
      <c r="J123" s="119"/>
      <c r="K123" s="119"/>
      <c r="L123" s="119"/>
      <c r="M123" s="119"/>
      <c r="N123" s="119"/>
      <c r="O123" s="426"/>
      <c r="P123" s="119"/>
      <c r="Q123" s="119"/>
      <c r="R123" s="119"/>
      <c r="S123" s="110"/>
      <c r="T123" s="110"/>
      <c r="U123" s="110"/>
      <c r="V123" s="110"/>
      <c r="W123" s="110"/>
      <c r="X123" s="110"/>
      <c r="Y123" s="110"/>
    </row>
    <row r="124" spans="1:25" x14ac:dyDescent="0.2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x14ac:dyDescent="0.25">
      <c r="A125" s="110"/>
      <c r="B125" s="110"/>
      <c r="C125" s="110"/>
      <c r="D125" s="110"/>
      <c r="E125" s="119"/>
      <c r="F125" s="119"/>
      <c r="G125" s="110"/>
      <c r="H125" s="119"/>
      <c r="I125" s="119"/>
      <c r="J125" s="119"/>
      <c r="K125" s="119"/>
      <c r="L125" s="119"/>
      <c r="M125" s="119"/>
      <c r="N125" s="119"/>
      <c r="O125" s="426"/>
      <c r="P125" s="119"/>
      <c r="Q125" s="119"/>
      <c r="R125" s="119"/>
      <c r="S125" s="110"/>
      <c r="T125" s="110"/>
      <c r="U125" s="110"/>
      <c r="V125" s="110"/>
      <c r="W125" s="110"/>
      <c r="X125" s="110"/>
      <c r="Y125" s="110"/>
    </row>
    <row r="126" spans="1:25" x14ac:dyDescent="0.25">
      <c r="A126" s="110"/>
      <c r="B126" s="110"/>
      <c r="C126" s="42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430"/>
      <c r="P126" s="425"/>
      <c r="Q126" s="425"/>
      <c r="R126" s="119"/>
      <c r="S126" s="110"/>
      <c r="T126" s="110"/>
      <c r="U126" s="110"/>
      <c r="V126" s="110"/>
      <c r="W126" s="110"/>
      <c r="X126" s="110"/>
      <c r="Y126" s="110"/>
    </row>
    <row r="127" spans="1:25" x14ac:dyDescent="0.25">
      <c r="A127" s="110"/>
      <c r="B127" s="110"/>
      <c r="C127" s="110"/>
      <c r="D127" s="110"/>
      <c r="E127" s="119"/>
      <c r="F127" s="119"/>
      <c r="G127" s="110"/>
      <c r="H127" s="430"/>
      <c r="I127" s="430"/>
      <c r="J127" s="430"/>
      <c r="K127" s="430"/>
      <c r="L127" s="430"/>
      <c r="M127" s="430"/>
      <c r="N127" s="430"/>
      <c r="O127" s="110"/>
      <c r="P127" s="119"/>
      <c r="Q127" s="119"/>
      <c r="R127" s="119"/>
      <c r="S127" s="110"/>
      <c r="T127" s="110"/>
      <c r="U127" s="110"/>
      <c r="V127" s="110"/>
      <c r="W127" s="110"/>
      <c r="X127" s="110"/>
      <c r="Y127" s="110"/>
    </row>
    <row r="128" spans="1:25" x14ac:dyDescent="0.2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9"/>
      <c r="S128" s="110"/>
      <c r="T128" s="110"/>
      <c r="U128" s="110"/>
      <c r="V128" s="110"/>
      <c r="W128" s="110"/>
      <c r="X128" s="110"/>
      <c r="Y128" s="110"/>
    </row>
    <row r="129" spans="1:25" x14ac:dyDescent="0.25">
      <c r="A129" s="110"/>
      <c r="B129" s="429"/>
      <c r="C129" s="110"/>
      <c r="D129" s="110"/>
      <c r="E129" s="110"/>
      <c r="F129" s="110"/>
      <c r="G129" s="110"/>
      <c r="H129" s="119"/>
      <c r="I129" s="119"/>
      <c r="J129" s="119"/>
      <c r="K129" s="119"/>
      <c r="L129" s="119"/>
      <c r="M129" s="119"/>
      <c r="N129" s="119"/>
      <c r="O129" s="110"/>
      <c r="P129" s="431"/>
      <c r="Q129" s="431"/>
      <c r="R129" s="119"/>
      <c r="S129" s="110"/>
      <c r="T129" s="110"/>
      <c r="U129" s="110"/>
      <c r="V129" s="110"/>
      <c r="W129" s="110"/>
      <c r="X129" s="110"/>
      <c r="Y129" s="110"/>
    </row>
    <row r="130" spans="1:25" x14ac:dyDescent="0.2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x14ac:dyDescent="0.2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x14ac:dyDescent="0.2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x14ac:dyDescent="0.2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x14ac:dyDescent="0.2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x14ac:dyDescent="0.2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x14ac:dyDescent="0.2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x14ac:dyDescent="0.2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x14ac:dyDescent="0.2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x14ac:dyDescent="0.2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x14ac:dyDescent="0.2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x14ac:dyDescent="0.2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x14ac:dyDescent="0.2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x14ac:dyDescent="0.2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x14ac:dyDescent="0.2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x14ac:dyDescent="0.2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x14ac:dyDescent="0.2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x14ac:dyDescent="0.2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2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x14ac:dyDescent="0.2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x14ac:dyDescent="0.2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x14ac:dyDescent="0.2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x14ac:dyDescent="0.2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x14ac:dyDescent="0.2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x14ac:dyDescent="0.2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x14ac:dyDescent="0.2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x14ac:dyDescent="0.2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x14ac:dyDescent="0.2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x14ac:dyDescent="0.2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x14ac:dyDescent="0.2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x14ac:dyDescent="0.2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x14ac:dyDescent="0.2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x14ac:dyDescent="0.2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x14ac:dyDescent="0.2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x14ac:dyDescent="0.2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x14ac:dyDescent="0.2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x14ac:dyDescent="0.2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x14ac:dyDescent="0.2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x14ac:dyDescent="0.2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x14ac:dyDescent="0.2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x14ac:dyDescent="0.2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x14ac:dyDescent="0.2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x14ac:dyDescent="0.2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x14ac:dyDescent="0.2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x14ac:dyDescent="0.2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x14ac:dyDescent="0.2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x14ac:dyDescent="0.2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x14ac:dyDescent="0.2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x14ac:dyDescent="0.2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x14ac:dyDescent="0.2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x14ac:dyDescent="0.2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x14ac:dyDescent="0.2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x14ac:dyDescent="0.2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x14ac:dyDescent="0.2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x14ac:dyDescent="0.2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x14ac:dyDescent="0.2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x14ac:dyDescent="0.2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x14ac:dyDescent="0.2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x14ac:dyDescent="0.2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x14ac:dyDescent="0.2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2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x14ac:dyDescent="0.2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x14ac:dyDescent="0.2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x14ac:dyDescent="0.2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x14ac:dyDescent="0.2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x14ac:dyDescent="0.2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x14ac:dyDescent="0.2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x14ac:dyDescent="0.2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x14ac:dyDescent="0.2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x14ac:dyDescent="0.2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x14ac:dyDescent="0.2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x14ac:dyDescent="0.2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x14ac:dyDescent="0.2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x14ac:dyDescent="0.2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x14ac:dyDescent="0.25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x14ac:dyDescent="0.25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x14ac:dyDescent="0.25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x14ac:dyDescent="0.25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x14ac:dyDescent="0.25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x14ac:dyDescent="0.25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x14ac:dyDescent="0.25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x14ac:dyDescent="0.25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x14ac:dyDescent="0.25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x14ac:dyDescent="0.2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x14ac:dyDescent="0.25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x14ac:dyDescent="0.25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x14ac:dyDescent="0.25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x14ac:dyDescent="0.25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x14ac:dyDescent="0.25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x14ac:dyDescent="0.25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x14ac:dyDescent="0.25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x14ac:dyDescent="0.25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x14ac:dyDescent="0.25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x14ac:dyDescent="0.25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x14ac:dyDescent="0.25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x14ac:dyDescent="0.25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x14ac:dyDescent="0.25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x14ac:dyDescent="0.25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x14ac:dyDescent="0.25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x14ac:dyDescent="0.25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x14ac:dyDescent="0.25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x14ac:dyDescent="0.25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x14ac:dyDescent="0.25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x14ac:dyDescent="0.25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x14ac:dyDescent="0.25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x14ac:dyDescent="0.25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x14ac:dyDescent="0.25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49" spans="1:25" x14ac:dyDescent="0.25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</row>
    <row r="250" spans="1:25" x14ac:dyDescent="0.25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</row>
    <row r="251" spans="1:25" x14ac:dyDescent="0.25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</row>
    <row r="252" spans="1:25" x14ac:dyDescent="0.25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</row>
    <row r="253" spans="1:25" x14ac:dyDescent="0.25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</row>
    <row r="254" spans="1:25" x14ac:dyDescent="0.25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</row>
    <row r="255" spans="1:25" x14ac:dyDescent="0.2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</row>
    <row r="256" spans="1:25" x14ac:dyDescent="0.25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</row>
    <row r="257" spans="1:25" x14ac:dyDescent="0.25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</row>
    <row r="258" spans="1:25" x14ac:dyDescent="0.25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</row>
    <row r="259" spans="1:25" x14ac:dyDescent="0.25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x14ac:dyDescent="0.25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</row>
    <row r="261" spans="1:25" x14ac:dyDescent="0.25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</row>
    <row r="262" spans="1:25" x14ac:dyDescent="0.25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</row>
    <row r="263" spans="1:25" x14ac:dyDescent="0.25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</row>
    <row r="264" spans="1:25" x14ac:dyDescent="0.25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</row>
    <row r="265" spans="1:25" x14ac:dyDescent="0.25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</row>
    <row r="266" spans="1:25" x14ac:dyDescent="0.25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x14ac:dyDescent="0.25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</row>
    <row r="268" spans="1:25" x14ac:dyDescent="0.25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</row>
    <row r="269" spans="1:25" x14ac:dyDescent="0.25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</row>
    <row r="270" spans="1:25" x14ac:dyDescent="0.25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</row>
    <row r="271" spans="1:25" x14ac:dyDescent="0.25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</row>
    <row r="272" spans="1:25" x14ac:dyDescent="0.25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</row>
    <row r="273" spans="1:25" x14ac:dyDescent="0.25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</row>
    <row r="274" spans="1:25" x14ac:dyDescent="0.25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</row>
    <row r="275" spans="1:25" x14ac:dyDescent="0.25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</row>
    <row r="276" spans="1:25" x14ac:dyDescent="0.25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</row>
    <row r="277" spans="1:25" x14ac:dyDescent="0.25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</row>
    <row r="278" spans="1:25" x14ac:dyDescent="0.25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</row>
    <row r="279" spans="1:25" x14ac:dyDescent="0.25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</row>
    <row r="280" spans="1:25" x14ac:dyDescent="0.25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</row>
    <row r="281" spans="1:25" x14ac:dyDescent="0.25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</row>
    <row r="282" spans="1:25" x14ac:dyDescent="0.25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</row>
    <row r="283" spans="1:25" x14ac:dyDescent="0.25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</row>
    <row r="284" spans="1:25" x14ac:dyDescent="0.25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</row>
    <row r="285" spans="1:25" x14ac:dyDescent="0.25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</row>
    <row r="286" spans="1:25" x14ac:dyDescent="0.25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</row>
    <row r="287" spans="1:25" x14ac:dyDescent="0.25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</row>
    <row r="288" spans="1:25" x14ac:dyDescent="0.25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</row>
    <row r="289" spans="1:25" x14ac:dyDescent="0.25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</row>
    <row r="290" spans="1:25" x14ac:dyDescent="0.25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</row>
    <row r="291" spans="1:25" x14ac:dyDescent="0.25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</row>
    <row r="292" spans="1:25" x14ac:dyDescent="0.25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</row>
    <row r="293" spans="1:25" x14ac:dyDescent="0.25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</row>
    <row r="294" spans="1:25" x14ac:dyDescent="0.25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</row>
    <row r="295" spans="1:25" x14ac:dyDescent="0.25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</row>
    <row r="296" spans="1:25" x14ac:dyDescent="0.25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</row>
    <row r="297" spans="1:25" x14ac:dyDescent="0.25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x14ac:dyDescent="0.25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</row>
    <row r="299" spans="1:25" x14ac:dyDescent="0.25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</row>
    <row r="300" spans="1:25" x14ac:dyDescent="0.25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</row>
    <row r="301" spans="1:25" x14ac:dyDescent="0.25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</row>
    <row r="302" spans="1:25" x14ac:dyDescent="0.25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</row>
    <row r="303" spans="1:25" x14ac:dyDescent="0.25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</row>
    <row r="304" spans="1:25" x14ac:dyDescent="0.25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</row>
    <row r="305" spans="1:25" x14ac:dyDescent="0.25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</row>
    <row r="306" spans="1:25" x14ac:dyDescent="0.25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</row>
    <row r="307" spans="1:25" x14ac:dyDescent="0.25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</row>
    <row r="308" spans="1:25" x14ac:dyDescent="0.25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</row>
    <row r="309" spans="1:25" x14ac:dyDescent="0.25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</row>
    <row r="310" spans="1:25" x14ac:dyDescent="0.25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</row>
    <row r="311" spans="1:25" x14ac:dyDescent="0.25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</row>
    <row r="312" spans="1:25" x14ac:dyDescent="0.25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</row>
    <row r="313" spans="1:25" x14ac:dyDescent="0.25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</row>
    <row r="314" spans="1:25" x14ac:dyDescent="0.25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</row>
    <row r="315" spans="1:25" x14ac:dyDescent="0.25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</row>
    <row r="316" spans="1:25" x14ac:dyDescent="0.25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</row>
    <row r="317" spans="1:25" x14ac:dyDescent="0.25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</row>
    <row r="318" spans="1:25" x14ac:dyDescent="0.25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</row>
    <row r="319" spans="1:25" x14ac:dyDescent="0.25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</row>
    <row r="320" spans="1:25" x14ac:dyDescent="0.2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</row>
    <row r="321" spans="1:25" x14ac:dyDescent="0.25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</row>
    <row r="322" spans="1:25" x14ac:dyDescent="0.25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</row>
    <row r="323" spans="1:25" x14ac:dyDescent="0.25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</row>
    <row r="324" spans="1:25" x14ac:dyDescent="0.25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</row>
    <row r="325" spans="1:25" x14ac:dyDescent="0.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</row>
    <row r="326" spans="1:25" x14ac:dyDescent="0.25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</row>
    <row r="327" spans="1:25" x14ac:dyDescent="0.25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</row>
    <row r="328" spans="1:25" x14ac:dyDescent="0.25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</row>
    <row r="329" spans="1:25" x14ac:dyDescent="0.25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</row>
    <row r="330" spans="1:25" x14ac:dyDescent="0.25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</row>
    <row r="331" spans="1:25" x14ac:dyDescent="0.2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</row>
    <row r="332" spans="1:25" x14ac:dyDescent="0.25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</row>
    <row r="333" spans="1:25" x14ac:dyDescent="0.2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</row>
    <row r="334" spans="1:25" x14ac:dyDescent="0.25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</row>
    <row r="335" spans="1:25" x14ac:dyDescent="0.2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</row>
    <row r="336" spans="1:25" x14ac:dyDescent="0.25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</row>
    <row r="337" spans="1:25" x14ac:dyDescent="0.25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</row>
    <row r="338" spans="1:25" x14ac:dyDescent="0.25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</row>
    <row r="339" spans="1:25" x14ac:dyDescent="0.25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25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</row>
    <row r="341" spans="1:25" x14ac:dyDescent="0.25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</row>
    <row r="342" spans="1:25" x14ac:dyDescent="0.25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</row>
    <row r="343" spans="1:25" x14ac:dyDescent="0.25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</row>
    <row r="344" spans="1:25" x14ac:dyDescent="0.25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</row>
    <row r="345" spans="1:25" x14ac:dyDescent="0.25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</row>
    <row r="346" spans="1:25" x14ac:dyDescent="0.25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</row>
    <row r="347" spans="1:25" x14ac:dyDescent="0.25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</row>
    <row r="348" spans="1:25" x14ac:dyDescent="0.2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</row>
    <row r="349" spans="1:25" x14ac:dyDescent="0.25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</row>
    <row r="350" spans="1:25" x14ac:dyDescent="0.2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</row>
    <row r="351" spans="1:25" x14ac:dyDescent="0.25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</row>
    <row r="352" spans="1:25" x14ac:dyDescent="0.25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</row>
    <row r="353" spans="1:25" x14ac:dyDescent="0.2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</row>
    <row r="354" spans="1:25" x14ac:dyDescent="0.25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</row>
    <row r="355" spans="1:25" x14ac:dyDescent="0.2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</row>
    <row r="356" spans="1:25" x14ac:dyDescent="0.25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</row>
    <row r="357" spans="1:25" x14ac:dyDescent="0.25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</row>
    <row r="358" spans="1:25" x14ac:dyDescent="0.25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</row>
    <row r="359" spans="1:25" x14ac:dyDescent="0.25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</row>
    <row r="360" spans="1:25" x14ac:dyDescent="0.25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</row>
    <row r="361" spans="1:25" x14ac:dyDescent="0.25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</row>
    <row r="362" spans="1:25" x14ac:dyDescent="0.25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</row>
    <row r="363" spans="1:25" x14ac:dyDescent="0.25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</row>
    <row r="364" spans="1:25" x14ac:dyDescent="0.25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</row>
    <row r="365" spans="1:25" x14ac:dyDescent="0.2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</row>
    <row r="366" spans="1:25" x14ac:dyDescent="0.25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</row>
    <row r="367" spans="1:25" x14ac:dyDescent="0.25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</row>
    <row r="368" spans="1:25" x14ac:dyDescent="0.25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25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</row>
    <row r="370" spans="1:25" x14ac:dyDescent="0.25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</row>
    <row r="371" spans="1:25" x14ac:dyDescent="0.25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</row>
    <row r="372" spans="1:25" x14ac:dyDescent="0.25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</row>
    <row r="373" spans="1:25" x14ac:dyDescent="0.25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</row>
    <row r="374" spans="1:25" x14ac:dyDescent="0.25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</row>
    <row r="375" spans="1:25" x14ac:dyDescent="0.2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</row>
    <row r="376" spans="1:25" x14ac:dyDescent="0.25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</row>
    <row r="377" spans="1:25" x14ac:dyDescent="0.25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</row>
    <row r="378" spans="1:25" x14ac:dyDescent="0.25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</row>
    <row r="379" spans="1:25" x14ac:dyDescent="0.2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</row>
    <row r="380" spans="1:25" x14ac:dyDescent="0.25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</row>
    <row r="381" spans="1:25" x14ac:dyDescent="0.25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</row>
    <row r="382" spans="1:25" x14ac:dyDescent="0.25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</row>
    <row r="383" spans="1:25" x14ac:dyDescent="0.25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</row>
    <row r="384" spans="1:25" x14ac:dyDescent="0.25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</row>
    <row r="385" spans="1:25" x14ac:dyDescent="0.2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</row>
    <row r="386" spans="1:25" x14ac:dyDescent="0.25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</row>
    <row r="387" spans="1:25" x14ac:dyDescent="0.25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</row>
    <row r="388" spans="1:25" x14ac:dyDescent="0.25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</row>
    <row r="389" spans="1:25" x14ac:dyDescent="0.25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</row>
    <row r="390" spans="1:25" x14ac:dyDescent="0.25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</row>
    <row r="391" spans="1:25" x14ac:dyDescent="0.25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</row>
    <row r="392" spans="1:25" x14ac:dyDescent="0.25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</row>
    <row r="393" spans="1:25" x14ac:dyDescent="0.25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</row>
    <row r="394" spans="1:25" x14ac:dyDescent="0.25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</row>
    <row r="395" spans="1:25" x14ac:dyDescent="0.2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</row>
    <row r="396" spans="1:25" x14ac:dyDescent="0.25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</row>
    <row r="397" spans="1:25" x14ac:dyDescent="0.25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</row>
    <row r="398" spans="1:25" x14ac:dyDescent="0.25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</row>
    <row r="399" spans="1:25" x14ac:dyDescent="0.25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</row>
    <row r="400" spans="1:25" x14ac:dyDescent="0.25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</row>
    <row r="401" spans="1:25" x14ac:dyDescent="0.25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</row>
    <row r="402" spans="1:25" x14ac:dyDescent="0.25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</row>
    <row r="403" spans="1:25" x14ac:dyDescent="0.25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</row>
    <row r="404" spans="1:25" x14ac:dyDescent="0.25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</row>
    <row r="405" spans="1:25" x14ac:dyDescent="0.2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</row>
    <row r="406" spans="1:25" x14ac:dyDescent="0.25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</row>
    <row r="407" spans="1:25" x14ac:dyDescent="0.25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</row>
    <row r="408" spans="1:25" x14ac:dyDescent="0.25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</row>
    <row r="409" spans="1:25" x14ac:dyDescent="0.25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</row>
    <row r="410" spans="1:25" x14ac:dyDescent="0.25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</row>
    <row r="411" spans="1:25" x14ac:dyDescent="0.25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</row>
    <row r="412" spans="1:25" x14ac:dyDescent="0.25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</row>
    <row r="413" spans="1:25" x14ac:dyDescent="0.25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</row>
    <row r="414" spans="1:25" x14ac:dyDescent="0.25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</row>
    <row r="415" spans="1:25" x14ac:dyDescent="0.2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</row>
    <row r="416" spans="1:25" x14ac:dyDescent="0.25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</row>
    <row r="417" spans="1:25" x14ac:dyDescent="0.25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</row>
    <row r="418" spans="1:25" x14ac:dyDescent="0.25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</row>
    <row r="419" spans="1:25" x14ac:dyDescent="0.25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</row>
    <row r="420" spans="1:25" x14ac:dyDescent="0.25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</row>
    <row r="421" spans="1:25" x14ac:dyDescent="0.25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</row>
    <row r="422" spans="1:25" x14ac:dyDescent="0.25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</row>
    <row r="423" spans="1:25" x14ac:dyDescent="0.25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</row>
    <row r="424" spans="1:25" x14ac:dyDescent="0.25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</row>
    <row r="425" spans="1:25" x14ac:dyDescent="0.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</row>
    <row r="426" spans="1:25" x14ac:dyDescent="0.25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</row>
    <row r="427" spans="1:25" x14ac:dyDescent="0.25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</row>
    <row r="428" spans="1:25" x14ac:dyDescent="0.25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</row>
    <row r="429" spans="1:25" x14ac:dyDescent="0.25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</row>
    <row r="430" spans="1:25" x14ac:dyDescent="0.25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</row>
    <row r="431" spans="1:25" x14ac:dyDescent="0.25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</row>
    <row r="432" spans="1:25" x14ac:dyDescent="0.25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</row>
    <row r="433" spans="1:25" x14ac:dyDescent="0.25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</row>
    <row r="434" spans="1:25" x14ac:dyDescent="0.25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2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</row>
    <row r="436" spans="1:25" x14ac:dyDescent="0.25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</row>
    <row r="437" spans="1:25" x14ac:dyDescent="0.25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</row>
    <row r="438" spans="1:25" x14ac:dyDescent="0.25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</row>
    <row r="439" spans="1:25" x14ac:dyDescent="0.25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</row>
    <row r="440" spans="1:25" x14ac:dyDescent="0.25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</row>
    <row r="441" spans="1:25" x14ac:dyDescent="0.25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</row>
    <row r="442" spans="1:25" x14ac:dyDescent="0.25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</row>
    <row r="443" spans="1:25" x14ac:dyDescent="0.25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</row>
    <row r="444" spans="1:25" x14ac:dyDescent="0.25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</row>
    <row r="445" spans="1:25" x14ac:dyDescent="0.2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</row>
    <row r="446" spans="1:25" x14ac:dyDescent="0.25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</row>
    <row r="447" spans="1:25" x14ac:dyDescent="0.25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</row>
    <row r="448" spans="1:25" x14ac:dyDescent="0.25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</row>
    <row r="449" spans="1:25" x14ac:dyDescent="0.25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</row>
    <row r="450" spans="1:25" x14ac:dyDescent="0.25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</row>
    <row r="451" spans="1:25" x14ac:dyDescent="0.25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</row>
    <row r="452" spans="1:25" x14ac:dyDescent="0.25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</row>
    <row r="453" spans="1:25" x14ac:dyDescent="0.25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</row>
    <row r="454" spans="1:25" x14ac:dyDescent="0.25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</row>
    <row r="455" spans="1:25" x14ac:dyDescent="0.2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</row>
    <row r="456" spans="1:25" x14ac:dyDescent="0.25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</row>
    <row r="457" spans="1:25" x14ac:dyDescent="0.25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</row>
    <row r="458" spans="1:25" x14ac:dyDescent="0.25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</row>
    <row r="459" spans="1:25" x14ac:dyDescent="0.25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</row>
    <row r="460" spans="1:25" x14ac:dyDescent="0.25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</row>
    <row r="461" spans="1:25" x14ac:dyDescent="0.25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</row>
    <row r="462" spans="1:25" x14ac:dyDescent="0.25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</row>
    <row r="463" spans="1:25" x14ac:dyDescent="0.25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</row>
    <row r="464" spans="1:25" x14ac:dyDescent="0.25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</row>
    <row r="465" spans="1:25" x14ac:dyDescent="0.2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</row>
    <row r="466" spans="1:25" x14ac:dyDescent="0.25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</row>
    <row r="467" spans="1:25" x14ac:dyDescent="0.25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</row>
    <row r="468" spans="1:25" x14ac:dyDescent="0.25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</row>
    <row r="469" spans="1:25" x14ac:dyDescent="0.25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</row>
    <row r="470" spans="1:25" x14ac:dyDescent="0.25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</row>
    <row r="471" spans="1:25" x14ac:dyDescent="0.25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</row>
    <row r="472" spans="1:25" x14ac:dyDescent="0.25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</row>
    <row r="473" spans="1:25" x14ac:dyDescent="0.25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</row>
    <row r="474" spans="1:25" x14ac:dyDescent="0.25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</row>
    <row r="475" spans="1:25" x14ac:dyDescent="0.2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</row>
    <row r="476" spans="1:25" x14ac:dyDescent="0.25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</row>
    <row r="477" spans="1:25" x14ac:dyDescent="0.25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</row>
    <row r="478" spans="1:25" x14ac:dyDescent="0.25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</row>
    <row r="479" spans="1:25" x14ac:dyDescent="0.25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</row>
    <row r="480" spans="1:25" x14ac:dyDescent="0.25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</row>
    <row r="481" spans="1:25" x14ac:dyDescent="0.25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</row>
    <row r="482" spans="1:25" x14ac:dyDescent="0.25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</row>
    <row r="483" spans="1:25" x14ac:dyDescent="0.25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</row>
    <row r="484" spans="1:25" x14ac:dyDescent="0.25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</row>
    <row r="485" spans="1:25" x14ac:dyDescent="0.2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</row>
    <row r="486" spans="1:25" x14ac:dyDescent="0.25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</row>
    <row r="487" spans="1:25" x14ac:dyDescent="0.25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</row>
    <row r="488" spans="1:25" x14ac:dyDescent="0.25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</row>
    <row r="489" spans="1:25" x14ac:dyDescent="0.25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</row>
    <row r="490" spans="1:25" x14ac:dyDescent="0.25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</row>
    <row r="491" spans="1:25" x14ac:dyDescent="0.25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</row>
    <row r="492" spans="1:25" x14ac:dyDescent="0.25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</row>
    <row r="493" spans="1:25" x14ac:dyDescent="0.25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</row>
    <row r="494" spans="1:25" x14ac:dyDescent="0.25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</row>
    <row r="495" spans="1:25" x14ac:dyDescent="0.2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</row>
    <row r="496" spans="1:25" x14ac:dyDescent="0.25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</row>
    <row r="497" spans="1:25" x14ac:dyDescent="0.25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</row>
    <row r="498" spans="1:25" x14ac:dyDescent="0.25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</row>
    <row r="499" spans="1:25" x14ac:dyDescent="0.25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</row>
    <row r="500" spans="1:25" x14ac:dyDescent="0.25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</row>
    <row r="501" spans="1:25" x14ac:dyDescent="0.25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</row>
    <row r="502" spans="1:25" x14ac:dyDescent="0.25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</row>
    <row r="503" spans="1:25" x14ac:dyDescent="0.25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</row>
    <row r="504" spans="1:25" x14ac:dyDescent="0.25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</row>
    <row r="505" spans="1:25" x14ac:dyDescent="0.2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</row>
    <row r="506" spans="1:25" x14ac:dyDescent="0.25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</row>
    <row r="507" spans="1:25" x14ac:dyDescent="0.25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</row>
    <row r="508" spans="1:25" x14ac:dyDescent="0.25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</row>
    <row r="509" spans="1:25" x14ac:dyDescent="0.25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</row>
    <row r="510" spans="1:25" x14ac:dyDescent="0.25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</row>
    <row r="511" spans="1:25" x14ac:dyDescent="0.25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</row>
    <row r="512" spans="1:25" x14ac:dyDescent="0.25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</row>
    <row r="513" spans="1:25" x14ac:dyDescent="0.25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</row>
    <row r="514" spans="1:25" x14ac:dyDescent="0.25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</row>
    <row r="515" spans="1:25" x14ac:dyDescent="0.2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</row>
    <row r="516" spans="1:25" x14ac:dyDescent="0.25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</row>
    <row r="517" spans="1:25" x14ac:dyDescent="0.25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</row>
    <row r="518" spans="1:25" x14ac:dyDescent="0.25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</row>
    <row r="519" spans="1:25" x14ac:dyDescent="0.25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</row>
    <row r="520" spans="1:25" x14ac:dyDescent="0.25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</row>
    <row r="521" spans="1:25" x14ac:dyDescent="0.25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</row>
    <row r="522" spans="1:25" x14ac:dyDescent="0.25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</row>
    <row r="523" spans="1:25" x14ac:dyDescent="0.25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</row>
    <row r="524" spans="1:25" x14ac:dyDescent="0.25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</row>
    <row r="525" spans="1:25" x14ac:dyDescent="0.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</row>
    <row r="526" spans="1:25" x14ac:dyDescent="0.25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</row>
    <row r="527" spans="1:25" x14ac:dyDescent="0.25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</row>
    <row r="528" spans="1:25" x14ac:dyDescent="0.25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</row>
    <row r="529" spans="1:25" x14ac:dyDescent="0.25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</row>
    <row r="530" spans="1:25" x14ac:dyDescent="0.25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</row>
    <row r="531" spans="1:25" x14ac:dyDescent="0.25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</row>
    <row r="532" spans="1:25" x14ac:dyDescent="0.25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</row>
    <row r="533" spans="1:25" x14ac:dyDescent="0.25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</row>
    <row r="534" spans="1:25" x14ac:dyDescent="0.25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</row>
    <row r="535" spans="1:25" x14ac:dyDescent="0.2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</row>
    <row r="536" spans="1:25" x14ac:dyDescent="0.25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</row>
    <row r="537" spans="1:25" x14ac:dyDescent="0.25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</row>
    <row r="538" spans="1:25" x14ac:dyDescent="0.25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</row>
    <row r="539" spans="1:25" x14ac:dyDescent="0.25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</row>
    <row r="540" spans="1:25" x14ac:dyDescent="0.25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</row>
    <row r="541" spans="1:25" x14ac:dyDescent="0.25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</row>
    <row r="542" spans="1:25" x14ac:dyDescent="0.25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</row>
    <row r="543" spans="1:25" x14ac:dyDescent="0.25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</row>
    <row r="544" spans="1:25" x14ac:dyDescent="0.25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</row>
    <row r="545" spans="1:25" x14ac:dyDescent="0.2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</row>
    <row r="546" spans="1:25" x14ac:dyDescent="0.25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</row>
    <row r="547" spans="1:25" x14ac:dyDescent="0.25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</row>
    <row r="548" spans="1:25" x14ac:dyDescent="0.25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</row>
    <row r="549" spans="1:25" x14ac:dyDescent="0.25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</row>
    <row r="550" spans="1:25" x14ac:dyDescent="0.25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</row>
    <row r="551" spans="1:25" x14ac:dyDescent="0.25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</row>
    <row r="552" spans="1:25" x14ac:dyDescent="0.25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</row>
    <row r="553" spans="1:25" x14ac:dyDescent="0.25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</row>
    <row r="554" spans="1:25" x14ac:dyDescent="0.25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</row>
    <row r="555" spans="1:25" x14ac:dyDescent="0.2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</row>
    <row r="556" spans="1:25" x14ac:dyDescent="0.25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</row>
    <row r="557" spans="1:25" x14ac:dyDescent="0.25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</row>
    <row r="558" spans="1:25" x14ac:dyDescent="0.25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</row>
    <row r="559" spans="1:25" x14ac:dyDescent="0.25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</row>
    <row r="560" spans="1:25" x14ac:dyDescent="0.25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</row>
    <row r="561" spans="1:25" x14ac:dyDescent="0.25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</row>
    <row r="562" spans="1:25" x14ac:dyDescent="0.25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</row>
    <row r="563" spans="1:25" x14ac:dyDescent="0.25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</row>
    <row r="564" spans="1:25" x14ac:dyDescent="0.25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</row>
    <row r="565" spans="1:25" x14ac:dyDescent="0.2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</row>
    <row r="566" spans="1:25" x14ac:dyDescent="0.25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</row>
    <row r="567" spans="1:25" x14ac:dyDescent="0.25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</row>
    <row r="568" spans="1:25" x14ac:dyDescent="0.25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</row>
    <row r="569" spans="1:25" x14ac:dyDescent="0.25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</row>
    <row r="570" spans="1:25" x14ac:dyDescent="0.25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</row>
    <row r="571" spans="1:25" x14ac:dyDescent="0.25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</row>
    <row r="572" spans="1:25" x14ac:dyDescent="0.25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</row>
    <row r="573" spans="1:25" x14ac:dyDescent="0.25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</row>
    <row r="574" spans="1:25" x14ac:dyDescent="0.25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</row>
    <row r="575" spans="1:25" x14ac:dyDescent="0.2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</row>
    <row r="576" spans="1:25" x14ac:dyDescent="0.25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</row>
    <row r="577" spans="1:25" x14ac:dyDescent="0.25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</row>
    <row r="578" spans="1:25" x14ac:dyDescent="0.25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</row>
    <row r="579" spans="1:25" x14ac:dyDescent="0.25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</row>
    <row r="580" spans="1:25" x14ac:dyDescent="0.25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</row>
    <row r="581" spans="1:25" x14ac:dyDescent="0.25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</row>
    <row r="582" spans="1:25" x14ac:dyDescent="0.25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</row>
    <row r="583" spans="1:25" x14ac:dyDescent="0.25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</row>
    <row r="584" spans="1:25" x14ac:dyDescent="0.25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</row>
    <row r="585" spans="1:25" x14ac:dyDescent="0.2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</row>
    <row r="586" spans="1:25" x14ac:dyDescent="0.25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</row>
    <row r="587" spans="1:25" x14ac:dyDescent="0.25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</row>
    <row r="588" spans="1:25" x14ac:dyDescent="0.25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</row>
    <row r="589" spans="1:25" x14ac:dyDescent="0.25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</row>
    <row r="590" spans="1:25" x14ac:dyDescent="0.25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</row>
    <row r="591" spans="1:25" x14ac:dyDescent="0.25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</row>
    <row r="592" spans="1:25" x14ac:dyDescent="0.25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</row>
    <row r="593" spans="1:25" x14ac:dyDescent="0.25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</row>
    <row r="594" spans="1:25" x14ac:dyDescent="0.25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</row>
    <row r="595" spans="1:25" x14ac:dyDescent="0.2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</row>
    <row r="596" spans="1:25" x14ac:dyDescent="0.25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</row>
    <row r="597" spans="1:25" x14ac:dyDescent="0.25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</row>
    <row r="598" spans="1:25" x14ac:dyDescent="0.25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</row>
    <row r="599" spans="1:25" x14ac:dyDescent="0.25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</row>
    <row r="600" spans="1:25" x14ac:dyDescent="0.25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</row>
    <row r="601" spans="1:25" x14ac:dyDescent="0.25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</row>
    <row r="602" spans="1:25" x14ac:dyDescent="0.25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</row>
    <row r="603" spans="1:25" x14ac:dyDescent="0.25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</row>
    <row r="604" spans="1:25" x14ac:dyDescent="0.25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</row>
    <row r="605" spans="1:25" x14ac:dyDescent="0.2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</row>
    <row r="606" spans="1:25" x14ac:dyDescent="0.25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</row>
    <row r="607" spans="1:25" x14ac:dyDescent="0.25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</row>
    <row r="608" spans="1:25" x14ac:dyDescent="0.25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</row>
    <row r="609" spans="1:25" x14ac:dyDescent="0.25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</row>
    <row r="610" spans="1:25" x14ac:dyDescent="0.25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</row>
    <row r="611" spans="1:25" x14ac:dyDescent="0.25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</row>
    <row r="612" spans="1:25" x14ac:dyDescent="0.25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</row>
    <row r="613" spans="1:25" x14ac:dyDescent="0.25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</row>
    <row r="614" spans="1:25" x14ac:dyDescent="0.25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</row>
    <row r="615" spans="1:25" x14ac:dyDescent="0.2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</row>
    <row r="616" spans="1:25" x14ac:dyDescent="0.25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</row>
    <row r="617" spans="1:25" x14ac:dyDescent="0.25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</row>
    <row r="618" spans="1:25" x14ac:dyDescent="0.25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</row>
    <row r="619" spans="1:25" x14ac:dyDescent="0.25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</row>
    <row r="620" spans="1:25" x14ac:dyDescent="0.25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</row>
    <row r="621" spans="1:25" x14ac:dyDescent="0.25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</row>
    <row r="622" spans="1:25" x14ac:dyDescent="0.25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</row>
    <row r="623" spans="1:25" x14ac:dyDescent="0.25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</row>
    <row r="624" spans="1:25" x14ac:dyDescent="0.25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</row>
    <row r="625" spans="1:25" x14ac:dyDescent="0.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</row>
    <row r="626" spans="1:25" x14ac:dyDescent="0.25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</row>
    <row r="627" spans="1:25" x14ac:dyDescent="0.25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</row>
    <row r="628" spans="1:25" x14ac:dyDescent="0.25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</row>
    <row r="629" spans="1:25" x14ac:dyDescent="0.25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</row>
    <row r="630" spans="1:25" x14ac:dyDescent="0.25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</row>
    <row r="631" spans="1:25" x14ac:dyDescent="0.25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</row>
    <row r="632" spans="1:25" x14ac:dyDescent="0.25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</row>
    <row r="633" spans="1:25" x14ac:dyDescent="0.25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</row>
    <row r="634" spans="1:25" x14ac:dyDescent="0.25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</row>
    <row r="635" spans="1:25" x14ac:dyDescent="0.25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</row>
    <row r="636" spans="1:25" x14ac:dyDescent="0.25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</row>
    <row r="637" spans="1:25" x14ac:dyDescent="0.25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</row>
    <row r="638" spans="1:25" x14ac:dyDescent="0.25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</row>
    <row r="639" spans="1:25" x14ac:dyDescent="0.25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</row>
    <row r="640" spans="1:25" x14ac:dyDescent="0.25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</row>
    <row r="641" spans="1:25" x14ac:dyDescent="0.25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</row>
    <row r="642" spans="1:25" x14ac:dyDescent="0.25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</row>
    <row r="643" spans="1:25" x14ac:dyDescent="0.25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</row>
    <row r="644" spans="1:25" x14ac:dyDescent="0.25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</row>
    <row r="645" spans="1:25" x14ac:dyDescent="0.25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</row>
    <row r="646" spans="1:25" x14ac:dyDescent="0.25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</row>
    <row r="647" spans="1:25" x14ac:dyDescent="0.25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</row>
    <row r="648" spans="1:25" x14ac:dyDescent="0.25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</row>
    <row r="649" spans="1:25" x14ac:dyDescent="0.25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</row>
    <row r="650" spans="1:25" x14ac:dyDescent="0.25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</row>
    <row r="651" spans="1:25" x14ac:dyDescent="0.25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</row>
    <row r="652" spans="1:25" x14ac:dyDescent="0.25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</row>
    <row r="653" spans="1:25" x14ac:dyDescent="0.25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</row>
    <row r="654" spans="1:25" x14ac:dyDescent="0.25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</row>
    <row r="655" spans="1:25" x14ac:dyDescent="0.25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</row>
    <row r="656" spans="1:25" x14ac:dyDescent="0.25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</row>
    <row r="657" spans="1:25" x14ac:dyDescent="0.25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</row>
    <row r="658" spans="1:25" x14ac:dyDescent="0.25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</row>
    <row r="659" spans="1:25" x14ac:dyDescent="0.25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</row>
    <row r="660" spans="1:25" x14ac:dyDescent="0.25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</row>
    <row r="661" spans="1:25" x14ac:dyDescent="0.25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</row>
    <row r="662" spans="1:25" x14ac:dyDescent="0.25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</row>
    <row r="663" spans="1:25" x14ac:dyDescent="0.25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</row>
    <row r="664" spans="1:25" x14ac:dyDescent="0.25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</row>
    <row r="665" spans="1:25" x14ac:dyDescent="0.25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</row>
    <row r="666" spans="1:25" x14ac:dyDescent="0.25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</row>
    <row r="667" spans="1:25" x14ac:dyDescent="0.25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</row>
    <row r="668" spans="1:25" x14ac:dyDescent="0.25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</row>
    <row r="669" spans="1:25" x14ac:dyDescent="0.25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</row>
    <row r="670" spans="1:25" x14ac:dyDescent="0.25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</row>
    <row r="671" spans="1:25" x14ac:dyDescent="0.25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</row>
    <row r="672" spans="1:25" x14ac:dyDescent="0.25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</row>
    <row r="673" spans="1:25" x14ac:dyDescent="0.25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</row>
    <row r="674" spans="1:25" x14ac:dyDescent="0.25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</row>
    <row r="675" spans="1:25" x14ac:dyDescent="0.25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</row>
  </sheetData>
  <mergeCells count="2">
    <mergeCell ref="J8:K8"/>
    <mergeCell ref="J9:K9"/>
  </mergeCells>
  <phoneticPr fontId="15" type="noConversion"/>
  <pageMargins left="0.75" right="0.5" top="0.5" bottom="0.5" header="0.5" footer="0.5"/>
  <pageSetup scale="55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>
    <tabColor rgb="FF00FF00"/>
  </sheetPr>
  <dimension ref="A3:AV139"/>
  <sheetViews>
    <sheetView showGridLines="0" view="pageBreakPreview" zoomScale="115" zoomScaleNormal="160" zoomScaleSheetLayoutView="115" workbookViewId="0">
      <pane xSplit="2" ySplit="9" topLeftCell="C10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4" width="8.5703125" style="2" customWidth="1"/>
    <col min="5" max="5" width="9.42578125" style="2" bestFit="1" customWidth="1"/>
    <col min="6" max="9" width="8.5703125" style="2" customWidth="1"/>
    <col min="10" max="10" width="9.42578125" style="2" bestFit="1" customWidth="1"/>
    <col min="11" max="14" width="8.5703125" style="2" customWidth="1"/>
    <col min="15" max="15" width="9.85546875" style="2" bestFit="1" customWidth="1"/>
    <col min="16" max="16" width="10.5703125" style="2" customWidth="1"/>
    <col min="17" max="17" width="9.5703125" style="2" bestFit="1" customWidth="1"/>
    <col min="18" max="18" width="11.5703125" style="2" customWidth="1"/>
    <col min="19" max="19" width="15.5703125" style="17" customWidth="1"/>
    <col min="20" max="20" width="15.140625" style="17" customWidth="1"/>
    <col min="21" max="21" width="16.42578125" style="17" customWidth="1"/>
    <col min="22" max="22" width="13.85546875" style="17" customWidth="1"/>
    <col min="23" max="23" width="16.5703125" style="17" customWidth="1"/>
    <col min="24" max="24" width="11.5703125" style="17" bestFit="1" customWidth="1"/>
    <col min="25" max="25" width="17.5703125" style="17" customWidth="1"/>
    <col min="26" max="48" width="12.5703125" style="17"/>
    <col min="49" max="16384" width="12.5703125" style="2"/>
  </cols>
  <sheetData>
    <row r="3" spans="1:2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70"/>
      <c r="P3" s="70"/>
      <c r="Q3" s="1"/>
      <c r="R3" s="72" t="s">
        <v>617</v>
      </c>
      <c r="S3" s="16"/>
      <c r="T3" s="38"/>
      <c r="U3" s="16"/>
      <c r="V3" s="16"/>
      <c r="W3" s="16"/>
      <c r="X3" s="16"/>
      <c r="Y3" s="16"/>
    </row>
    <row r="4" spans="1:25" x14ac:dyDescent="0.2">
      <c r="A4" s="7"/>
      <c r="B4" s="18"/>
      <c r="C4" s="18"/>
      <c r="D4" s="18"/>
      <c r="E4" s="18"/>
      <c r="F4" s="18"/>
      <c r="G4" s="18"/>
      <c r="H4" s="18"/>
      <c r="I4" s="4" t="s">
        <v>93</v>
      </c>
      <c r="J4" s="18"/>
      <c r="K4" s="18"/>
      <c r="L4" s="18"/>
      <c r="M4" s="18"/>
      <c r="N4" s="18"/>
      <c r="O4" s="71"/>
      <c r="P4" s="71"/>
      <c r="Q4" s="19"/>
      <c r="R4" s="72"/>
      <c r="T4" s="16"/>
      <c r="U4" s="16"/>
      <c r="V4" s="16"/>
      <c r="W4" s="16"/>
      <c r="X4" s="16"/>
    </row>
    <row r="5" spans="1:25" x14ac:dyDescent="0.2">
      <c r="A5" s="7"/>
      <c r="B5" s="18"/>
      <c r="C5" s="18"/>
      <c r="D5" s="18"/>
      <c r="E5" s="18"/>
      <c r="F5" s="18"/>
      <c r="G5" s="18"/>
      <c r="H5" s="18"/>
      <c r="I5" s="4" t="s">
        <v>227</v>
      </c>
      <c r="J5" s="18"/>
      <c r="K5" s="18"/>
      <c r="L5" s="18"/>
      <c r="M5" s="18"/>
      <c r="N5" s="18"/>
      <c r="O5" s="18"/>
      <c r="P5" s="18"/>
      <c r="Q5" s="19"/>
      <c r="R5" s="18"/>
      <c r="T5" s="16"/>
      <c r="U5" s="16"/>
      <c r="V5" s="16"/>
      <c r="W5" s="21"/>
      <c r="X5" s="16"/>
      <c r="Y5" s="16"/>
    </row>
    <row r="6" spans="1:25" x14ac:dyDescent="0.2">
      <c r="A6" s="7"/>
      <c r="B6" s="18"/>
      <c r="C6" s="18"/>
      <c r="D6" s="18"/>
      <c r="E6" s="18"/>
      <c r="F6" s="18"/>
      <c r="G6" s="18"/>
      <c r="H6" s="18"/>
      <c r="I6" s="4" t="str">
        <f>'WNA Summary'!I6</f>
        <v>Reference Period - Twelve Months Ending 08/31/2015</v>
      </c>
      <c r="J6" s="18"/>
      <c r="K6" s="18"/>
      <c r="L6" s="18"/>
      <c r="M6" s="18"/>
      <c r="N6" s="18"/>
      <c r="O6" s="18"/>
      <c r="P6" s="18"/>
      <c r="Q6" s="73"/>
      <c r="R6" s="18"/>
      <c r="T6" s="16"/>
      <c r="U6" s="16"/>
      <c r="V6" s="16"/>
      <c r="W6" s="22"/>
      <c r="X6" s="16"/>
      <c r="Y6" s="22"/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6"/>
      <c r="T7" s="16"/>
      <c r="U7" s="16"/>
      <c r="V7" s="16"/>
      <c r="W7" s="16"/>
      <c r="X7" s="16"/>
      <c r="Y7" s="16"/>
    </row>
    <row r="8" spans="1:25" x14ac:dyDescent="0.2">
      <c r="A8" s="7" t="s">
        <v>12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4" t="s">
        <v>18</v>
      </c>
      <c r="P8" s="1"/>
      <c r="Q8" s="1"/>
      <c r="R8" s="4" t="s">
        <v>19</v>
      </c>
      <c r="S8" s="15"/>
      <c r="U8" s="15"/>
      <c r="V8" s="15"/>
      <c r="W8" s="15"/>
      <c r="X8" s="15"/>
      <c r="Y8" s="15"/>
    </row>
    <row r="9" spans="1:25" x14ac:dyDescent="0.2">
      <c r="A9" s="8" t="s">
        <v>17</v>
      </c>
      <c r="B9" s="9" t="s">
        <v>27</v>
      </c>
      <c r="C9" s="65">
        <f>WNA!C10</f>
        <v>41912</v>
      </c>
      <c r="D9" s="65">
        <f>WNA!D10</f>
        <v>41943</v>
      </c>
      <c r="E9" s="65">
        <f>WNA!E10</f>
        <v>41973</v>
      </c>
      <c r="F9" s="65">
        <f>WNA!F10</f>
        <v>42004</v>
      </c>
      <c r="G9" s="65">
        <f>WNA!G10</f>
        <v>42035</v>
      </c>
      <c r="H9" s="65">
        <f>WNA!H10</f>
        <v>42063</v>
      </c>
      <c r="I9" s="65">
        <f>WNA!I10</f>
        <v>42094</v>
      </c>
      <c r="J9" s="65">
        <f>WNA!J10</f>
        <v>42124</v>
      </c>
      <c r="K9" s="65">
        <f>WNA!K10</f>
        <v>42155</v>
      </c>
      <c r="L9" s="65">
        <f>WNA!L10</f>
        <v>42185</v>
      </c>
      <c r="M9" s="65">
        <f>WNA!M10</f>
        <v>42216</v>
      </c>
      <c r="N9" s="65">
        <f>WNA!N10</f>
        <v>42247</v>
      </c>
      <c r="O9" s="10" t="s">
        <v>20</v>
      </c>
      <c r="P9" s="10" t="s">
        <v>21</v>
      </c>
      <c r="Q9" s="10" t="s">
        <v>6</v>
      </c>
      <c r="R9" s="10" t="s">
        <v>22</v>
      </c>
      <c r="S9" s="50"/>
      <c r="U9" s="16"/>
      <c r="V9" s="58"/>
      <c r="X9" s="16"/>
      <c r="Y9" s="16"/>
    </row>
    <row r="10" spans="1:25" x14ac:dyDescent="0.2">
      <c r="A10" s="1"/>
      <c r="B10" s="1"/>
      <c r="C10" s="81" t="s">
        <v>13</v>
      </c>
      <c r="D10" s="81" t="s">
        <v>14</v>
      </c>
      <c r="E10" s="4" t="s">
        <v>15</v>
      </c>
      <c r="F10" s="94" t="s">
        <v>16</v>
      </c>
      <c r="G10" s="95" t="s">
        <v>108</v>
      </c>
      <c r="H10" s="95" t="s">
        <v>109</v>
      </c>
      <c r="I10" s="95" t="s">
        <v>110</v>
      </c>
      <c r="J10" s="95" t="s">
        <v>111</v>
      </c>
      <c r="K10" s="95" t="s">
        <v>112</v>
      </c>
      <c r="L10" s="95" t="s">
        <v>113</v>
      </c>
      <c r="M10" s="95" t="s">
        <v>114</v>
      </c>
      <c r="N10" s="95" t="s">
        <v>115</v>
      </c>
      <c r="O10" s="95" t="s">
        <v>116</v>
      </c>
      <c r="P10" s="95" t="s">
        <v>245</v>
      </c>
      <c r="Q10" s="95" t="s">
        <v>246</v>
      </c>
      <c r="R10" s="81" t="s">
        <v>247</v>
      </c>
      <c r="S10" s="16"/>
      <c r="U10" s="16"/>
      <c r="V10" s="15"/>
      <c r="W10" s="16"/>
      <c r="X10" s="16"/>
      <c r="Y10" s="15"/>
    </row>
    <row r="11" spans="1:2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5"/>
      <c r="U11" s="15"/>
      <c r="V11" s="15"/>
      <c r="W11" s="15"/>
      <c r="X11" s="15"/>
      <c r="Y11" s="15"/>
    </row>
    <row r="12" spans="1:25" x14ac:dyDescent="0.2">
      <c r="A12" s="4">
        <v>1</v>
      </c>
      <c r="B12" s="35" t="s">
        <v>30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15"/>
      <c r="P12" s="15"/>
      <c r="Q12" s="15"/>
      <c r="R12" s="15"/>
      <c r="W12" s="15"/>
      <c r="X12" s="15"/>
      <c r="Y12" s="15"/>
    </row>
    <row r="13" spans="1:25" x14ac:dyDescent="0.2">
      <c r="A13" s="4">
        <v>2</v>
      </c>
      <c r="B13" s="1" t="s">
        <v>23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">
        <f>SUM(C13:N13)</f>
        <v>0</v>
      </c>
      <c r="P13" s="6"/>
      <c r="Q13" s="11">
        <f>'WNA Summary'!Q13</f>
        <v>18.649999999999999</v>
      </c>
      <c r="R13" s="3">
        <f>O13*Q13</f>
        <v>0</v>
      </c>
      <c r="U13" s="49"/>
      <c r="V13" s="3"/>
    </row>
    <row r="14" spans="1:25" x14ac:dyDescent="0.2">
      <c r="A14" s="4">
        <v>3</v>
      </c>
      <c r="B14" s="1" t="s">
        <v>24</v>
      </c>
      <c r="C14" s="70">
        <f>'Bill Frequency'!C15</f>
        <v>51.590909090909086</v>
      </c>
      <c r="D14" s="70">
        <f>'Bill Frequency'!D15</f>
        <v>1321.477272727273</v>
      </c>
      <c r="E14" s="70">
        <f>'Bill Frequency'!E15</f>
        <v>312.90909090909093</v>
      </c>
      <c r="F14" s="70">
        <f>'Bill Frequency'!F15</f>
        <v>91.409090909090921</v>
      </c>
      <c r="G14" s="70">
        <f>'Bill Frequency'!G15</f>
        <v>222.67045454545456</v>
      </c>
      <c r="H14" s="70">
        <f>-H15-H16</f>
        <v>209.55681818181819</v>
      </c>
      <c r="I14" s="70">
        <f>'Bill Frequency'!I15</f>
        <v>152.44318181818181</v>
      </c>
      <c r="J14" s="70">
        <f>'Bill Frequency'!J15</f>
        <v>109.84090909090909</v>
      </c>
      <c r="K14" s="70">
        <f>'Bill Frequency'!K15</f>
        <v>0</v>
      </c>
      <c r="L14" s="70">
        <f>'Bill Frequency'!L15</f>
        <v>0</v>
      </c>
      <c r="M14" s="70">
        <f>'Bill Frequency'!M15</f>
        <v>270.94318181818187</v>
      </c>
      <c r="N14" s="70">
        <f>'Bill Frequency'!N15</f>
        <v>0</v>
      </c>
      <c r="O14" s="6"/>
      <c r="P14" s="6">
        <f>SUM(C14:N14)</f>
        <v>2742.8409090909095</v>
      </c>
      <c r="Q14" s="14">
        <f>'WNA Summary'!Q14</f>
        <v>1.3180000000000001</v>
      </c>
      <c r="R14" s="6">
        <f>P14*Q14</f>
        <v>3615.0643181818186</v>
      </c>
      <c r="S14" s="49"/>
      <c r="T14" s="46"/>
      <c r="U14" s="49"/>
      <c r="V14" s="3"/>
    </row>
    <row r="15" spans="1:25" x14ac:dyDescent="0.2">
      <c r="A15" s="4">
        <v>4</v>
      </c>
      <c r="B15" s="1" t="s">
        <v>25</v>
      </c>
      <c r="C15" s="70">
        <f>-C14</f>
        <v>-51.590909090909086</v>
      </c>
      <c r="D15" s="70">
        <f>-D14</f>
        <v>-1321.477272727273</v>
      </c>
      <c r="E15" s="70">
        <f>-E14</f>
        <v>-312.90909090909093</v>
      </c>
      <c r="F15" s="70">
        <f>-F14</f>
        <v>-91.409090909090921</v>
      </c>
      <c r="G15" s="70">
        <f>-G14</f>
        <v>-222.67045454545456</v>
      </c>
      <c r="H15" s="70">
        <f>-'Bill Frequency'!H15</f>
        <v>-209.55681818181819</v>
      </c>
      <c r="I15" s="70">
        <f t="shared" ref="I15:N15" si="0">-I14</f>
        <v>-152.44318181818181</v>
      </c>
      <c r="J15" s="70">
        <f t="shared" si="0"/>
        <v>-109.84090909090909</v>
      </c>
      <c r="K15" s="70">
        <f t="shared" si="0"/>
        <v>0</v>
      </c>
      <c r="L15" s="70">
        <f t="shared" si="0"/>
        <v>0</v>
      </c>
      <c r="M15" s="70">
        <f t="shared" si="0"/>
        <v>-270.94318181818187</v>
      </c>
      <c r="N15" s="70">
        <f t="shared" si="0"/>
        <v>0</v>
      </c>
      <c r="O15" s="6"/>
      <c r="P15" s="6">
        <f>SUM(C15:N15)</f>
        <v>-2742.8409090909095</v>
      </c>
      <c r="Q15" s="14">
        <f>'WNA Summary'!Q15</f>
        <v>0.87999999999999989</v>
      </c>
      <c r="R15" s="6">
        <f>P15*Q15</f>
        <v>-2413.6999999999998</v>
      </c>
      <c r="S15" s="49"/>
      <c r="T15" s="46"/>
      <c r="U15" s="49"/>
      <c r="V15" s="3"/>
    </row>
    <row r="16" spans="1:25" x14ac:dyDescent="0.2">
      <c r="A16" s="4">
        <v>5</v>
      </c>
      <c r="B16" s="1" t="s">
        <v>81</v>
      </c>
      <c r="C16" s="1"/>
      <c r="D16" s="1"/>
      <c r="E16" s="1"/>
      <c r="F16" s="1"/>
      <c r="G16" s="1"/>
      <c r="H16" s="70">
        <f>-'Bill Frequency'!H16</f>
        <v>0</v>
      </c>
      <c r="I16" s="1"/>
      <c r="J16" s="1"/>
      <c r="K16" s="1"/>
      <c r="L16" s="1"/>
      <c r="M16" s="1"/>
      <c r="N16" s="1"/>
      <c r="O16" s="1"/>
      <c r="P16" s="6">
        <f>SUM(C16:N16)</f>
        <v>0</v>
      </c>
      <c r="Q16" s="14">
        <f>'WNA Summary'!Q16</f>
        <v>0.62</v>
      </c>
      <c r="R16" s="6">
        <f>P16*Q16</f>
        <v>0</v>
      </c>
      <c r="S16" s="49"/>
    </row>
    <row r="17" spans="1:22" x14ac:dyDescent="0.2">
      <c r="A17" s="4">
        <v>6</v>
      </c>
      <c r="B17" s="32" t="s">
        <v>79</v>
      </c>
      <c r="C17" s="67">
        <f t="shared" ref="C17:N17" si="1">C14+C15+C16</f>
        <v>0</v>
      </c>
      <c r="D17" s="67">
        <f t="shared" si="1"/>
        <v>0</v>
      </c>
      <c r="E17" s="67">
        <f t="shared" si="1"/>
        <v>0</v>
      </c>
      <c r="F17" s="67">
        <f t="shared" si="1"/>
        <v>0</v>
      </c>
      <c r="G17" s="67">
        <f t="shared" si="1"/>
        <v>0</v>
      </c>
      <c r="H17" s="67">
        <f t="shared" si="1"/>
        <v>0</v>
      </c>
      <c r="I17" s="67">
        <f t="shared" si="1"/>
        <v>0</v>
      </c>
      <c r="J17" s="67">
        <f t="shared" si="1"/>
        <v>0</v>
      </c>
      <c r="K17" s="67">
        <f t="shared" si="1"/>
        <v>0</v>
      </c>
      <c r="L17" s="67">
        <f t="shared" si="1"/>
        <v>0</v>
      </c>
      <c r="M17" s="67">
        <f t="shared" si="1"/>
        <v>0</v>
      </c>
      <c r="N17" s="67">
        <f t="shared" si="1"/>
        <v>0</v>
      </c>
      <c r="O17" s="31">
        <f>O13</f>
        <v>0</v>
      </c>
      <c r="P17" s="31">
        <f>SUM(P14:P16)</f>
        <v>0</v>
      </c>
      <c r="Q17" s="32"/>
      <c r="R17" s="33">
        <f>SUM(R13:R16)</f>
        <v>1201.3643181818188</v>
      </c>
      <c r="S17" s="37"/>
      <c r="V17" s="59"/>
    </row>
    <row r="18" spans="1:22" x14ac:dyDescent="0.2">
      <c r="A18" s="4">
        <v>7</v>
      </c>
      <c r="B18" s="16"/>
      <c r="C18" s="16"/>
      <c r="D18" s="16"/>
      <c r="E18" s="38"/>
      <c r="F18" s="38"/>
      <c r="G18" s="38"/>
      <c r="H18" s="38"/>
      <c r="I18" s="38"/>
      <c r="J18" s="38"/>
      <c r="K18" s="16"/>
      <c r="L18" s="16"/>
      <c r="M18" s="16"/>
      <c r="N18" s="16"/>
      <c r="O18" s="16"/>
      <c r="P18" s="16"/>
      <c r="Q18" s="16"/>
      <c r="R18" s="38"/>
      <c r="S18" s="16"/>
      <c r="T18" s="64"/>
    </row>
    <row r="19" spans="1:22" x14ac:dyDescent="0.2">
      <c r="A19" s="4">
        <v>8</v>
      </c>
      <c r="B19" s="35" t="s">
        <v>31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1"/>
      <c r="P19" s="1"/>
      <c r="Q19" s="1"/>
      <c r="R19" s="1"/>
      <c r="S19" s="44"/>
    </row>
    <row r="20" spans="1:22" x14ac:dyDescent="0.2">
      <c r="A20" s="4">
        <v>9</v>
      </c>
      <c r="B20" s="1" t="s">
        <v>23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6"/>
      <c r="P20" s="15"/>
      <c r="Q20" s="99">
        <f>'WNA Summary'!Q20</f>
        <v>48.44</v>
      </c>
      <c r="R20" s="3">
        <f>O20*Q20</f>
        <v>0</v>
      </c>
      <c r="S20" s="44"/>
      <c r="U20" s="46"/>
    </row>
    <row r="21" spans="1:22" x14ac:dyDescent="0.2">
      <c r="A21" s="4">
        <v>10</v>
      </c>
      <c r="B21" s="1" t="s">
        <v>24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6"/>
      <c r="P21" s="6"/>
      <c r="Q21" s="14">
        <f>'WNA Summary'!Q21</f>
        <v>1.3180000000000001</v>
      </c>
      <c r="R21" s="6">
        <f>P21*Q21</f>
        <v>0</v>
      </c>
      <c r="S21" s="74"/>
      <c r="U21" s="46"/>
    </row>
    <row r="22" spans="1:22" x14ac:dyDescent="0.2">
      <c r="A22" s="4">
        <v>11</v>
      </c>
      <c r="B22" s="1" t="s">
        <v>25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6"/>
      <c r="P22" s="6"/>
      <c r="Q22" s="14">
        <f>'WNA Summary'!Q22</f>
        <v>0.87999999999999989</v>
      </c>
      <c r="R22" s="6">
        <f>P22*Q22</f>
        <v>0</v>
      </c>
      <c r="S22" s="74"/>
    </row>
    <row r="23" spans="1:22" x14ac:dyDescent="0.2">
      <c r="A23" s="4">
        <v>12</v>
      </c>
      <c r="B23" s="1" t="s">
        <v>81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6"/>
      <c r="P23" s="6"/>
      <c r="Q23" s="14">
        <f>'WNA Summary'!Q23</f>
        <v>0.62</v>
      </c>
      <c r="R23" s="6">
        <f>P23*Q23</f>
        <v>0</v>
      </c>
    </row>
    <row r="24" spans="1:22" x14ac:dyDescent="0.2">
      <c r="A24" s="4">
        <v>13</v>
      </c>
      <c r="B24" s="32" t="s">
        <v>79</v>
      </c>
      <c r="C24" s="31">
        <f t="shared" ref="C24:N24" si="2">C21+C22+C23</f>
        <v>0</v>
      </c>
      <c r="D24" s="31">
        <f t="shared" si="2"/>
        <v>0</v>
      </c>
      <c r="E24" s="31">
        <f t="shared" si="2"/>
        <v>0</v>
      </c>
      <c r="F24" s="31">
        <f t="shared" si="2"/>
        <v>0</v>
      </c>
      <c r="G24" s="31">
        <f t="shared" si="2"/>
        <v>0</v>
      </c>
      <c r="H24" s="31">
        <f t="shared" si="2"/>
        <v>0</v>
      </c>
      <c r="I24" s="31">
        <f t="shared" si="2"/>
        <v>0</v>
      </c>
      <c r="J24" s="31">
        <f t="shared" si="2"/>
        <v>0</v>
      </c>
      <c r="K24" s="31">
        <f t="shared" si="2"/>
        <v>0</v>
      </c>
      <c r="L24" s="31">
        <f t="shared" si="2"/>
        <v>0</v>
      </c>
      <c r="M24" s="31">
        <f t="shared" si="2"/>
        <v>0</v>
      </c>
      <c r="N24" s="31">
        <f t="shared" si="2"/>
        <v>0</v>
      </c>
      <c r="O24" s="31">
        <f>O20</f>
        <v>0</v>
      </c>
      <c r="P24" s="31">
        <f>SUM(P21:P23)</f>
        <v>0</v>
      </c>
      <c r="Q24" s="32"/>
      <c r="R24" s="33">
        <f>SUM(R20:R23)</f>
        <v>0</v>
      </c>
      <c r="S24" s="16"/>
      <c r="T24" s="64"/>
    </row>
    <row r="25" spans="1:22" x14ac:dyDescent="0.2">
      <c r="A25" s="4">
        <v>14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2" x14ac:dyDescent="0.2">
      <c r="A26" s="4">
        <v>15</v>
      </c>
      <c r="B26" s="35" t="s">
        <v>80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70"/>
      <c r="P26" s="70"/>
      <c r="Q26" s="14"/>
      <c r="R26" s="70"/>
      <c r="S26" s="26"/>
    </row>
    <row r="27" spans="1:22" x14ac:dyDescent="0.2">
      <c r="A27" s="4">
        <v>16</v>
      </c>
      <c r="B27" s="1" t="s">
        <v>23</v>
      </c>
      <c r="C27" s="70">
        <f>'TBS Adjustments'!E151</f>
        <v>-1</v>
      </c>
      <c r="D27" s="70">
        <f>'TBS Adjustments'!F151</f>
        <v>-1</v>
      </c>
      <c r="E27" s="70">
        <f>'TBS Adjustments'!G151</f>
        <v>0</v>
      </c>
      <c r="F27" s="70">
        <f>'TBS Adjustments'!H151</f>
        <v>0</v>
      </c>
      <c r="G27" s="70">
        <f>'TBS Adjustments'!I151</f>
        <v>0</v>
      </c>
      <c r="H27" s="70">
        <f>'TBS Adjustments'!J151</f>
        <v>0</v>
      </c>
      <c r="I27" s="70">
        <f>'TBS Adjustments'!K151</f>
        <v>0</v>
      </c>
      <c r="J27" s="70">
        <f>'TBS Adjustments'!L151</f>
        <v>0</v>
      </c>
      <c r="K27" s="70">
        <f>'TBS Adjustments'!M151</f>
        <v>0</v>
      </c>
      <c r="L27" s="70">
        <f>'TBS Adjustments'!N151</f>
        <v>0</v>
      </c>
      <c r="M27" s="70">
        <f>'TBS Adjustments'!O151</f>
        <v>0</v>
      </c>
      <c r="N27" s="70">
        <f>'TBS Adjustments'!P151</f>
        <v>0</v>
      </c>
      <c r="O27" s="6">
        <f>SUM(C27:N27)</f>
        <v>-2</v>
      </c>
      <c r="P27" s="15"/>
      <c r="Q27" s="510">
        <f>Q20</f>
        <v>48.44</v>
      </c>
      <c r="R27" s="3">
        <f>O27*Q27</f>
        <v>-96.88</v>
      </c>
      <c r="S27" s="26"/>
      <c r="U27" s="46"/>
    </row>
    <row r="28" spans="1:22" x14ac:dyDescent="0.2">
      <c r="A28" s="4">
        <v>17</v>
      </c>
      <c r="B28" s="1" t="s">
        <v>24</v>
      </c>
      <c r="C28" s="70">
        <f>'TBS Adjustments'!E152</f>
        <v>-300</v>
      </c>
      <c r="D28" s="70">
        <f>'TBS Adjustments'!F152</f>
        <v>-300</v>
      </c>
      <c r="E28" s="70">
        <f>'TBS Adjustments'!G152</f>
        <v>0</v>
      </c>
      <c r="F28" s="70">
        <f>'TBS Adjustments'!H152</f>
        <v>0</v>
      </c>
      <c r="G28" s="70">
        <f>'TBS Adjustments'!I152</f>
        <v>0</v>
      </c>
      <c r="H28" s="70">
        <f>'TBS Adjustments'!J152</f>
        <v>0</v>
      </c>
      <c r="I28" s="70">
        <f>'TBS Adjustments'!K152</f>
        <v>0</v>
      </c>
      <c r="J28" s="70">
        <f>'TBS Adjustments'!L152</f>
        <v>0</v>
      </c>
      <c r="K28" s="70">
        <f>'TBS Adjustments'!M152</f>
        <v>0</v>
      </c>
      <c r="L28" s="70">
        <f>'TBS Adjustments'!N152</f>
        <v>0</v>
      </c>
      <c r="M28" s="70">
        <f>'TBS Adjustments'!O152</f>
        <v>0</v>
      </c>
      <c r="N28" s="70">
        <f>'TBS Adjustments'!P152</f>
        <v>0</v>
      </c>
      <c r="O28" s="6"/>
      <c r="P28" s="6">
        <f>SUM(C28:N28)</f>
        <v>-600</v>
      </c>
      <c r="Q28" s="13">
        <f t="shared" ref="Q28:Q30" si="3">Q21</f>
        <v>1.3180000000000001</v>
      </c>
      <c r="R28" s="6">
        <f>P28*Q28</f>
        <v>-790.80000000000007</v>
      </c>
      <c r="S28" s="26"/>
      <c r="U28" s="46"/>
    </row>
    <row r="29" spans="1:22" x14ac:dyDescent="0.2">
      <c r="A29" s="4">
        <v>18</v>
      </c>
      <c r="B29" s="1" t="s">
        <v>25</v>
      </c>
      <c r="C29" s="70">
        <f>'TBS Adjustments'!E153</f>
        <v>-294.39999999999998</v>
      </c>
      <c r="D29" s="70">
        <f>'TBS Adjustments'!F153</f>
        <v>-187.7</v>
      </c>
      <c r="E29" s="70">
        <f>'TBS Adjustments'!G153</f>
        <v>0</v>
      </c>
      <c r="F29" s="70">
        <f>'TBS Adjustments'!H153</f>
        <v>0</v>
      </c>
      <c r="G29" s="70">
        <f>'TBS Adjustments'!I153</f>
        <v>0</v>
      </c>
      <c r="H29" s="70">
        <f>'TBS Adjustments'!J153</f>
        <v>0</v>
      </c>
      <c r="I29" s="70">
        <f>'TBS Adjustments'!K153</f>
        <v>0</v>
      </c>
      <c r="J29" s="70">
        <f>'TBS Adjustments'!L153</f>
        <v>0</v>
      </c>
      <c r="K29" s="70">
        <f>'TBS Adjustments'!M153</f>
        <v>0</v>
      </c>
      <c r="L29" s="70">
        <f>'TBS Adjustments'!N153</f>
        <v>0</v>
      </c>
      <c r="M29" s="70">
        <f>'TBS Adjustments'!O153</f>
        <v>0</v>
      </c>
      <c r="N29" s="70">
        <f>'TBS Adjustments'!P153</f>
        <v>0</v>
      </c>
      <c r="O29" s="6"/>
      <c r="P29" s="6">
        <f>SUM(C29:N29)</f>
        <v>-482.09999999999997</v>
      </c>
      <c r="Q29" s="13">
        <f t="shared" si="3"/>
        <v>0.87999999999999989</v>
      </c>
      <c r="R29" s="6">
        <f>P29*Q29</f>
        <v>-424.24799999999993</v>
      </c>
      <c r="S29" s="26"/>
      <c r="U29" s="46"/>
    </row>
    <row r="30" spans="1:22" x14ac:dyDescent="0.2">
      <c r="A30" s="4">
        <v>19</v>
      </c>
      <c r="B30" s="1" t="s">
        <v>81</v>
      </c>
      <c r="C30" s="70">
        <f>'TBS Adjustments'!E154</f>
        <v>0</v>
      </c>
      <c r="D30" s="70">
        <f>'TBS Adjustments'!F154</f>
        <v>0</v>
      </c>
      <c r="E30" s="70">
        <f>'TBS Adjustments'!G154</f>
        <v>0</v>
      </c>
      <c r="F30" s="70">
        <f>'TBS Adjustments'!H154</f>
        <v>0</v>
      </c>
      <c r="G30" s="70">
        <f>'TBS Adjustments'!I154</f>
        <v>0</v>
      </c>
      <c r="H30" s="70">
        <f>'TBS Adjustments'!J154</f>
        <v>0</v>
      </c>
      <c r="I30" s="70">
        <f>'TBS Adjustments'!K154</f>
        <v>0</v>
      </c>
      <c r="J30" s="70">
        <f>'TBS Adjustments'!L154</f>
        <v>0</v>
      </c>
      <c r="K30" s="70">
        <f>'TBS Adjustments'!M154</f>
        <v>0</v>
      </c>
      <c r="L30" s="70">
        <f>'TBS Adjustments'!N154</f>
        <v>0</v>
      </c>
      <c r="M30" s="70">
        <f>'TBS Adjustments'!O154</f>
        <v>0</v>
      </c>
      <c r="N30" s="70">
        <f>'TBS Adjustments'!P154</f>
        <v>0</v>
      </c>
      <c r="O30" s="6"/>
      <c r="P30" s="6">
        <f>SUM(C30:N30)</f>
        <v>0</v>
      </c>
      <c r="Q30" s="13">
        <f t="shared" si="3"/>
        <v>0.62</v>
      </c>
      <c r="R30" s="6">
        <f>P30*Q30</f>
        <v>0</v>
      </c>
      <c r="S30" s="26"/>
      <c r="T30" s="16"/>
      <c r="U30" s="46"/>
    </row>
    <row r="31" spans="1:22" x14ac:dyDescent="0.2">
      <c r="A31" s="4">
        <v>20</v>
      </c>
      <c r="B31" s="32" t="s">
        <v>79</v>
      </c>
      <c r="C31" s="31">
        <f t="shared" ref="C31:N31" si="4">C28+C29+C30</f>
        <v>-594.4</v>
      </c>
      <c r="D31" s="31">
        <f t="shared" si="4"/>
        <v>-487.7</v>
      </c>
      <c r="E31" s="31">
        <f t="shared" si="4"/>
        <v>0</v>
      </c>
      <c r="F31" s="31">
        <f t="shared" si="4"/>
        <v>0</v>
      </c>
      <c r="G31" s="31">
        <f t="shared" si="4"/>
        <v>0</v>
      </c>
      <c r="H31" s="31">
        <f t="shared" si="4"/>
        <v>0</v>
      </c>
      <c r="I31" s="31">
        <f t="shared" si="4"/>
        <v>0</v>
      </c>
      <c r="J31" s="31">
        <f t="shared" si="4"/>
        <v>0</v>
      </c>
      <c r="K31" s="31">
        <f t="shared" si="4"/>
        <v>0</v>
      </c>
      <c r="L31" s="31">
        <f t="shared" si="4"/>
        <v>0</v>
      </c>
      <c r="M31" s="31">
        <f t="shared" si="4"/>
        <v>0</v>
      </c>
      <c r="N31" s="31">
        <f t="shared" si="4"/>
        <v>0</v>
      </c>
      <c r="O31" s="31">
        <f>O27</f>
        <v>-2</v>
      </c>
      <c r="P31" s="31">
        <f>SUM(P28:P30)</f>
        <v>-1082.0999999999999</v>
      </c>
      <c r="Q31" s="137"/>
      <c r="R31" s="33">
        <f>SUM(R27:R30)</f>
        <v>-1311.9279999999999</v>
      </c>
      <c r="S31" s="26"/>
      <c r="T31" s="16"/>
      <c r="U31" s="46"/>
    </row>
    <row r="32" spans="1:22" x14ac:dyDescent="0.2">
      <c r="A32" s="4">
        <v>21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537"/>
      <c r="R32" s="1"/>
    </row>
    <row r="33" spans="1:19" x14ac:dyDescent="0.2">
      <c r="A33" s="4">
        <v>22</v>
      </c>
      <c r="B33" s="35" t="s">
        <v>82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1"/>
      <c r="P33" s="1"/>
      <c r="Q33" s="136"/>
      <c r="R33" s="60"/>
      <c r="S33" s="26"/>
    </row>
    <row r="34" spans="1:19" x14ac:dyDescent="0.2">
      <c r="A34" s="4">
        <v>23</v>
      </c>
      <c r="B34" s="1" t="s">
        <v>23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6">
        <f>SUM(C34:N34)</f>
        <v>0</v>
      </c>
      <c r="P34" s="15"/>
      <c r="Q34" s="138">
        <f>Q27</f>
        <v>48.44</v>
      </c>
      <c r="R34" s="3">
        <f>O34*Q34</f>
        <v>0</v>
      </c>
      <c r="S34" s="26"/>
    </row>
    <row r="35" spans="1:19" x14ac:dyDescent="0.2">
      <c r="A35" s="4">
        <v>24</v>
      </c>
      <c r="B35" s="1" t="s">
        <v>24</v>
      </c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6"/>
      <c r="P35" s="6">
        <f>SUM(C35:N35)</f>
        <v>0</v>
      </c>
      <c r="Q35" s="14">
        <f>Q28</f>
        <v>1.3180000000000001</v>
      </c>
      <c r="R35" s="6">
        <f>P35*Q35</f>
        <v>0</v>
      </c>
      <c r="S35" s="74"/>
    </row>
    <row r="36" spans="1:19" x14ac:dyDescent="0.2">
      <c r="A36" s="4">
        <v>25</v>
      </c>
      <c r="B36" s="1" t="s">
        <v>25</v>
      </c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6"/>
      <c r="P36" s="6">
        <f>SUM(C36:N36)</f>
        <v>0</v>
      </c>
      <c r="Q36" s="14">
        <f>Q29</f>
        <v>0.87999999999999989</v>
      </c>
      <c r="R36" s="6">
        <f>P36*Q36</f>
        <v>0</v>
      </c>
      <c r="S36" s="74"/>
    </row>
    <row r="37" spans="1:19" x14ac:dyDescent="0.2">
      <c r="A37" s="4">
        <v>26</v>
      </c>
      <c r="B37" s="1" t="s">
        <v>81</v>
      </c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6"/>
      <c r="P37" s="6">
        <f>SUM(C37:N37)</f>
        <v>0</v>
      </c>
      <c r="Q37" s="14">
        <f>Q30</f>
        <v>0.62</v>
      </c>
      <c r="R37" s="6">
        <f>P37*Q37</f>
        <v>0</v>
      </c>
    </row>
    <row r="38" spans="1:19" x14ac:dyDescent="0.2">
      <c r="A38" s="4">
        <v>27</v>
      </c>
      <c r="B38" s="32" t="s">
        <v>79</v>
      </c>
      <c r="C38" s="31">
        <f t="shared" ref="C38:N38" si="5">C35+C36+C37</f>
        <v>0</v>
      </c>
      <c r="D38" s="31">
        <f t="shared" si="5"/>
        <v>0</v>
      </c>
      <c r="E38" s="31">
        <f t="shared" si="5"/>
        <v>0</v>
      </c>
      <c r="F38" s="31">
        <f t="shared" si="5"/>
        <v>0</v>
      </c>
      <c r="G38" s="31">
        <f t="shared" si="5"/>
        <v>0</v>
      </c>
      <c r="H38" s="31">
        <f t="shared" si="5"/>
        <v>0</v>
      </c>
      <c r="I38" s="31">
        <f t="shared" si="5"/>
        <v>0</v>
      </c>
      <c r="J38" s="31">
        <f t="shared" si="5"/>
        <v>0</v>
      </c>
      <c r="K38" s="31">
        <f t="shared" si="5"/>
        <v>0</v>
      </c>
      <c r="L38" s="31">
        <f t="shared" si="5"/>
        <v>0</v>
      </c>
      <c r="M38" s="31">
        <f t="shared" si="5"/>
        <v>0</v>
      </c>
      <c r="N38" s="31">
        <f t="shared" si="5"/>
        <v>0</v>
      </c>
      <c r="O38" s="31">
        <f>O34</f>
        <v>0</v>
      </c>
      <c r="P38" s="31">
        <f>SUM(P35:P37)</f>
        <v>0</v>
      </c>
      <c r="Q38" s="32"/>
      <c r="R38" s="33">
        <f>SUM(R34:R37)</f>
        <v>0</v>
      </c>
    </row>
    <row r="39" spans="1:19" x14ac:dyDescent="0.2">
      <c r="A39" s="4">
        <v>28</v>
      </c>
      <c r="B39" s="16"/>
      <c r="C39" s="16"/>
      <c r="D39" s="16"/>
      <c r="E39" s="38"/>
      <c r="F39" s="38"/>
      <c r="G39" s="38"/>
      <c r="H39" s="38"/>
      <c r="I39" s="38"/>
      <c r="J39" s="38"/>
      <c r="K39" s="16"/>
      <c r="L39" s="16"/>
      <c r="M39" s="16"/>
      <c r="N39" s="16"/>
      <c r="O39" s="16"/>
      <c r="P39" s="16"/>
      <c r="Q39" s="16"/>
      <c r="R39" s="38"/>
    </row>
    <row r="40" spans="1:19" x14ac:dyDescent="0.2">
      <c r="A40" s="4">
        <v>29</v>
      </c>
      <c r="B40" s="171" t="s">
        <v>83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9" x14ac:dyDescent="0.2">
      <c r="A41" s="4">
        <v>30</v>
      </c>
      <c r="B41" s="1" t="s">
        <v>84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6">
        <f>SUM(C41:N41)</f>
        <v>0</v>
      </c>
      <c r="P41" s="15"/>
      <c r="Q41" s="99">
        <f>'Bill Frequency'!Q41</f>
        <v>395.56</v>
      </c>
      <c r="R41" s="3">
        <f>O41*Q41</f>
        <v>0</v>
      </c>
    </row>
    <row r="42" spans="1:19" x14ac:dyDescent="0.2">
      <c r="A42" s="4">
        <v>31</v>
      </c>
      <c r="B42" s="1" t="s">
        <v>85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6"/>
      <c r="P42" s="6">
        <f>SUM(C42:N42)</f>
        <v>0</v>
      </c>
      <c r="Q42" s="14">
        <f>'Bill Frequency'!Q42</f>
        <v>0.80770000000000008</v>
      </c>
      <c r="R42" s="6">
        <f>P42*Q42</f>
        <v>0</v>
      </c>
    </row>
    <row r="43" spans="1:19" x14ac:dyDescent="0.2">
      <c r="A43" s="4">
        <v>32</v>
      </c>
      <c r="B43" s="1" t="s">
        <v>81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6"/>
      <c r="P43" s="6">
        <f>SUM(C43:N43)</f>
        <v>0</v>
      </c>
      <c r="Q43" s="14">
        <f>'Bill Frequency'!Q43</f>
        <v>0.54190000000000005</v>
      </c>
      <c r="R43" s="6">
        <f>P43*Q43</f>
        <v>0</v>
      </c>
    </row>
    <row r="44" spans="1:19" x14ac:dyDescent="0.2">
      <c r="A44" s="4">
        <v>33</v>
      </c>
      <c r="B44" s="32" t="s">
        <v>79</v>
      </c>
      <c r="C44" s="31">
        <f t="shared" ref="C44:N44" si="6">C42+C43</f>
        <v>0</v>
      </c>
      <c r="D44" s="31">
        <f t="shared" si="6"/>
        <v>0</v>
      </c>
      <c r="E44" s="31">
        <f t="shared" si="6"/>
        <v>0</v>
      </c>
      <c r="F44" s="31">
        <f t="shared" si="6"/>
        <v>0</v>
      </c>
      <c r="G44" s="31">
        <f t="shared" si="6"/>
        <v>0</v>
      </c>
      <c r="H44" s="31">
        <f t="shared" si="6"/>
        <v>0</v>
      </c>
      <c r="I44" s="31">
        <f t="shared" si="6"/>
        <v>0</v>
      </c>
      <c r="J44" s="31">
        <f t="shared" si="6"/>
        <v>0</v>
      </c>
      <c r="K44" s="31">
        <f t="shared" si="6"/>
        <v>0</v>
      </c>
      <c r="L44" s="31">
        <f t="shared" si="6"/>
        <v>0</v>
      </c>
      <c r="M44" s="31">
        <f t="shared" si="6"/>
        <v>0</v>
      </c>
      <c r="N44" s="31">
        <f t="shared" si="6"/>
        <v>0</v>
      </c>
      <c r="O44" s="31">
        <f>O41</f>
        <v>0</v>
      </c>
      <c r="P44" s="31">
        <f>SUM(P42:P43)</f>
        <v>0</v>
      </c>
      <c r="Q44" s="32"/>
      <c r="R44" s="33">
        <f>SUM(R41:R43)</f>
        <v>0</v>
      </c>
    </row>
    <row r="45" spans="1:19" x14ac:dyDescent="0.2">
      <c r="A45" s="4">
        <v>34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9" x14ac:dyDescent="0.2">
      <c r="A46" s="4">
        <v>35</v>
      </c>
      <c r="B46" s="171" t="s">
        <v>86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6"/>
    </row>
    <row r="47" spans="1:19" x14ac:dyDescent="0.2">
      <c r="A47" s="4">
        <v>36</v>
      </c>
      <c r="B47" s="1" t="s">
        <v>84</v>
      </c>
      <c r="C47" s="70">
        <f>'TBS Adjustments'!E156</f>
        <v>1</v>
      </c>
      <c r="D47" s="70">
        <f>'TBS Adjustments'!F156</f>
        <v>1</v>
      </c>
      <c r="E47" s="70">
        <f>'TBS Adjustments'!G156</f>
        <v>1</v>
      </c>
      <c r="F47" s="70">
        <f>'TBS Adjustments'!H156</f>
        <v>1</v>
      </c>
      <c r="G47" s="70">
        <f>'TBS Adjustments'!I156</f>
        <v>1</v>
      </c>
      <c r="H47" s="70">
        <f>'TBS Adjustments'!J156</f>
        <v>1</v>
      </c>
      <c r="I47" s="70">
        <f>'TBS Adjustments'!K156</f>
        <v>1</v>
      </c>
      <c r="J47" s="70">
        <f>'TBS Adjustments'!L156</f>
        <v>1</v>
      </c>
      <c r="K47" s="70">
        <f>'TBS Adjustments'!M156</f>
        <v>1</v>
      </c>
      <c r="L47" s="70">
        <f>'TBS Adjustments'!N156</f>
        <v>1</v>
      </c>
      <c r="M47" s="70">
        <f>'TBS Adjustments'!O156</f>
        <v>1</v>
      </c>
      <c r="N47" s="70">
        <f>'TBS Adjustments'!P156</f>
        <v>1</v>
      </c>
      <c r="O47" s="6">
        <f>SUM(C47:N47)</f>
        <v>12</v>
      </c>
      <c r="P47" s="15"/>
      <c r="Q47" s="99">
        <f>Q41</f>
        <v>395.56</v>
      </c>
      <c r="R47" s="3">
        <f>O47*Q47</f>
        <v>4746.72</v>
      </c>
    </row>
    <row r="48" spans="1:19" x14ac:dyDescent="0.2">
      <c r="A48" s="4">
        <v>37</v>
      </c>
      <c r="B48" s="1" t="s">
        <v>85</v>
      </c>
      <c r="C48" s="70">
        <f>'TBS Adjustments'!E157</f>
        <v>-3864</v>
      </c>
      <c r="D48" s="70">
        <f>'TBS Adjustments'!F157</f>
        <v>-3552</v>
      </c>
      <c r="E48" s="70">
        <f>'TBS Adjustments'!G157</f>
        <v>-3399</v>
      </c>
      <c r="F48" s="70">
        <f>'TBS Adjustments'!H157</f>
        <v>0</v>
      </c>
      <c r="G48" s="70">
        <f>'TBS Adjustments'!I157</f>
        <v>0</v>
      </c>
      <c r="H48" s="70">
        <f>'TBS Adjustments'!J157</f>
        <v>-990</v>
      </c>
      <c r="I48" s="70">
        <f>'TBS Adjustments'!K157</f>
        <v>-1311</v>
      </c>
      <c r="J48" s="70">
        <f>'TBS Adjustments'!L157</f>
        <v>-677</v>
      </c>
      <c r="K48" s="70">
        <f>'TBS Adjustments'!M157</f>
        <v>3000</v>
      </c>
      <c r="L48" s="70">
        <f>'TBS Adjustments'!N157</f>
        <v>1102</v>
      </c>
      <c r="M48" s="70">
        <f>'TBS Adjustments'!O157</f>
        <v>-703</v>
      </c>
      <c r="N48" s="70">
        <f>'TBS Adjustments'!P157</f>
        <v>-1000</v>
      </c>
      <c r="O48" s="6"/>
      <c r="P48" s="6">
        <f>SUM(C48:N48)</f>
        <v>-11394</v>
      </c>
      <c r="Q48" s="14">
        <f>Q42</f>
        <v>0.80770000000000008</v>
      </c>
      <c r="R48" s="6">
        <f>P48*Q48</f>
        <v>-9202.9338000000007</v>
      </c>
    </row>
    <row r="49" spans="1:25" x14ac:dyDescent="0.2">
      <c r="A49" s="4">
        <v>38</v>
      </c>
      <c r="B49" s="1" t="s">
        <v>81</v>
      </c>
      <c r="C49" s="70">
        <f>'TBS Adjustments'!E158</f>
        <v>-7136</v>
      </c>
      <c r="D49" s="70">
        <f>'TBS Adjustments'!F158</f>
        <v>-8448</v>
      </c>
      <c r="E49" s="70">
        <f>'TBS Adjustments'!G158</f>
        <v>-8601</v>
      </c>
      <c r="F49" s="70">
        <f>'TBS Adjustments'!H158</f>
        <v>-17000</v>
      </c>
      <c r="G49" s="70">
        <f>'TBS Adjustments'!I158</f>
        <v>-18000</v>
      </c>
      <c r="H49" s="70">
        <f>'TBS Adjustments'!J158</f>
        <v>-14010</v>
      </c>
      <c r="I49" s="70">
        <f>'TBS Adjustments'!K158</f>
        <v>-11689</v>
      </c>
      <c r="J49" s="70">
        <f>'TBS Adjustments'!L158</f>
        <v>-13323</v>
      </c>
      <c r="K49" s="70">
        <f>'TBS Adjustments'!M158</f>
        <v>-16000</v>
      </c>
      <c r="L49" s="70">
        <f>'TBS Adjustments'!N158</f>
        <v>-11102</v>
      </c>
      <c r="M49" s="70">
        <f>'TBS Adjustments'!O158</f>
        <v>-7297</v>
      </c>
      <c r="N49" s="70">
        <f>'TBS Adjustments'!P158</f>
        <v>0</v>
      </c>
      <c r="O49" s="6"/>
      <c r="P49" s="6">
        <f>SUM(C49:N49)</f>
        <v>-132606</v>
      </c>
      <c r="Q49" s="14">
        <f>Q43</f>
        <v>0.54190000000000005</v>
      </c>
      <c r="R49" s="6">
        <f>P49*Q49</f>
        <v>-71859.191400000011</v>
      </c>
    </row>
    <row r="50" spans="1:25" x14ac:dyDescent="0.2">
      <c r="A50" s="4">
        <v>39</v>
      </c>
      <c r="B50" s="32" t="s">
        <v>79</v>
      </c>
      <c r="C50" s="31">
        <f t="shared" ref="C50:N50" si="7">C48+C49</f>
        <v>-11000</v>
      </c>
      <c r="D50" s="31">
        <f t="shared" si="7"/>
        <v>-12000</v>
      </c>
      <c r="E50" s="31">
        <f t="shared" si="7"/>
        <v>-12000</v>
      </c>
      <c r="F50" s="31">
        <f t="shared" si="7"/>
        <v>-17000</v>
      </c>
      <c r="G50" s="31">
        <f t="shared" si="7"/>
        <v>-18000</v>
      </c>
      <c r="H50" s="31">
        <f t="shared" si="7"/>
        <v>-15000</v>
      </c>
      <c r="I50" s="31">
        <f t="shared" si="7"/>
        <v>-13000</v>
      </c>
      <c r="J50" s="31">
        <f t="shared" si="7"/>
        <v>-14000</v>
      </c>
      <c r="K50" s="31">
        <f t="shared" si="7"/>
        <v>-13000</v>
      </c>
      <c r="L50" s="31">
        <f t="shared" si="7"/>
        <v>-10000</v>
      </c>
      <c r="M50" s="31">
        <f t="shared" si="7"/>
        <v>-8000</v>
      </c>
      <c r="N50" s="31">
        <f t="shared" si="7"/>
        <v>-1000</v>
      </c>
      <c r="O50" s="31">
        <f>O47</f>
        <v>12</v>
      </c>
      <c r="P50" s="31">
        <f>SUM(P48:P49)</f>
        <v>-144000</v>
      </c>
      <c r="Q50" s="32"/>
      <c r="R50" s="33">
        <f>SUM(R47:R49)</f>
        <v>-76315.405200000008</v>
      </c>
    </row>
    <row r="51" spans="1:25" x14ac:dyDescent="0.2">
      <c r="A51" s="4">
        <v>40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25" x14ac:dyDescent="0.2">
      <c r="A52" s="4">
        <v>41</v>
      </c>
      <c r="B52" s="171" t="s">
        <v>88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X52" s="23"/>
      <c r="Y52" s="22"/>
    </row>
    <row r="53" spans="1:25" x14ac:dyDescent="0.2">
      <c r="A53" s="4">
        <v>42</v>
      </c>
      <c r="B53" s="1" t="s">
        <v>87</v>
      </c>
      <c r="C53" s="70">
        <f>'TBS Adjustments'!E164</f>
        <v>3</v>
      </c>
      <c r="D53" s="70">
        <f>'TBS Adjustments'!F164</f>
        <v>3</v>
      </c>
      <c r="E53" s="70">
        <f>'TBS Adjustments'!G164</f>
        <v>2</v>
      </c>
      <c r="F53" s="70">
        <f>'TBS Adjustments'!H164</f>
        <v>2</v>
      </c>
      <c r="G53" s="70">
        <f>'TBS Adjustments'!I164</f>
        <v>2</v>
      </c>
      <c r="H53" s="70">
        <f>'TBS Adjustments'!J164</f>
        <v>2</v>
      </c>
      <c r="I53" s="70">
        <f>'TBS Adjustments'!K164</f>
        <v>2</v>
      </c>
      <c r="J53" s="70">
        <f>'TBS Adjustments'!L164</f>
        <v>2</v>
      </c>
      <c r="K53" s="70">
        <f>'TBS Adjustments'!M164</f>
        <v>2</v>
      </c>
      <c r="L53" s="70">
        <f>'TBS Adjustments'!N164</f>
        <v>2</v>
      </c>
      <c r="M53" s="70">
        <f>'TBS Adjustments'!O164</f>
        <v>2</v>
      </c>
      <c r="N53" s="70">
        <f>'TBS Adjustments'!P164</f>
        <v>1</v>
      </c>
      <c r="O53" s="6">
        <f>SUM(C53:N53)</f>
        <v>25</v>
      </c>
      <c r="P53" s="1"/>
      <c r="Q53" s="138">
        <f>'Bill Frequency'!Q53</f>
        <v>390.12</v>
      </c>
      <c r="R53" s="3">
        <f>O53*Q53</f>
        <v>9753</v>
      </c>
      <c r="X53" s="23"/>
      <c r="Y53" s="22"/>
    </row>
    <row r="54" spans="1:25" x14ac:dyDescent="0.2">
      <c r="A54" s="4">
        <v>43</v>
      </c>
      <c r="B54" s="1" t="s">
        <v>1</v>
      </c>
      <c r="C54" s="60">
        <f>C53*50</f>
        <v>150</v>
      </c>
      <c r="D54" s="60">
        <f t="shared" ref="D54:N54" si="8">D53*50</f>
        <v>150</v>
      </c>
      <c r="E54" s="60">
        <f t="shared" si="8"/>
        <v>100</v>
      </c>
      <c r="F54" s="60">
        <f t="shared" si="8"/>
        <v>100</v>
      </c>
      <c r="G54" s="60">
        <f t="shared" si="8"/>
        <v>100</v>
      </c>
      <c r="H54" s="60">
        <f t="shared" si="8"/>
        <v>100</v>
      </c>
      <c r="I54" s="60">
        <f t="shared" si="8"/>
        <v>100</v>
      </c>
      <c r="J54" s="60">
        <f t="shared" si="8"/>
        <v>100</v>
      </c>
      <c r="K54" s="60">
        <f t="shared" si="8"/>
        <v>100</v>
      </c>
      <c r="L54" s="60">
        <f t="shared" si="8"/>
        <v>100</v>
      </c>
      <c r="M54" s="60">
        <f t="shared" si="8"/>
        <v>100</v>
      </c>
      <c r="N54" s="60">
        <f t="shared" si="8"/>
        <v>50</v>
      </c>
      <c r="O54" s="1"/>
      <c r="P54" s="1"/>
      <c r="Q54" s="1"/>
      <c r="R54" s="6">
        <f>SUM(C54:N54)</f>
        <v>1250</v>
      </c>
      <c r="X54" s="23"/>
      <c r="Y54" s="22"/>
    </row>
    <row r="55" spans="1:25" x14ac:dyDescent="0.2">
      <c r="A55" s="4">
        <v>44</v>
      </c>
      <c r="B55" s="1" t="s">
        <v>62</v>
      </c>
      <c r="C55" s="60">
        <f>C53*75</f>
        <v>225</v>
      </c>
      <c r="D55" s="60">
        <f t="shared" ref="D55:N55" si="9">D53*75</f>
        <v>225</v>
      </c>
      <c r="E55" s="60">
        <f t="shared" si="9"/>
        <v>150</v>
      </c>
      <c r="F55" s="60">
        <f t="shared" si="9"/>
        <v>150</v>
      </c>
      <c r="G55" s="60">
        <f t="shared" si="9"/>
        <v>150</v>
      </c>
      <c r="H55" s="60">
        <f t="shared" si="9"/>
        <v>150</v>
      </c>
      <c r="I55" s="60">
        <f t="shared" si="9"/>
        <v>150</v>
      </c>
      <c r="J55" s="60">
        <f t="shared" si="9"/>
        <v>150</v>
      </c>
      <c r="K55" s="60">
        <f t="shared" si="9"/>
        <v>150</v>
      </c>
      <c r="L55" s="60">
        <f t="shared" si="9"/>
        <v>150</v>
      </c>
      <c r="M55" s="60">
        <f t="shared" si="9"/>
        <v>150</v>
      </c>
      <c r="N55" s="60">
        <f t="shared" si="9"/>
        <v>75</v>
      </c>
      <c r="O55" s="1"/>
      <c r="P55" s="1"/>
      <c r="Q55" s="1"/>
      <c r="R55" s="6">
        <f>SUM(C55:N55)</f>
        <v>1875</v>
      </c>
      <c r="X55" s="23"/>
      <c r="Y55" s="22"/>
    </row>
    <row r="56" spans="1:25" x14ac:dyDescent="0.2">
      <c r="A56" s="4">
        <v>45</v>
      </c>
      <c r="B56" s="1" t="s">
        <v>2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1"/>
      <c r="P56" s="1"/>
      <c r="Q56" s="1"/>
      <c r="R56" s="6">
        <f>SUM(C56:N56)</f>
        <v>0</v>
      </c>
    </row>
    <row r="57" spans="1:25" x14ac:dyDescent="0.2">
      <c r="A57" s="4">
        <v>46</v>
      </c>
      <c r="B57" s="1" t="s">
        <v>32</v>
      </c>
      <c r="C57" s="70">
        <f>'TBS Adjustments'!E165</f>
        <v>900</v>
      </c>
      <c r="D57" s="70">
        <f>'TBS Adjustments'!F165</f>
        <v>900</v>
      </c>
      <c r="E57" s="70">
        <f>'TBS Adjustments'!G165</f>
        <v>600</v>
      </c>
      <c r="F57" s="70">
        <f>'TBS Adjustments'!H165</f>
        <v>600</v>
      </c>
      <c r="G57" s="70">
        <f>'TBS Adjustments'!I165</f>
        <v>600</v>
      </c>
      <c r="H57" s="70">
        <f>'TBS Adjustments'!J165</f>
        <v>600</v>
      </c>
      <c r="I57" s="70">
        <f>'TBS Adjustments'!K165</f>
        <v>600</v>
      </c>
      <c r="J57" s="70">
        <f>'TBS Adjustments'!L165</f>
        <v>600</v>
      </c>
      <c r="K57" s="70">
        <f>'TBS Adjustments'!M165</f>
        <v>600</v>
      </c>
      <c r="L57" s="70">
        <f>'TBS Adjustments'!N165</f>
        <v>600</v>
      </c>
      <c r="M57" s="70">
        <f>'TBS Adjustments'!O165</f>
        <v>600</v>
      </c>
      <c r="N57" s="70">
        <f>'TBS Adjustments'!P165</f>
        <v>587</v>
      </c>
      <c r="O57" s="1"/>
      <c r="P57" s="6">
        <f>SUM(C57:N57)</f>
        <v>7787</v>
      </c>
      <c r="Q57" s="14">
        <f>'Bill Frequency'!Q57</f>
        <v>1.4401000000000002</v>
      </c>
      <c r="R57" s="6">
        <f>P57*Q57</f>
        <v>11214.058700000001</v>
      </c>
    </row>
    <row r="58" spans="1:25" x14ac:dyDescent="0.2">
      <c r="A58" s="4">
        <v>47</v>
      </c>
      <c r="B58" s="1" t="s">
        <v>33</v>
      </c>
      <c r="C58" s="70">
        <f>'TBS Adjustments'!E166</f>
        <v>15174.4</v>
      </c>
      <c r="D58" s="70">
        <f>'TBS Adjustments'!F166</f>
        <v>13870.7</v>
      </c>
      <c r="E58" s="70">
        <f>'TBS Adjustments'!G166</f>
        <v>9699</v>
      </c>
      <c r="F58" s="70">
        <f>'TBS Adjustments'!H166</f>
        <v>11315</v>
      </c>
      <c r="G58" s="70">
        <f>'TBS Adjustments'!I166</f>
        <v>9265</v>
      </c>
      <c r="H58" s="70">
        <f>'TBS Adjustments'!J166</f>
        <v>8799</v>
      </c>
      <c r="I58" s="70">
        <f>'TBS Adjustments'!K166</f>
        <v>10200</v>
      </c>
      <c r="J58" s="70">
        <f>'TBS Adjustments'!L166</f>
        <v>14333</v>
      </c>
      <c r="K58" s="70">
        <f>'TBS Adjustments'!M166</f>
        <v>15096</v>
      </c>
      <c r="L58" s="70">
        <f>'TBS Adjustments'!N166</f>
        <v>14813</v>
      </c>
      <c r="M58" s="70">
        <f>'TBS Adjustments'!O166</f>
        <v>16028</v>
      </c>
      <c r="N58" s="70">
        <f>'TBS Adjustments'!P166</f>
        <v>15700</v>
      </c>
      <c r="O58" s="1"/>
      <c r="P58" s="6">
        <f>SUM(C58:N58)</f>
        <v>154293.1</v>
      </c>
      <c r="Q58" s="14">
        <f>'Bill Frequency'!Q58</f>
        <v>0.96149999999999991</v>
      </c>
      <c r="R58" s="6">
        <f>P58*Q58</f>
        <v>148352.81565</v>
      </c>
    </row>
    <row r="59" spans="1:25" x14ac:dyDescent="0.2">
      <c r="A59" s="4">
        <v>48</v>
      </c>
      <c r="B59" s="1" t="s">
        <v>34</v>
      </c>
      <c r="C59" s="70">
        <f>'TBS Adjustments'!E167</f>
        <v>-8932</v>
      </c>
      <c r="D59" s="70">
        <f>'TBS Adjustments'!F167</f>
        <v>-9935</v>
      </c>
      <c r="E59" s="70">
        <f>'TBS Adjustments'!G167</f>
        <v>-12096</v>
      </c>
      <c r="F59" s="70">
        <f>'TBS Adjustments'!H167</f>
        <v>-8868</v>
      </c>
      <c r="G59" s="70">
        <f>'TBS Adjustments'!I167</f>
        <v>-4899</v>
      </c>
      <c r="H59" s="70">
        <f>'TBS Adjustments'!J167</f>
        <v>-5011</v>
      </c>
      <c r="I59" s="70">
        <f>'TBS Adjustments'!K167</f>
        <v>0</v>
      </c>
      <c r="J59" s="70">
        <f>'TBS Adjustments'!L167</f>
        <v>0</v>
      </c>
      <c r="K59" s="70">
        <f>'TBS Adjustments'!M167</f>
        <v>0</v>
      </c>
      <c r="L59" s="70">
        <f>'TBS Adjustments'!N167</f>
        <v>0</v>
      </c>
      <c r="M59" s="70">
        <f>'TBS Adjustments'!O167</f>
        <v>0</v>
      </c>
      <c r="N59" s="70">
        <f>'TBS Adjustments'!P167</f>
        <v>0</v>
      </c>
      <c r="O59" s="1"/>
      <c r="P59" s="6">
        <f>SUM(C59:N59)</f>
        <v>-49741</v>
      </c>
      <c r="Q59" s="14">
        <f>'Bill Frequency'!Q59</f>
        <v>0.6774</v>
      </c>
      <c r="R59" s="6">
        <f>P59*Q59</f>
        <v>-33694.553399999997</v>
      </c>
      <c r="X59" s="23"/>
      <c r="Y59" s="22"/>
    </row>
    <row r="60" spans="1:25" x14ac:dyDescent="0.2">
      <c r="A60" s="4">
        <v>49</v>
      </c>
      <c r="B60" s="32" t="s">
        <v>79</v>
      </c>
      <c r="C60" s="31">
        <f>C57+C58+C59</f>
        <v>7142.4</v>
      </c>
      <c r="D60" s="31">
        <f t="shared" ref="D60:N60" si="10">D57+D58+D59</f>
        <v>4835.7000000000007</v>
      </c>
      <c r="E60" s="31">
        <f t="shared" si="10"/>
        <v>-1797</v>
      </c>
      <c r="F60" s="31">
        <f t="shared" si="10"/>
        <v>3047</v>
      </c>
      <c r="G60" s="31">
        <f t="shared" si="10"/>
        <v>4966</v>
      </c>
      <c r="H60" s="31">
        <f t="shared" si="10"/>
        <v>4388</v>
      </c>
      <c r="I60" s="31">
        <f t="shared" si="10"/>
        <v>10800</v>
      </c>
      <c r="J60" s="31">
        <f t="shared" si="10"/>
        <v>14933</v>
      </c>
      <c r="K60" s="31">
        <f t="shared" si="10"/>
        <v>15696</v>
      </c>
      <c r="L60" s="31">
        <f t="shared" si="10"/>
        <v>15413</v>
      </c>
      <c r="M60" s="31">
        <f t="shared" si="10"/>
        <v>16628</v>
      </c>
      <c r="N60" s="31">
        <f t="shared" si="10"/>
        <v>16287</v>
      </c>
      <c r="O60" s="31">
        <f>SUM(O53:O59)</f>
        <v>25</v>
      </c>
      <c r="P60" s="31">
        <f>SUM(P57:P59)</f>
        <v>112339.1</v>
      </c>
      <c r="Q60" s="32"/>
      <c r="R60" s="33">
        <f>SUM(R53:R59)</f>
        <v>138750.32094999999</v>
      </c>
      <c r="X60" s="23"/>
      <c r="Y60" s="22"/>
    </row>
    <row r="61" spans="1:25" x14ac:dyDescent="0.2">
      <c r="A61" s="4">
        <v>50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X61" s="23"/>
      <c r="Y61" s="22"/>
    </row>
    <row r="62" spans="1:25" x14ac:dyDescent="0.2">
      <c r="A62" s="4">
        <v>51</v>
      </c>
      <c r="B62" s="171" t="s">
        <v>663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X62" s="23"/>
      <c r="Y62" s="22"/>
    </row>
    <row r="63" spans="1:25" x14ac:dyDescent="0.2">
      <c r="A63" s="4">
        <v>52</v>
      </c>
      <c r="B63" s="1" t="s">
        <v>32</v>
      </c>
      <c r="C63" s="1">
        <f>'TBS Adjustments'!E170</f>
        <v>0</v>
      </c>
      <c r="D63" s="1">
        <f>'TBS Adjustments'!F170</f>
        <v>0</v>
      </c>
      <c r="E63" s="1">
        <f>'TBS Adjustments'!G170</f>
        <v>0</v>
      </c>
      <c r="F63" s="1">
        <f>'TBS Adjustments'!H170</f>
        <v>0</v>
      </c>
      <c r="G63" s="1">
        <f>'TBS Adjustments'!I170</f>
        <v>0</v>
      </c>
      <c r="H63" s="1">
        <f>'TBS Adjustments'!J170</f>
        <v>0</v>
      </c>
      <c r="I63" s="1">
        <f>'TBS Adjustments'!K170</f>
        <v>0</v>
      </c>
      <c r="J63" s="1">
        <f>'TBS Adjustments'!L170</f>
        <v>0</v>
      </c>
      <c r="K63" s="1">
        <f>'TBS Adjustments'!M170</f>
        <v>0</v>
      </c>
      <c r="L63" s="1">
        <f>'TBS Adjustments'!N170</f>
        <v>0</v>
      </c>
      <c r="M63" s="1">
        <f>'TBS Adjustments'!O170</f>
        <v>0</v>
      </c>
      <c r="N63" s="1">
        <f>'TBS Adjustments'!P170</f>
        <v>0</v>
      </c>
      <c r="O63" s="1"/>
      <c r="P63" s="6">
        <f>SUM(C63:O63)</f>
        <v>0</v>
      </c>
      <c r="Q63" s="527">
        <f>'Rate Design'!P23</f>
        <v>0.98850000000000005</v>
      </c>
      <c r="R63" s="3">
        <f>O63*Q63</f>
        <v>0</v>
      </c>
      <c r="X63" s="23"/>
      <c r="Y63" s="22"/>
    </row>
    <row r="64" spans="1:25" x14ac:dyDescent="0.2">
      <c r="A64" s="4">
        <v>53</v>
      </c>
      <c r="B64" s="1" t="s">
        <v>33</v>
      </c>
      <c r="C64" s="1">
        <f>'TBS Adjustments'!E171</f>
        <v>0</v>
      </c>
      <c r="D64" s="1">
        <f>'TBS Adjustments'!F171</f>
        <v>0</v>
      </c>
      <c r="E64" s="70">
        <f>'TBS Adjustments'!G171</f>
        <v>2728</v>
      </c>
      <c r="F64" s="70">
        <f>'TBS Adjustments'!H171</f>
        <v>2728</v>
      </c>
      <c r="G64" s="70">
        <f>'TBS Adjustments'!I171</f>
        <v>2728</v>
      </c>
      <c r="H64" s="70">
        <f>'TBS Adjustments'!J171</f>
        <v>2728</v>
      </c>
      <c r="I64" s="70">
        <f>'TBS Adjustments'!K171</f>
        <v>2342</v>
      </c>
      <c r="J64" s="70">
        <f>'TBS Adjustments'!L171</f>
        <v>0</v>
      </c>
      <c r="K64" s="1">
        <f>'TBS Adjustments'!M171</f>
        <v>0</v>
      </c>
      <c r="L64" s="1">
        <f>'TBS Adjustments'!N171</f>
        <v>0</v>
      </c>
      <c r="M64" s="1">
        <f>'TBS Adjustments'!O171</f>
        <v>0</v>
      </c>
      <c r="N64" s="1">
        <f>'TBS Adjustments'!P171</f>
        <v>0</v>
      </c>
      <c r="O64" s="1"/>
      <c r="P64" s="6">
        <f t="shared" ref="P64:P66" si="11">SUM(C64:O64)</f>
        <v>13254</v>
      </c>
      <c r="Q64" s="527">
        <f>'Rate Design'!P24</f>
        <v>0.66</v>
      </c>
      <c r="R64" s="6">
        <f t="shared" ref="R64:R65" si="12">P64*Q64</f>
        <v>8747.6400000000012</v>
      </c>
      <c r="X64" s="23"/>
      <c r="Y64" s="22"/>
    </row>
    <row r="65" spans="1:25" x14ac:dyDescent="0.2">
      <c r="A65" s="4">
        <v>54</v>
      </c>
      <c r="B65" s="1" t="s">
        <v>661</v>
      </c>
      <c r="C65" s="70">
        <f>'TBS Adjustments'!E172</f>
        <v>12932</v>
      </c>
      <c r="D65" s="70">
        <f>'TBS Adjustments'!F172</f>
        <v>13935</v>
      </c>
      <c r="E65" s="70">
        <f>'TBS Adjustments'!G172</f>
        <v>16096</v>
      </c>
      <c r="F65" s="70">
        <f>'TBS Adjustments'!H172</f>
        <v>12868</v>
      </c>
      <c r="G65" s="70">
        <f>'TBS Adjustments'!I172</f>
        <v>8899</v>
      </c>
      <c r="H65" s="70">
        <f>'TBS Adjustments'!J172</f>
        <v>9011</v>
      </c>
      <c r="I65" s="70">
        <f>'TBS Adjustments'!K172</f>
        <v>4000</v>
      </c>
      <c r="J65" s="70">
        <f>'TBS Adjustments'!L172</f>
        <v>4000</v>
      </c>
      <c r="K65" s="70">
        <f>'TBS Adjustments'!M172</f>
        <v>4000</v>
      </c>
      <c r="L65" s="70">
        <f>'TBS Adjustments'!N172</f>
        <v>4000</v>
      </c>
      <c r="M65" s="70">
        <f>'TBS Adjustments'!O172</f>
        <v>4000</v>
      </c>
      <c r="N65" s="70">
        <f>'TBS Adjustments'!P172</f>
        <v>4000</v>
      </c>
      <c r="O65" s="1"/>
      <c r="P65" s="6">
        <f t="shared" si="11"/>
        <v>97741</v>
      </c>
      <c r="Q65" s="527">
        <f>'Rate Design'!P25</f>
        <v>0.46500000000000002</v>
      </c>
      <c r="R65" s="6">
        <f t="shared" si="12"/>
        <v>45449.565000000002</v>
      </c>
      <c r="X65" s="23"/>
      <c r="Y65" s="22"/>
    </row>
    <row r="66" spans="1:25" x14ac:dyDescent="0.2">
      <c r="A66" s="4">
        <v>55</v>
      </c>
      <c r="B66" s="32" t="s">
        <v>79</v>
      </c>
      <c r="C66" s="31">
        <f>C63+C64+C65</f>
        <v>12932</v>
      </c>
      <c r="D66" s="31">
        <f t="shared" ref="D66:N66" si="13">D63+D64+D65</f>
        <v>13935</v>
      </c>
      <c r="E66" s="31">
        <f t="shared" si="13"/>
        <v>18824</v>
      </c>
      <c r="F66" s="31">
        <f t="shared" si="13"/>
        <v>15596</v>
      </c>
      <c r="G66" s="31">
        <f t="shared" si="13"/>
        <v>11627</v>
      </c>
      <c r="H66" s="31">
        <f t="shared" si="13"/>
        <v>11739</v>
      </c>
      <c r="I66" s="31">
        <f t="shared" si="13"/>
        <v>6342</v>
      </c>
      <c r="J66" s="31">
        <f t="shared" si="13"/>
        <v>4000</v>
      </c>
      <c r="K66" s="31">
        <f t="shared" si="13"/>
        <v>4000</v>
      </c>
      <c r="L66" s="31">
        <f t="shared" si="13"/>
        <v>4000</v>
      </c>
      <c r="M66" s="31">
        <f t="shared" si="13"/>
        <v>4000</v>
      </c>
      <c r="N66" s="31">
        <f t="shared" si="13"/>
        <v>4000</v>
      </c>
      <c r="O66" s="1"/>
      <c r="P66" s="31">
        <f t="shared" si="11"/>
        <v>110995</v>
      </c>
      <c r="Q66" s="32"/>
      <c r="R66" s="33">
        <f>SUM(R63:R65)</f>
        <v>54197.205000000002</v>
      </c>
      <c r="X66" s="23"/>
      <c r="Y66" s="22"/>
    </row>
    <row r="67" spans="1:25" x14ac:dyDescent="0.2">
      <c r="A67" s="4">
        <v>56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X67" s="23"/>
      <c r="Y67" s="22"/>
    </row>
    <row r="68" spans="1:25" x14ac:dyDescent="0.2">
      <c r="A68" s="4">
        <v>57</v>
      </c>
      <c r="B68" s="171" t="s">
        <v>89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X68" s="23"/>
      <c r="Y68" s="22"/>
    </row>
    <row r="69" spans="1:25" x14ac:dyDescent="0.2">
      <c r="A69" s="4">
        <v>58</v>
      </c>
      <c r="B69" s="1" t="s">
        <v>87</v>
      </c>
      <c r="C69" s="70">
        <f>'TBS Adjustments'!E160</f>
        <v>2</v>
      </c>
      <c r="D69" s="70">
        <f>'TBS Adjustments'!F160</f>
        <v>2</v>
      </c>
      <c r="E69" s="70">
        <f>'TBS Adjustments'!G160</f>
        <v>2</v>
      </c>
      <c r="F69" s="70">
        <f>'TBS Adjustments'!H160</f>
        <v>2</v>
      </c>
      <c r="G69" s="70">
        <f>'TBS Adjustments'!I160</f>
        <v>2</v>
      </c>
      <c r="H69" s="70">
        <f>'TBS Adjustments'!J160</f>
        <v>1</v>
      </c>
      <c r="I69" s="70">
        <f>'TBS Adjustments'!K160</f>
        <v>1</v>
      </c>
      <c r="J69" s="70">
        <f>'TBS Adjustments'!L160</f>
        <v>1</v>
      </c>
      <c r="K69" s="70">
        <f>'TBS Adjustments'!M160</f>
        <v>1</v>
      </c>
      <c r="L69" s="70">
        <f>'TBS Adjustments'!N160</f>
        <v>2</v>
      </c>
      <c r="M69" s="70">
        <f>'TBS Adjustments'!O160</f>
        <v>2</v>
      </c>
      <c r="N69" s="70">
        <f>'TBS Adjustments'!P160</f>
        <v>1</v>
      </c>
      <c r="O69" s="6">
        <f>SUM(C69:N69)</f>
        <v>19</v>
      </c>
      <c r="P69" s="15"/>
      <c r="Q69" s="138">
        <f>'Bill Frequency'!Q69</f>
        <v>388.79</v>
      </c>
      <c r="R69" s="3">
        <f>O69*Q69</f>
        <v>7387.01</v>
      </c>
      <c r="X69" s="23"/>
      <c r="Y69" s="22"/>
    </row>
    <row r="70" spans="1:25" x14ac:dyDescent="0.2">
      <c r="A70" s="4">
        <v>59</v>
      </c>
      <c r="B70" s="1" t="s">
        <v>1</v>
      </c>
      <c r="C70" s="60">
        <f>C69*50</f>
        <v>100</v>
      </c>
      <c r="D70" s="60">
        <f t="shared" ref="D70:N70" si="14">D69*50</f>
        <v>100</v>
      </c>
      <c r="E70" s="60">
        <f t="shared" si="14"/>
        <v>100</v>
      </c>
      <c r="F70" s="60">
        <f t="shared" si="14"/>
        <v>100</v>
      </c>
      <c r="G70" s="60">
        <f t="shared" si="14"/>
        <v>100</v>
      </c>
      <c r="H70" s="60">
        <f t="shared" si="14"/>
        <v>50</v>
      </c>
      <c r="I70" s="60">
        <f t="shared" si="14"/>
        <v>50</v>
      </c>
      <c r="J70" s="60">
        <f t="shared" si="14"/>
        <v>50</v>
      </c>
      <c r="K70" s="60">
        <f t="shared" si="14"/>
        <v>50</v>
      </c>
      <c r="L70" s="60">
        <f t="shared" si="14"/>
        <v>100</v>
      </c>
      <c r="M70" s="60">
        <f t="shared" si="14"/>
        <v>100</v>
      </c>
      <c r="N70" s="60">
        <f t="shared" si="14"/>
        <v>50</v>
      </c>
      <c r="O70" s="1"/>
      <c r="P70" s="1"/>
      <c r="Q70" s="1"/>
      <c r="R70" s="6">
        <f>SUM(C70:N70)</f>
        <v>950</v>
      </c>
      <c r="X70" s="23"/>
      <c r="Y70" s="22"/>
    </row>
    <row r="71" spans="1:25" x14ac:dyDescent="0.2">
      <c r="A71" s="4">
        <v>60</v>
      </c>
      <c r="B71" s="1" t="s">
        <v>62</v>
      </c>
      <c r="C71" s="60">
        <f>C69*75</f>
        <v>150</v>
      </c>
      <c r="D71" s="60">
        <f t="shared" ref="D71:N71" si="15">D69*75</f>
        <v>150</v>
      </c>
      <c r="E71" s="60">
        <f t="shared" si="15"/>
        <v>150</v>
      </c>
      <c r="F71" s="60">
        <f t="shared" si="15"/>
        <v>150</v>
      </c>
      <c r="G71" s="60">
        <f t="shared" si="15"/>
        <v>150</v>
      </c>
      <c r="H71" s="60">
        <f t="shared" si="15"/>
        <v>75</v>
      </c>
      <c r="I71" s="60">
        <f t="shared" si="15"/>
        <v>75</v>
      </c>
      <c r="J71" s="60">
        <f t="shared" si="15"/>
        <v>75</v>
      </c>
      <c r="K71" s="60">
        <f t="shared" si="15"/>
        <v>75</v>
      </c>
      <c r="L71" s="60">
        <f t="shared" si="15"/>
        <v>150</v>
      </c>
      <c r="M71" s="60">
        <f t="shared" si="15"/>
        <v>150</v>
      </c>
      <c r="N71" s="60">
        <f t="shared" si="15"/>
        <v>75</v>
      </c>
      <c r="O71" s="1"/>
      <c r="P71" s="1"/>
      <c r="Q71" s="1"/>
      <c r="R71" s="6">
        <f>SUM(C71:N71)</f>
        <v>1425</v>
      </c>
      <c r="X71" s="23"/>
      <c r="Y71" s="22"/>
    </row>
    <row r="72" spans="1:25" x14ac:dyDescent="0.2">
      <c r="A72" s="4">
        <v>61</v>
      </c>
      <c r="B72" s="1" t="s">
        <v>2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1"/>
      <c r="P72" s="1"/>
      <c r="Q72" s="1"/>
      <c r="R72" s="6">
        <f>SUM(C72:N72)</f>
        <v>0</v>
      </c>
      <c r="X72" s="23"/>
      <c r="Y72" s="22"/>
    </row>
    <row r="73" spans="1:25" x14ac:dyDescent="0.2">
      <c r="A73" s="4">
        <v>62</v>
      </c>
      <c r="B73" s="1" t="s">
        <v>46</v>
      </c>
      <c r="C73" s="70">
        <f>'TBS Adjustments'!E161</f>
        <v>25677</v>
      </c>
      <c r="D73" s="70">
        <f>'TBS Adjustments'!F161</f>
        <v>28569</v>
      </c>
      <c r="E73" s="70">
        <f>'TBS Adjustments'!G161</f>
        <v>30520</v>
      </c>
      <c r="F73" s="70">
        <f>'TBS Adjustments'!H161</f>
        <v>25026</v>
      </c>
      <c r="G73" s="70">
        <f>'TBS Adjustments'!I161</f>
        <v>27239</v>
      </c>
      <c r="H73" s="70">
        <f>'TBS Adjustments'!J161</f>
        <v>27316</v>
      </c>
      <c r="I73" s="70">
        <f>'TBS Adjustments'!K161</f>
        <v>22120</v>
      </c>
      <c r="J73" s="70">
        <f>'TBS Adjustments'!L161</f>
        <v>22977</v>
      </c>
      <c r="K73" s="70">
        <f>'TBS Adjustments'!M161</f>
        <v>19912</v>
      </c>
      <c r="L73" s="70">
        <f>'TBS Adjustments'!N161</f>
        <v>23415</v>
      </c>
      <c r="M73" s="70">
        <f>'TBS Adjustments'!O161</f>
        <v>19292</v>
      </c>
      <c r="N73" s="70">
        <f>'TBS Adjustments'!P161</f>
        <v>15561</v>
      </c>
      <c r="O73" s="1"/>
      <c r="P73" s="6">
        <f>SUM(C73:N73)</f>
        <v>287624</v>
      </c>
      <c r="Q73" s="14">
        <f>'Bill Frequency'!Q73</f>
        <v>0.877</v>
      </c>
      <c r="R73" s="6">
        <f>P73*Q73</f>
        <v>252246.24799999999</v>
      </c>
      <c r="X73" s="23"/>
      <c r="Y73" s="22"/>
    </row>
    <row r="74" spans="1:25" x14ac:dyDescent="0.2">
      <c r="A74" s="4">
        <v>63</v>
      </c>
      <c r="B74" s="1" t="s">
        <v>47</v>
      </c>
      <c r="C74" s="70">
        <f>'TBS Adjustments'!E162</f>
        <v>15000</v>
      </c>
      <c r="D74" s="70">
        <f>'TBS Adjustments'!F162</f>
        <v>4007</v>
      </c>
      <c r="E74" s="70">
        <f>'TBS Adjustments'!G162</f>
        <v>4000</v>
      </c>
      <c r="F74" s="70">
        <f>'TBS Adjustments'!H162</f>
        <v>4000</v>
      </c>
      <c r="G74" s="70">
        <f>'TBS Adjustments'!I162</f>
        <v>4864</v>
      </c>
      <c r="H74" s="70">
        <f>'TBS Adjustments'!J162</f>
        <v>6136</v>
      </c>
      <c r="I74" s="70">
        <f>'TBS Adjustments'!K162</f>
        <v>6277</v>
      </c>
      <c r="J74" s="70">
        <f>'TBS Adjustments'!L162</f>
        <v>4000</v>
      </c>
      <c r="K74" s="70">
        <f>'TBS Adjustments'!M162</f>
        <v>4000</v>
      </c>
      <c r="L74" s="70">
        <f>'TBS Adjustments'!N162</f>
        <v>4000</v>
      </c>
      <c r="M74" s="70">
        <f>'TBS Adjustments'!O162</f>
        <v>4000</v>
      </c>
      <c r="N74" s="70">
        <f>'TBS Adjustments'!P162</f>
        <v>4000</v>
      </c>
      <c r="O74" s="1"/>
      <c r="P74" s="6">
        <f>SUM(C74:N74)</f>
        <v>64284</v>
      </c>
      <c r="Q74" s="14">
        <f>'Bill Frequency'!Q74</f>
        <v>0.58840000000000003</v>
      </c>
      <c r="R74" s="6">
        <f>P74*Q74</f>
        <v>37824.705600000001</v>
      </c>
      <c r="X74" s="23"/>
      <c r="Y74" s="22"/>
    </row>
    <row r="75" spans="1:25" x14ac:dyDescent="0.2">
      <c r="A75" s="4">
        <v>64</v>
      </c>
      <c r="B75" s="32" t="s">
        <v>79</v>
      </c>
      <c r="C75" s="31">
        <f t="shared" ref="C75:N75" si="16">C73+C74</f>
        <v>40677</v>
      </c>
      <c r="D75" s="31">
        <f t="shared" si="16"/>
        <v>32576</v>
      </c>
      <c r="E75" s="31">
        <f t="shared" si="16"/>
        <v>34520</v>
      </c>
      <c r="F75" s="31">
        <f t="shared" si="16"/>
        <v>29026</v>
      </c>
      <c r="G75" s="31">
        <f t="shared" si="16"/>
        <v>32103</v>
      </c>
      <c r="H75" s="31">
        <f t="shared" si="16"/>
        <v>33452</v>
      </c>
      <c r="I75" s="31">
        <f t="shared" si="16"/>
        <v>28397</v>
      </c>
      <c r="J75" s="31">
        <f t="shared" si="16"/>
        <v>26977</v>
      </c>
      <c r="K75" s="31">
        <f t="shared" si="16"/>
        <v>23912</v>
      </c>
      <c r="L75" s="31">
        <f t="shared" si="16"/>
        <v>27415</v>
      </c>
      <c r="M75" s="31">
        <f t="shared" si="16"/>
        <v>23292</v>
      </c>
      <c r="N75" s="31">
        <f t="shared" si="16"/>
        <v>19561</v>
      </c>
      <c r="O75" s="31">
        <f>O69</f>
        <v>19</v>
      </c>
      <c r="P75" s="31">
        <f>SUM(P73:P74)</f>
        <v>351908</v>
      </c>
      <c r="Q75" s="32"/>
      <c r="R75" s="33">
        <f>SUM(R69:R74)</f>
        <v>299832.96360000002</v>
      </c>
      <c r="X75" s="23"/>
      <c r="Y75" s="22"/>
    </row>
    <row r="76" spans="1:25" x14ac:dyDescent="0.2">
      <c r="A76" s="4">
        <v>65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25" x14ac:dyDescent="0.2">
      <c r="A77" s="4">
        <v>66</v>
      </c>
      <c r="B77" s="171" t="s">
        <v>90</v>
      </c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"/>
      <c r="P77" s="1"/>
      <c r="Q77" s="1"/>
      <c r="R77" s="147"/>
    </row>
    <row r="78" spans="1:25" x14ac:dyDescent="0.2">
      <c r="A78" s="4">
        <v>67</v>
      </c>
      <c r="B78" s="1" t="s">
        <v>87</v>
      </c>
      <c r="C78" s="70">
        <f>'TBS Adjustments'!E174</f>
        <v>-2</v>
      </c>
      <c r="D78" s="70">
        <f>'TBS Adjustments'!F174</f>
        <v>-2</v>
      </c>
      <c r="E78" s="70">
        <f>'TBS Adjustments'!G174</f>
        <v>-2</v>
      </c>
      <c r="F78" s="70">
        <f>'TBS Adjustments'!H174</f>
        <v>-2</v>
      </c>
      <c r="G78" s="70">
        <f>'TBS Adjustments'!I174</f>
        <v>-2</v>
      </c>
      <c r="H78" s="70">
        <f>'TBS Adjustments'!J174</f>
        <v>-2</v>
      </c>
      <c r="I78" s="70">
        <f>'TBS Adjustments'!K174</f>
        <v>-2</v>
      </c>
      <c r="J78" s="70">
        <f>'TBS Adjustments'!L174</f>
        <v>-2</v>
      </c>
      <c r="K78" s="70">
        <f>'TBS Adjustments'!M174</f>
        <v>-2</v>
      </c>
      <c r="L78" s="70">
        <f>'TBS Adjustments'!N174</f>
        <v>-2</v>
      </c>
      <c r="M78" s="70">
        <f>'TBS Adjustments'!O174</f>
        <v>-2</v>
      </c>
      <c r="N78" s="70">
        <f>'TBS Adjustments'!P174</f>
        <v>-2</v>
      </c>
      <c r="O78" s="6">
        <f>SUM(C78:N78)</f>
        <v>-24</v>
      </c>
      <c r="P78" s="15"/>
      <c r="Q78" s="99">
        <f>'Bill Frequency'!Q78</f>
        <v>350</v>
      </c>
      <c r="R78" s="3">
        <f>O78*Q78</f>
        <v>-8400</v>
      </c>
    </row>
    <row r="79" spans="1:25" x14ac:dyDescent="0.2">
      <c r="A79" s="4">
        <v>68</v>
      </c>
      <c r="B79" s="1" t="s">
        <v>1</v>
      </c>
      <c r="C79" s="60">
        <f>C78*50</f>
        <v>-100</v>
      </c>
      <c r="D79" s="60">
        <f t="shared" ref="D79:N79" si="17">D78*50</f>
        <v>-100</v>
      </c>
      <c r="E79" s="60">
        <f t="shared" si="17"/>
        <v>-100</v>
      </c>
      <c r="F79" s="60">
        <f t="shared" si="17"/>
        <v>-100</v>
      </c>
      <c r="G79" s="60">
        <f t="shared" si="17"/>
        <v>-100</v>
      </c>
      <c r="H79" s="60">
        <f t="shared" si="17"/>
        <v>-100</v>
      </c>
      <c r="I79" s="60">
        <f t="shared" si="17"/>
        <v>-100</v>
      </c>
      <c r="J79" s="60">
        <f t="shared" si="17"/>
        <v>-100</v>
      </c>
      <c r="K79" s="60">
        <f t="shared" si="17"/>
        <v>-100</v>
      </c>
      <c r="L79" s="60">
        <f t="shared" si="17"/>
        <v>-100</v>
      </c>
      <c r="M79" s="60">
        <f t="shared" si="17"/>
        <v>-100</v>
      </c>
      <c r="N79" s="60">
        <f t="shared" si="17"/>
        <v>-100</v>
      </c>
      <c r="O79" s="1"/>
      <c r="P79" s="1"/>
      <c r="Q79" s="1"/>
      <c r="R79" s="6">
        <f>SUM(C79:N79)</f>
        <v>-1200</v>
      </c>
    </row>
    <row r="80" spans="1:25" x14ac:dyDescent="0.2">
      <c r="A80" s="4">
        <v>69</v>
      </c>
      <c r="B80" s="1" t="s">
        <v>62</v>
      </c>
      <c r="C80" s="60">
        <f>75*C78</f>
        <v>-150</v>
      </c>
      <c r="D80" s="60">
        <f t="shared" ref="D80:N80" si="18">75*D78</f>
        <v>-150</v>
      </c>
      <c r="E80" s="60">
        <f t="shared" si="18"/>
        <v>-150</v>
      </c>
      <c r="F80" s="60">
        <f t="shared" si="18"/>
        <v>-150</v>
      </c>
      <c r="G80" s="60">
        <f t="shared" si="18"/>
        <v>-150</v>
      </c>
      <c r="H80" s="60">
        <f t="shared" si="18"/>
        <v>-150</v>
      </c>
      <c r="I80" s="60">
        <f t="shared" si="18"/>
        <v>-150</v>
      </c>
      <c r="J80" s="60">
        <f t="shared" si="18"/>
        <v>-150</v>
      </c>
      <c r="K80" s="60">
        <f t="shared" si="18"/>
        <v>-150</v>
      </c>
      <c r="L80" s="60">
        <f t="shared" si="18"/>
        <v>-150</v>
      </c>
      <c r="M80" s="60">
        <f t="shared" si="18"/>
        <v>-150</v>
      </c>
      <c r="N80" s="60">
        <f t="shared" si="18"/>
        <v>-150</v>
      </c>
      <c r="O80" s="1"/>
      <c r="P80" s="1"/>
      <c r="Q80" s="1"/>
      <c r="R80" s="6">
        <f>SUM(C80:N80)</f>
        <v>-1800</v>
      </c>
    </row>
    <row r="81" spans="1:20" x14ac:dyDescent="0.2">
      <c r="A81" s="4">
        <v>70</v>
      </c>
      <c r="B81" s="1" t="s">
        <v>2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1"/>
      <c r="P81" s="1"/>
      <c r="Q81" s="1"/>
      <c r="R81" s="6">
        <f>SUM(C81:N81)</f>
        <v>0</v>
      </c>
    </row>
    <row r="82" spans="1:20" x14ac:dyDescent="0.2">
      <c r="A82" s="4">
        <v>71</v>
      </c>
      <c r="B82" s="1" t="s">
        <v>91</v>
      </c>
      <c r="C82" s="70">
        <f>'TBS Adjustments'!E175</f>
        <v>-42677</v>
      </c>
      <c r="D82" s="70">
        <f>'TBS Adjustments'!F175</f>
        <v>-90569</v>
      </c>
      <c r="E82" s="70">
        <f>'TBS Adjustments'!G175</f>
        <v>-88766</v>
      </c>
      <c r="F82" s="70">
        <f>'TBS Adjustments'!H175</f>
        <v>-55671</v>
      </c>
      <c r="G82" s="70">
        <f>'TBS Adjustments'!I175</f>
        <v>-24910</v>
      </c>
      <c r="H82" s="70">
        <f>'TBS Adjustments'!J175</f>
        <v>38229</v>
      </c>
      <c r="I82" s="70">
        <f>'TBS Adjustments'!K175</f>
        <v>-83077</v>
      </c>
      <c r="J82" s="70">
        <f>'TBS Adjustments'!L175</f>
        <v>-125001</v>
      </c>
      <c r="K82" s="70">
        <f>'TBS Adjustments'!M175</f>
        <v>-160917</v>
      </c>
      <c r="L82" s="70">
        <f>'TBS Adjustments'!N175</f>
        <v>-38416</v>
      </c>
      <c r="M82" s="70">
        <f>'TBS Adjustments'!O175</f>
        <v>-129292</v>
      </c>
      <c r="N82" s="70">
        <f>'TBS Adjustments'!P175</f>
        <v>-195561</v>
      </c>
      <c r="O82" s="1"/>
      <c r="P82" s="6">
        <f>SUM(C82:N82)</f>
        <v>-996628</v>
      </c>
      <c r="Q82" s="69" t="s">
        <v>61</v>
      </c>
      <c r="R82" s="6"/>
    </row>
    <row r="83" spans="1:20" x14ac:dyDescent="0.2">
      <c r="A83" s="4">
        <v>72</v>
      </c>
      <c r="B83" s="1" t="s">
        <v>92</v>
      </c>
      <c r="C83" s="45">
        <f>'TBS Adjustments'!E177</f>
        <v>71947.665000000008</v>
      </c>
      <c r="D83" s="45">
        <f>'TBS Adjustments'!F177</f>
        <v>81004.602500000023</v>
      </c>
      <c r="E83" s="45">
        <f>'TBS Adjustments'!G177</f>
        <v>79498.522500000021</v>
      </c>
      <c r="F83" s="45">
        <f>'TBS Adjustments'!H177</f>
        <v>87613.022499999977</v>
      </c>
      <c r="G83" s="45">
        <f>'TBS Adjustments'!I177</f>
        <v>97348.557499999995</v>
      </c>
      <c r="H83" s="45">
        <f>'TBS Adjustments'!J177</f>
        <v>93847.512499999953</v>
      </c>
      <c r="I83" s="45">
        <f>'TBS Adjustments'!K177</f>
        <v>79766.254999999976</v>
      </c>
      <c r="J83" s="45">
        <f>'TBS Adjustments'!L177</f>
        <v>75807.440000000046</v>
      </c>
      <c r="K83" s="45">
        <f>'TBS Adjustments'!M177</f>
        <v>68238.58249999996</v>
      </c>
      <c r="L83" s="45">
        <f>'TBS Adjustments'!N177</f>
        <v>70441.477500000037</v>
      </c>
      <c r="M83" s="45">
        <f>'TBS Adjustments'!O177</f>
        <v>68484.067500000034</v>
      </c>
      <c r="N83" s="45">
        <f>'TBS Adjustments'!P177</f>
        <v>69085.752500000002</v>
      </c>
      <c r="O83" s="1"/>
      <c r="P83" s="6"/>
      <c r="Q83" s="69"/>
      <c r="R83" s="6">
        <f>SUM(C83:N83)</f>
        <v>943083.45750000002</v>
      </c>
    </row>
    <row r="84" spans="1:20" x14ac:dyDescent="0.2">
      <c r="A84" s="4">
        <v>73</v>
      </c>
      <c r="B84" s="32" t="s">
        <v>79</v>
      </c>
      <c r="C84" s="31">
        <f t="shared" ref="C84:N84" si="19">C82</f>
        <v>-42677</v>
      </c>
      <c r="D84" s="31">
        <f t="shared" si="19"/>
        <v>-90569</v>
      </c>
      <c r="E84" s="31">
        <f t="shared" si="19"/>
        <v>-88766</v>
      </c>
      <c r="F84" s="31">
        <f t="shared" si="19"/>
        <v>-55671</v>
      </c>
      <c r="G84" s="31">
        <f t="shared" si="19"/>
        <v>-24910</v>
      </c>
      <c r="H84" s="31">
        <f t="shared" si="19"/>
        <v>38229</v>
      </c>
      <c r="I84" s="31">
        <f t="shared" si="19"/>
        <v>-83077</v>
      </c>
      <c r="J84" s="31">
        <f t="shared" si="19"/>
        <v>-125001</v>
      </c>
      <c r="K84" s="31">
        <f t="shared" si="19"/>
        <v>-160917</v>
      </c>
      <c r="L84" s="31">
        <f t="shared" si="19"/>
        <v>-38416</v>
      </c>
      <c r="M84" s="31">
        <f t="shared" si="19"/>
        <v>-129292</v>
      </c>
      <c r="N84" s="31">
        <f t="shared" si="19"/>
        <v>-195561</v>
      </c>
      <c r="O84" s="31">
        <f>O78</f>
        <v>-24</v>
      </c>
      <c r="P84" s="31">
        <f>P82</f>
        <v>-996628</v>
      </c>
      <c r="Q84" s="32"/>
      <c r="R84" s="33">
        <f>SUM(R78:R83)</f>
        <v>931683.45750000002</v>
      </c>
    </row>
    <row r="85" spans="1:20" x14ac:dyDescent="0.2">
      <c r="A85" s="4"/>
      <c r="S85" s="59"/>
      <c r="T85" s="59"/>
    </row>
    <row r="86" spans="1:20" x14ac:dyDescent="0.2">
      <c r="A86" s="4"/>
    </row>
    <row r="87" spans="1:20" x14ac:dyDescent="0.2">
      <c r="A87" s="4"/>
    </row>
    <row r="88" spans="1:20" x14ac:dyDescent="0.2">
      <c r="A88" s="4"/>
    </row>
    <row r="89" spans="1:20" x14ac:dyDescent="0.2">
      <c r="A89" s="4"/>
    </row>
    <row r="90" spans="1:20" x14ac:dyDescent="0.2">
      <c r="A90" s="4"/>
    </row>
    <row r="91" spans="1:20" x14ac:dyDescent="0.2">
      <c r="A91" s="4"/>
    </row>
    <row r="92" spans="1:20" x14ac:dyDescent="0.2">
      <c r="A92" s="4"/>
    </row>
    <row r="93" spans="1:20" x14ac:dyDescent="0.2">
      <c r="A93" s="4"/>
    </row>
    <row r="94" spans="1:20" x14ac:dyDescent="0.2">
      <c r="A94" s="4"/>
    </row>
    <row r="95" spans="1:20" x14ac:dyDescent="0.2">
      <c r="A95" s="4"/>
    </row>
    <row r="96" spans="1:20" x14ac:dyDescent="0.2">
      <c r="A96" s="4"/>
    </row>
    <row r="97" spans="1:18" x14ac:dyDescent="0.2">
      <c r="A97" s="4"/>
    </row>
    <row r="98" spans="1:18" x14ac:dyDescent="0.2">
      <c r="A98" s="4"/>
    </row>
    <row r="99" spans="1:18" x14ac:dyDescent="0.2">
      <c r="A99" s="4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</row>
    <row r="100" spans="1:18" x14ac:dyDescent="0.2">
      <c r="A100" s="4"/>
    </row>
    <row r="101" spans="1:18" x14ac:dyDescent="0.2">
      <c r="A101" s="4"/>
    </row>
    <row r="102" spans="1:18" x14ac:dyDescent="0.2">
      <c r="A102" s="4"/>
    </row>
    <row r="103" spans="1:18" x14ac:dyDescent="0.2">
      <c r="A103" s="4"/>
    </row>
    <row r="104" spans="1:18" x14ac:dyDescent="0.2">
      <c r="A104" s="4"/>
    </row>
    <row r="105" spans="1:18" x14ac:dyDescent="0.2">
      <c r="A105" s="4"/>
    </row>
    <row r="106" spans="1:18" x14ac:dyDescent="0.2">
      <c r="A106" s="4"/>
    </row>
    <row r="107" spans="1:18" x14ac:dyDescent="0.2">
      <c r="A107" s="4"/>
    </row>
    <row r="108" spans="1:18" x14ac:dyDescent="0.2">
      <c r="A108" s="4"/>
    </row>
    <row r="109" spans="1:18" x14ac:dyDescent="0.2">
      <c r="A109" s="4"/>
    </row>
    <row r="110" spans="1:18" x14ac:dyDescent="0.2">
      <c r="A110" s="4"/>
    </row>
    <row r="111" spans="1:18" x14ac:dyDescent="0.2">
      <c r="A111" s="15"/>
    </row>
    <row r="112" spans="1:18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6"/>
    </row>
    <row r="117" spans="1:1" x14ac:dyDescent="0.2">
      <c r="A117" s="16"/>
    </row>
    <row r="118" spans="1:1" x14ac:dyDescent="0.2">
      <c r="A118" s="16"/>
    </row>
    <row r="119" spans="1:1" x14ac:dyDescent="0.2">
      <c r="A119" s="16"/>
    </row>
    <row r="120" spans="1:1" x14ac:dyDescent="0.2">
      <c r="A120" s="16"/>
    </row>
    <row r="121" spans="1:1" x14ac:dyDescent="0.2">
      <c r="A121" s="16"/>
    </row>
    <row r="122" spans="1:1" x14ac:dyDescent="0.2">
      <c r="A122" s="16"/>
    </row>
    <row r="123" spans="1:1" x14ac:dyDescent="0.2">
      <c r="A123" s="16"/>
    </row>
    <row r="124" spans="1:1" x14ac:dyDescent="0.2">
      <c r="A124" s="16"/>
    </row>
    <row r="125" spans="1:1" x14ac:dyDescent="0.2">
      <c r="A125" s="16"/>
    </row>
    <row r="126" spans="1:1" x14ac:dyDescent="0.2">
      <c r="A126" s="16"/>
    </row>
    <row r="127" spans="1:1" x14ac:dyDescent="0.2">
      <c r="A127" s="16"/>
    </row>
    <row r="128" spans="1:1" x14ac:dyDescent="0.2">
      <c r="A128" s="16"/>
    </row>
    <row r="129" spans="1:31" x14ac:dyDescent="0.2">
      <c r="A129" s="16"/>
    </row>
    <row r="130" spans="1:31" x14ac:dyDescent="0.2">
      <c r="A130" s="16"/>
    </row>
    <row r="131" spans="1:31" x14ac:dyDescent="0.2">
      <c r="A131" s="16"/>
    </row>
    <row r="132" spans="1:31" x14ac:dyDescent="0.2">
      <c r="A132" s="16"/>
    </row>
    <row r="133" spans="1:31" x14ac:dyDescent="0.2">
      <c r="A133" s="16"/>
    </row>
    <row r="134" spans="1:31" x14ac:dyDescent="0.2">
      <c r="A134" s="16"/>
    </row>
    <row r="135" spans="1:31" x14ac:dyDescent="0.2">
      <c r="A135" s="16"/>
    </row>
    <row r="136" spans="1:31" x14ac:dyDescent="0.2">
      <c r="A136" s="16"/>
    </row>
    <row r="137" spans="1:31" x14ac:dyDescent="0.2">
      <c r="A137" s="16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16"/>
      <c r="P137" s="16"/>
      <c r="Q137" s="16"/>
      <c r="R137" s="16"/>
      <c r="S137" s="16"/>
      <c r="T137" s="16"/>
      <c r="U137" s="16"/>
      <c r="V137" s="16"/>
      <c r="W137" s="16"/>
      <c r="X137" s="23"/>
      <c r="Y137" s="22"/>
      <c r="Z137" s="16"/>
      <c r="AA137" s="16"/>
      <c r="AB137" s="16"/>
      <c r="AC137" s="16"/>
      <c r="AD137" s="16"/>
      <c r="AE137" s="16"/>
    </row>
    <row r="138" spans="1:3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22"/>
      <c r="P138" s="16"/>
      <c r="Q138" s="55"/>
      <c r="R138" s="21"/>
      <c r="S138" s="37"/>
      <c r="T138" s="16"/>
      <c r="U138" s="16"/>
      <c r="V138" s="16"/>
      <c r="W138" s="16"/>
      <c r="X138" s="23"/>
      <c r="Y138" s="22"/>
      <c r="Z138" s="16"/>
      <c r="AA138" s="16"/>
      <c r="AB138" s="16"/>
      <c r="AC138" s="16"/>
      <c r="AD138" s="16"/>
      <c r="AE138" s="16"/>
    </row>
    <row r="139" spans="1:3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22"/>
      <c r="P139" s="16"/>
      <c r="Q139" s="55"/>
      <c r="R139" s="22"/>
      <c r="S139" s="37"/>
      <c r="T139" s="16"/>
      <c r="U139" s="16"/>
      <c r="V139" s="16"/>
      <c r="W139" s="16"/>
      <c r="X139" s="23"/>
      <c r="Y139" s="22"/>
      <c r="Z139" s="16"/>
      <c r="AA139" s="16"/>
      <c r="AB139" s="16"/>
      <c r="AC139" s="16"/>
      <c r="AD139" s="16"/>
      <c r="AE139" s="16"/>
    </row>
  </sheetData>
  <phoneticPr fontId="6" type="noConversion"/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0" max="17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2">
    <tabColor rgb="FF00FF00"/>
  </sheetPr>
  <dimension ref="A1:AW4253"/>
  <sheetViews>
    <sheetView showGridLines="0" view="pageBreakPreview" zoomScale="115" zoomScaleNormal="100" zoomScaleSheetLayoutView="115" workbookViewId="0">
      <selection activeCell="C5" sqref="C5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4" width="8.5703125" style="2" customWidth="1"/>
    <col min="5" max="5" width="9.85546875" style="2" bestFit="1" customWidth="1"/>
    <col min="6" max="6" width="8.5703125" style="2" customWidth="1"/>
    <col min="7" max="7" width="9.42578125" style="2" bestFit="1" customWidth="1"/>
    <col min="8" max="8" width="10.5703125" style="2" customWidth="1"/>
    <col min="9" max="10" width="8.5703125" style="2" customWidth="1"/>
    <col min="11" max="11" width="10.140625" style="2" bestFit="1" customWidth="1"/>
    <col min="12" max="14" width="8.5703125" style="2" customWidth="1"/>
    <col min="15" max="15" width="9.85546875" style="2" bestFit="1" customWidth="1"/>
    <col min="16" max="16" width="10.5703125" style="2" customWidth="1"/>
    <col min="17" max="17" width="10.5703125" style="2" bestFit="1" customWidth="1"/>
    <col min="18" max="18" width="11.5703125" style="2" customWidth="1"/>
    <col min="19" max="19" width="3" style="2" customWidth="1"/>
    <col min="20" max="20" width="15.5703125" style="17" customWidth="1"/>
    <col min="21" max="21" width="15.140625" style="17" customWidth="1"/>
    <col min="22" max="22" width="16.42578125" style="17" customWidth="1"/>
    <col min="23" max="23" width="13.85546875" style="17" customWidth="1"/>
    <col min="24" max="24" width="16.5703125" style="17" customWidth="1"/>
    <col min="25" max="25" width="11.5703125" style="17" bestFit="1" customWidth="1"/>
    <col min="26" max="26" width="17.5703125" style="17" customWidth="1"/>
    <col min="27" max="49" width="12.5703125" style="17"/>
    <col min="50" max="16384" width="12.570312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70"/>
      <c r="P1" s="70"/>
      <c r="Q1" s="1"/>
      <c r="S1" s="5"/>
      <c r="T1" s="16"/>
      <c r="U1" s="16"/>
      <c r="V1" s="16"/>
      <c r="W1" s="16"/>
      <c r="X1" s="16"/>
      <c r="Y1" s="16"/>
      <c r="Z1" s="16"/>
    </row>
    <row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70"/>
      <c r="P2" s="70"/>
      <c r="Q2" s="1"/>
      <c r="R2" s="72"/>
      <c r="S2" s="5"/>
      <c r="T2" s="16"/>
      <c r="U2" s="16"/>
      <c r="V2" s="16"/>
      <c r="W2" s="16"/>
      <c r="X2" s="16"/>
      <c r="Y2" s="16"/>
      <c r="Z2" s="16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70"/>
      <c r="P3" s="70"/>
      <c r="Q3" s="1"/>
      <c r="R3" s="60" t="s">
        <v>614</v>
      </c>
      <c r="S3" s="1"/>
      <c r="T3" s="16"/>
      <c r="U3" s="38"/>
      <c r="V3" s="16"/>
      <c r="W3" s="16"/>
      <c r="X3" s="16"/>
      <c r="Y3" s="16"/>
      <c r="Z3" s="16"/>
    </row>
    <row r="4" spans="1:26" x14ac:dyDescent="0.2">
      <c r="A4" s="7"/>
      <c r="B4" s="18"/>
      <c r="C4" s="18"/>
      <c r="D4" s="18"/>
      <c r="E4" s="18"/>
      <c r="F4" s="18"/>
      <c r="G4" s="18"/>
      <c r="H4" s="18"/>
      <c r="I4" s="4" t="s">
        <v>93</v>
      </c>
      <c r="J4" s="18"/>
      <c r="K4" s="18"/>
      <c r="L4" s="18"/>
      <c r="M4" s="18"/>
      <c r="N4" s="18"/>
      <c r="O4" s="71"/>
      <c r="P4" s="71"/>
      <c r="Q4" s="19"/>
      <c r="R4" s="72"/>
      <c r="S4" s="1"/>
      <c r="T4" s="16"/>
      <c r="U4" s="16"/>
      <c r="V4" s="16"/>
      <c r="W4" s="16"/>
      <c r="X4" s="16"/>
      <c r="Y4" s="16"/>
    </row>
    <row r="5" spans="1:26" x14ac:dyDescent="0.2">
      <c r="A5" s="7"/>
      <c r="B5" s="18"/>
      <c r="C5" s="18"/>
      <c r="D5" s="18"/>
      <c r="E5" s="18"/>
      <c r="F5" s="18"/>
      <c r="G5" s="18"/>
      <c r="H5" s="18"/>
      <c r="I5" s="4" t="s">
        <v>609</v>
      </c>
      <c r="J5" s="18"/>
      <c r="K5" s="18"/>
      <c r="L5" s="18"/>
      <c r="M5" s="18"/>
      <c r="N5" s="18"/>
      <c r="O5" s="18"/>
      <c r="P5" s="18"/>
      <c r="Q5" s="19"/>
      <c r="R5" s="18"/>
      <c r="S5" s="1"/>
      <c r="T5" s="16"/>
      <c r="U5" s="16"/>
      <c r="V5" s="16"/>
      <c r="W5" s="16"/>
      <c r="X5" s="21"/>
      <c r="Y5" s="16"/>
      <c r="Z5" s="16"/>
    </row>
    <row r="6" spans="1:26" x14ac:dyDescent="0.2">
      <c r="A6" s="7"/>
      <c r="B6" s="18"/>
      <c r="C6" s="18"/>
      <c r="D6" s="18"/>
      <c r="E6" s="18"/>
      <c r="F6" s="18"/>
      <c r="G6" s="18"/>
      <c r="H6" s="18"/>
      <c r="I6" s="4" t="str">
        <f>'Test Year Revenue Present'!F9</f>
        <v>Reference Period - Twelve Months Ending 08/31/2015</v>
      </c>
      <c r="J6" s="18"/>
      <c r="K6" s="18"/>
      <c r="L6" s="18"/>
      <c r="M6" s="18"/>
      <c r="N6" s="18"/>
      <c r="O6" s="18"/>
      <c r="P6" s="18"/>
      <c r="Q6" s="73"/>
      <c r="R6" s="18"/>
      <c r="S6" s="1"/>
      <c r="T6" s="204"/>
      <c r="U6" s="16"/>
      <c r="V6" s="16"/>
      <c r="W6" s="16"/>
      <c r="X6" s="22"/>
      <c r="Y6" s="16"/>
      <c r="Z6" s="22"/>
    </row>
    <row r="7" spans="1:2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204"/>
      <c r="U7" s="16"/>
      <c r="V7" s="16"/>
      <c r="W7" s="16"/>
      <c r="X7" s="16"/>
      <c r="Y7" s="16"/>
      <c r="Z7" s="16"/>
    </row>
    <row r="8" spans="1:26" x14ac:dyDescent="0.2">
      <c r="A8" s="7" t="s">
        <v>12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4" t="s">
        <v>18</v>
      </c>
      <c r="P8" s="1"/>
      <c r="Q8" s="1"/>
      <c r="R8" s="4" t="s">
        <v>19</v>
      </c>
      <c r="S8" s="15"/>
      <c r="T8" s="204"/>
      <c r="V8" s="15"/>
      <c r="W8" s="15"/>
      <c r="X8" s="15"/>
      <c r="Y8" s="15"/>
      <c r="Z8" s="15"/>
    </row>
    <row r="9" spans="1:26" x14ac:dyDescent="0.2">
      <c r="A9" s="8" t="s">
        <v>17</v>
      </c>
      <c r="B9" s="9" t="s">
        <v>27</v>
      </c>
      <c r="C9" s="65">
        <f>WNA!C10</f>
        <v>41912</v>
      </c>
      <c r="D9" s="65">
        <f>WNA!D10</f>
        <v>41943</v>
      </c>
      <c r="E9" s="65">
        <f>WNA!E10</f>
        <v>41973</v>
      </c>
      <c r="F9" s="65">
        <f>WNA!F10</f>
        <v>42004</v>
      </c>
      <c r="G9" s="65">
        <f>WNA!G10</f>
        <v>42035</v>
      </c>
      <c r="H9" s="65">
        <f>WNA!H10</f>
        <v>42063</v>
      </c>
      <c r="I9" s="65">
        <f>WNA!I10</f>
        <v>42094</v>
      </c>
      <c r="J9" s="65">
        <f>WNA!J10</f>
        <v>42124</v>
      </c>
      <c r="K9" s="65">
        <f>WNA!K10</f>
        <v>42155</v>
      </c>
      <c r="L9" s="65">
        <f>WNA!L10</f>
        <v>42185</v>
      </c>
      <c r="M9" s="65">
        <f>WNA!M10</f>
        <v>42216</v>
      </c>
      <c r="N9" s="65">
        <f>WNA!N10</f>
        <v>42247</v>
      </c>
      <c r="O9" s="10" t="s">
        <v>20</v>
      </c>
      <c r="P9" s="10" t="s">
        <v>21</v>
      </c>
      <c r="Q9" s="10" t="s">
        <v>6</v>
      </c>
      <c r="R9" s="10" t="s">
        <v>22</v>
      </c>
      <c r="S9" s="16"/>
      <c r="T9" s="204"/>
      <c r="V9" s="16"/>
      <c r="W9" s="58"/>
      <c r="Y9" s="16"/>
      <c r="Z9" s="16"/>
    </row>
    <row r="10" spans="1:26" x14ac:dyDescent="0.2">
      <c r="A10" s="1"/>
      <c r="B10" s="1"/>
      <c r="C10" s="81" t="s">
        <v>13</v>
      </c>
      <c r="D10" s="81" t="s">
        <v>14</v>
      </c>
      <c r="E10" s="4" t="s">
        <v>15</v>
      </c>
      <c r="F10" s="94" t="s">
        <v>16</v>
      </c>
      <c r="G10" s="95" t="s">
        <v>108</v>
      </c>
      <c r="H10" s="95" t="s">
        <v>109</v>
      </c>
      <c r="I10" s="95" t="s">
        <v>110</v>
      </c>
      <c r="J10" s="95" t="s">
        <v>111</v>
      </c>
      <c r="K10" s="95" t="s">
        <v>112</v>
      </c>
      <c r="L10" s="95" t="s">
        <v>113</v>
      </c>
      <c r="M10" s="95" t="s">
        <v>114</v>
      </c>
      <c r="N10" s="95" t="s">
        <v>115</v>
      </c>
      <c r="O10" s="95" t="s">
        <v>116</v>
      </c>
      <c r="P10" s="95" t="s">
        <v>245</v>
      </c>
      <c r="Q10" s="95" t="s">
        <v>246</v>
      </c>
      <c r="R10" s="81" t="s">
        <v>247</v>
      </c>
      <c r="S10" s="15"/>
      <c r="T10" s="204"/>
      <c r="V10" s="16"/>
      <c r="W10" s="15"/>
      <c r="X10" s="16"/>
      <c r="Y10" s="16"/>
      <c r="Z10" s="15"/>
    </row>
    <row r="11" spans="1:26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5"/>
      <c r="T11" s="204"/>
      <c r="V11" s="15"/>
      <c r="W11" s="15"/>
      <c r="X11" s="15"/>
      <c r="Y11" s="15"/>
      <c r="Z11" s="15"/>
    </row>
    <row r="12" spans="1:26" x14ac:dyDescent="0.2">
      <c r="A12" s="4">
        <v>1</v>
      </c>
      <c r="B12" s="35" t="s">
        <v>30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6"/>
      <c r="P12" s="106"/>
      <c r="Q12" s="15"/>
      <c r="R12" s="15"/>
      <c r="X12" s="15"/>
      <c r="Y12" s="15"/>
      <c r="Z12" s="15"/>
    </row>
    <row r="13" spans="1:26" x14ac:dyDescent="0.2">
      <c r="A13" s="4">
        <v>2</v>
      </c>
      <c r="B13" s="1" t="s">
        <v>23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6">
        <f>SUM(C13:N13)</f>
        <v>0</v>
      </c>
      <c r="P13" s="6"/>
      <c r="Q13" s="11">
        <f>'Bill Frequency'!Q13</f>
        <v>18.649999999999999</v>
      </c>
      <c r="R13" s="3">
        <f>O13*Q13</f>
        <v>0</v>
      </c>
      <c r="V13" s="49"/>
      <c r="W13" s="3"/>
    </row>
    <row r="14" spans="1:26" x14ac:dyDescent="0.2">
      <c r="A14" s="4">
        <v>3</v>
      </c>
      <c r="B14" s="1" t="s">
        <v>24</v>
      </c>
      <c r="C14" s="70">
        <f>WNA!C38</f>
        <v>-2812</v>
      </c>
      <c r="D14" s="70">
        <f>WNA!D38</f>
        <v>98516</v>
      </c>
      <c r="E14" s="70">
        <f>WNA!E38</f>
        <v>57252</v>
      </c>
      <c r="F14" s="70">
        <f>WNA!F38</f>
        <v>-19582</v>
      </c>
      <c r="G14" s="70">
        <f>WNA!G38</f>
        <v>-318476</v>
      </c>
      <c r="H14" s="70">
        <f>WNA!H38</f>
        <v>33832</v>
      </c>
      <c r="I14" s="70">
        <f>WNA!I38</f>
        <v>-788181</v>
      </c>
      <c r="J14" s="70">
        <f>WNA!J38</f>
        <v>61440</v>
      </c>
      <c r="K14" s="70">
        <f>WNA!K38</f>
        <v>85860</v>
      </c>
      <c r="L14" s="70">
        <f>WNA!L38</f>
        <v>19904</v>
      </c>
      <c r="M14" s="70">
        <f>WNA!M38</f>
        <v>9735</v>
      </c>
      <c r="N14" s="70">
        <f>WNA!N38</f>
        <v>-9735</v>
      </c>
      <c r="O14" s="6"/>
      <c r="P14" s="6">
        <f>SUM(C14:N14)</f>
        <v>-772247</v>
      </c>
      <c r="Q14" s="14">
        <f>'Bill Frequency'!Q14</f>
        <v>1.3180000000000001</v>
      </c>
      <c r="R14" s="6">
        <f>P14*Q14</f>
        <v>-1017821.5460000001</v>
      </c>
      <c r="T14" s="49"/>
      <c r="U14" s="46"/>
      <c r="V14" s="49"/>
      <c r="W14" s="3"/>
    </row>
    <row r="15" spans="1:26" x14ac:dyDescent="0.2">
      <c r="A15" s="4">
        <v>4</v>
      </c>
      <c r="B15" s="1" t="s">
        <v>25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6">
        <f>SUM(C15:N15)</f>
        <v>0</v>
      </c>
      <c r="Q15" s="14">
        <f>'Bill Frequency'!Q15</f>
        <v>0.87999999999999989</v>
      </c>
      <c r="R15" s="6">
        <f>P15*Q15</f>
        <v>0</v>
      </c>
      <c r="T15" s="49"/>
      <c r="W15" s="3"/>
    </row>
    <row r="16" spans="1:26" x14ac:dyDescent="0.2">
      <c r="A16" s="4">
        <v>5</v>
      </c>
      <c r="B16" s="1" t="s">
        <v>81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6">
        <v>0</v>
      </c>
      <c r="Q16" s="14">
        <f>'Bill Frequency'!Q16</f>
        <v>0.62</v>
      </c>
      <c r="R16" s="6">
        <f>P16*Q16</f>
        <v>0</v>
      </c>
      <c r="T16" s="49"/>
    </row>
    <row r="17" spans="1:23" x14ac:dyDescent="0.2">
      <c r="A17" s="4">
        <v>6</v>
      </c>
      <c r="B17" s="32" t="s">
        <v>79</v>
      </c>
      <c r="C17" s="31">
        <f t="shared" ref="C17:N17" si="0">C14+C15+C16</f>
        <v>-2812</v>
      </c>
      <c r="D17" s="31">
        <f t="shared" si="0"/>
        <v>98516</v>
      </c>
      <c r="E17" s="31">
        <f t="shared" si="0"/>
        <v>57252</v>
      </c>
      <c r="F17" s="31">
        <f t="shared" si="0"/>
        <v>-19582</v>
      </c>
      <c r="G17" s="31">
        <f t="shared" si="0"/>
        <v>-318476</v>
      </c>
      <c r="H17" s="31">
        <f t="shared" si="0"/>
        <v>33832</v>
      </c>
      <c r="I17" s="31">
        <f t="shared" si="0"/>
        <v>-788181</v>
      </c>
      <c r="J17" s="31">
        <f t="shared" si="0"/>
        <v>61440</v>
      </c>
      <c r="K17" s="31">
        <f t="shared" si="0"/>
        <v>85860</v>
      </c>
      <c r="L17" s="31">
        <f t="shared" si="0"/>
        <v>19904</v>
      </c>
      <c r="M17" s="31">
        <f t="shared" si="0"/>
        <v>9735</v>
      </c>
      <c r="N17" s="31">
        <f t="shared" si="0"/>
        <v>-9735</v>
      </c>
      <c r="O17" s="31">
        <f>O13</f>
        <v>0</v>
      </c>
      <c r="P17" s="31">
        <f>SUM(P14:P16)</f>
        <v>-772247</v>
      </c>
      <c r="Q17" s="32"/>
      <c r="R17" s="33">
        <f>SUM(R13:R16)</f>
        <v>-1017821.5460000001</v>
      </c>
      <c r="S17" s="1"/>
      <c r="T17" s="37"/>
      <c r="W17" s="59"/>
    </row>
    <row r="18" spans="1:23" x14ac:dyDescent="0.2">
      <c r="A18" s="4">
        <v>7</v>
      </c>
      <c r="B18" s="1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16"/>
      <c r="R18" s="38"/>
      <c r="S18" s="1"/>
      <c r="T18" s="16"/>
      <c r="U18" s="64"/>
    </row>
    <row r="19" spans="1:23" x14ac:dyDescent="0.2">
      <c r="A19" s="4">
        <v>8</v>
      </c>
      <c r="B19" s="35" t="s">
        <v>31</v>
      </c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70"/>
      <c r="P19" s="70"/>
      <c r="Q19" s="1"/>
      <c r="R19" s="1"/>
      <c r="S19" s="1"/>
      <c r="T19" s="16"/>
    </row>
    <row r="20" spans="1:23" x14ac:dyDescent="0.2">
      <c r="A20" s="47">
        <v>9</v>
      </c>
      <c r="B20" s="1" t="s">
        <v>23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6">
        <f>SUM(C20:N20)</f>
        <v>0</v>
      </c>
      <c r="P20" s="106"/>
      <c r="Q20" s="99">
        <f>'Bill Frequency'!Q20</f>
        <v>48.44</v>
      </c>
      <c r="R20" s="3">
        <f>O20*Q20</f>
        <v>0</v>
      </c>
      <c r="S20" s="1"/>
      <c r="T20" s="16"/>
    </row>
    <row r="21" spans="1:23" x14ac:dyDescent="0.2">
      <c r="A21" s="47">
        <v>10</v>
      </c>
      <c r="B21" s="1" t="s">
        <v>24</v>
      </c>
      <c r="C21" s="70">
        <f>WNA!C65</f>
        <v>-24544.433232023242</v>
      </c>
      <c r="D21" s="70">
        <f>WNA!D65</f>
        <v>-15645.172164606056</v>
      </c>
      <c r="E21" s="70">
        <f>WNA!E65</f>
        <v>50883.95686372702</v>
      </c>
      <c r="F21" s="70">
        <f>WNA!F65</f>
        <v>17319.147068771119</v>
      </c>
      <c r="G21" s="70">
        <f>WNA!G65</f>
        <v>-117431.72432594241</v>
      </c>
      <c r="H21" s="70">
        <f>WNA!H65</f>
        <v>-9244.6199099714886</v>
      </c>
      <c r="I21" s="70">
        <f>WNA!I65</f>
        <v>-248594.86975601435</v>
      </c>
      <c r="J21" s="70">
        <f>WNA!J65</f>
        <v>39066.035758336155</v>
      </c>
      <c r="K21" s="70">
        <f>WNA!K65</f>
        <v>45045.506130925372</v>
      </c>
      <c r="L21" s="70">
        <f>WNA!L65</f>
        <v>19702.039043047705</v>
      </c>
      <c r="M21" s="70">
        <f>WNA!M65</f>
        <v>10460.982903016473</v>
      </c>
      <c r="N21" s="70">
        <f>WNA!N65</f>
        <v>-9931.0830138883175</v>
      </c>
      <c r="O21" s="6"/>
      <c r="P21" s="6">
        <f>SUM(C21:N21)</f>
        <v>-242914.23463462206</v>
      </c>
      <c r="Q21" s="14">
        <f>'Bill Frequency'!Q21</f>
        <v>1.3180000000000001</v>
      </c>
      <c r="R21" s="6">
        <f>P21*Q21</f>
        <v>-320160.96124843188</v>
      </c>
      <c r="S21" s="1"/>
      <c r="T21" s="44"/>
    </row>
    <row r="22" spans="1:23" x14ac:dyDescent="0.2">
      <c r="A22" s="4">
        <v>11</v>
      </c>
      <c r="B22" s="1" t="s">
        <v>25</v>
      </c>
      <c r="C22" s="70">
        <f>WNA!C66</f>
        <v>-6409.566767976753</v>
      </c>
      <c r="D22" s="70">
        <f>WNA!D66</f>
        <v>-6840.827835393944</v>
      </c>
      <c r="E22" s="70">
        <f>WNA!E66</f>
        <v>5743.0431362729832</v>
      </c>
      <c r="F22" s="70">
        <f>WNA!F66</f>
        <v>2158.8529312288779</v>
      </c>
      <c r="G22" s="70">
        <f>WNA!G66</f>
        <v>-17538.275674057582</v>
      </c>
      <c r="H22" s="70">
        <f>WNA!H66</f>
        <v>-1313.380090028513</v>
      </c>
      <c r="I22" s="70">
        <f>WNA!I66</f>
        <v>-36768.130243985681</v>
      </c>
      <c r="J22" s="70">
        <f>WNA!J66</f>
        <v>4967.9642416638426</v>
      </c>
      <c r="K22" s="70">
        <f>WNA!K66</f>
        <v>6442.4938690746285</v>
      </c>
      <c r="L22" s="70">
        <f>WNA!L66</f>
        <v>1801.9609569522954</v>
      </c>
      <c r="M22" s="70">
        <f>WNA!M66</f>
        <v>932.0170969835267</v>
      </c>
      <c r="N22" s="70">
        <f>WNA!N66</f>
        <v>-1461.9169861116832</v>
      </c>
      <c r="O22" s="6"/>
      <c r="P22" s="6">
        <f>SUM(C22:N22)</f>
        <v>-48285.765365378</v>
      </c>
      <c r="Q22" s="14">
        <f>'Bill Frequency'!Q22</f>
        <v>0.87999999999999989</v>
      </c>
      <c r="R22" s="6">
        <f>P22*Q22</f>
        <v>-42491.473521532636</v>
      </c>
      <c r="S22" s="1"/>
      <c r="T22" s="44"/>
      <c r="V22" s="46"/>
    </row>
    <row r="23" spans="1:23" x14ac:dyDescent="0.2">
      <c r="A23" s="4">
        <v>12</v>
      </c>
      <c r="B23" s="1" t="s">
        <v>81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6"/>
      <c r="P23" s="6">
        <f>SUM(C23:N23)</f>
        <v>0</v>
      </c>
      <c r="Q23" s="14">
        <f>'Bill Frequency'!Q23</f>
        <v>0.62</v>
      </c>
      <c r="R23" s="6">
        <f>P23*Q23</f>
        <v>0</v>
      </c>
      <c r="S23" s="1"/>
      <c r="T23" s="44"/>
      <c r="V23" s="46"/>
    </row>
    <row r="24" spans="1:23" x14ac:dyDescent="0.2">
      <c r="A24" s="4">
        <v>13</v>
      </c>
      <c r="B24" s="32" t="s">
        <v>79</v>
      </c>
      <c r="C24" s="31">
        <f>SUM(C21:C23)</f>
        <v>-30953.999999999996</v>
      </c>
      <c r="D24" s="31">
        <f t="shared" ref="D24:N24" si="1">SUM(D21:D23)</f>
        <v>-22486</v>
      </c>
      <c r="E24" s="31">
        <f t="shared" si="1"/>
        <v>56627</v>
      </c>
      <c r="F24" s="31">
        <f t="shared" si="1"/>
        <v>19477.999999999996</v>
      </c>
      <c r="G24" s="31">
        <f t="shared" si="1"/>
        <v>-134970</v>
      </c>
      <c r="H24" s="31">
        <f t="shared" si="1"/>
        <v>-10558.000000000002</v>
      </c>
      <c r="I24" s="31">
        <f t="shared" si="1"/>
        <v>-285363</v>
      </c>
      <c r="J24" s="31">
        <f t="shared" si="1"/>
        <v>44034</v>
      </c>
      <c r="K24" s="31">
        <f t="shared" si="1"/>
        <v>51488</v>
      </c>
      <c r="L24" s="31">
        <f t="shared" si="1"/>
        <v>21504</v>
      </c>
      <c r="M24" s="31">
        <f t="shared" si="1"/>
        <v>11393</v>
      </c>
      <c r="N24" s="31">
        <f t="shared" si="1"/>
        <v>-11393</v>
      </c>
      <c r="O24" s="31">
        <f>O20</f>
        <v>0</v>
      </c>
      <c r="P24" s="31">
        <f>SUM(P21:P23)</f>
        <v>-291200.00000000006</v>
      </c>
      <c r="Q24" s="32"/>
      <c r="R24" s="33">
        <f>SUM(R20:R23)</f>
        <v>-362652.43476996454</v>
      </c>
      <c r="S24" s="1"/>
      <c r="T24" s="37"/>
    </row>
    <row r="25" spans="1:23" x14ac:dyDescent="0.2">
      <c r="A25" s="4">
        <v>14</v>
      </c>
    </row>
    <row r="26" spans="1:23" x14ac:dyDescent="0.2">
      <c r="A26" s="4">
        <v>15</v>
      </c>
      <c r="B26" s="35" t="s">
        <v>82</v>
      </c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70"/>
      <c r="P26" s="70"/>
      <c r="Q26" s="14"/>
      <c r="R26" s="60"/>
      <c r="S26" s="1"/>
      <c r="T26" s="16"/>
      <c r="U26" s="64"/>
    </row>
    <row r="27" spans="1:23" x14ac:dyDescent="0.2">
      <c r="A27" s="4">
        <v>16</v>
      </c>
      <c r="B27" s="1" t="s">
        <v>23</v>
      </c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6">
        <f>SUM(C27:N27)</f>
        <v>0</v>
      </c>
      <c r="P27" s="106"/>
      <c r="Q27" s="99">
        <f>Q50</f>
        <v>0</v>
      </c>
      <c r="R27" s="3">
        <f>O27*Q27</f>
        <v>0</v>
      </c>
      <c r="S27" s="1"/>
      <c r="T27" s="16"/>
    </row>
    <row r="28" spans="1:23" x14ac:dyDescent="0.2">
      <c r="A28" s="4">
        <v>17</v>
      </c>
      <c r="B28" s="1" t="s">
        <v>24</v>
      </c>
      <c r="C28" s="70">
        <f>WNA!C92</f>
        <v>-5002.8831604220622</v>
      </c>
      <c r="D28" s="70">
        <f>WNA!D92</f>
        <v>400.33323539208391</v>
      </c>
      <c r="E28" s="70">
        <f>WNA!E92</f>
        <v>9663.1575353365643</v>
      </c>
      <c r="F28" s="70">
        <f>WNA!F92</f>
        <v>3680.4336610741811</v>
      </c>
      <c r="G28" s="70">
        <f>WNA!G92</f>
        <v>-17985.400528694838</v>
      </c>
      <c r="H28" s="70">
        <f>WNA!H92</f>
        <v>58.223693769966935</v>
      </c>
      <c r="I28" s="70">
        <f>WNA!I92</f>
        <v>-46153.592767289832</v>
      </c>
      <c r="J28" s="70">
        <f>WNA!J92</f>
        <v>4876.7441754716965</v>
      </c>
      <c r="K28" s="70">
        <f>WNA!K92</f>
        <v>-104.22317208320885</v>
      </c>
      <c r="L28" s="70">
        <f>WNA!L92</f>
        <v>1177.7463451495271</v>
      </c>
      <c r="M28" s="70">
        <f>WNA!M92</f>
        <v>1724.2942356478839</v>
      </c>
      <c r="N28" s="70">
        <f>WNA!N92</f>
        <v>-1620.2643105286422</v>
      </c>
      <c r="O28" s="6"/>
      <c r="P28" s="6">
        <f>SUM(C28:N28)</f>
        <v>-49285.431057176676</v>
      </c>
      <c r="Q28" s="14">
        <f>Q51</f>
        <v>0</v>
      </c>
      <c r="R28" s="6">
        <f>P28*Q28</f>
        <v>0</v>
      </c>
      <c r="S28" s="1"/>
      <c r="T28" s="16"/>
    </row>
    <row r="29" spans="1:23" x14ac:dyDescent="0.2">
      <c r="A29" s="4">
        <v>18</v>
      </c>
      <c r="B29" s="1" t="s">
        <v>25</v>
      </c>
      <c r="C29" s="70">
        <f>WNA!C93</f>
        <v>-1098.1168395779382</v>
      </c>
      <c r="D29" s="70">
        <f>WNA!D93</f>
        <v>106.66676460791604</v>
      </c>
      <c r="E29" s="70">
        <f>WNA!E93</f>
        <v>1677.8424646634355</v>
      </c>
      <c r="F29" s="70">
        <f>WNA!F93</f>
        <v>908.5663389258184</v>
      </c>
      <c r="G29" s="70">
        <f>WNA!G93</f>
        <v>-6524.5994713051632</v>
      </c>
      <c r="H29" s="70">
        <f>WNA!H93</f>
        <v>20.776306230033057</v>
      </c>
      <c r="I29" s="70">
        <f>WNA!I93</f>
        <v>-16535.407232710175</v>
      </c>
      <c r="J29" s="70">
        <f>WNA!J93</f>
        <v>889.25582452830304</v>
      </c>
      <c r="K29" s="70">
        <f>WNA!K93</f>
        <v>-27.776827916791138</v>
      </c>
      <c r="L29" s="70">
        <f>WNA!L93</f>
        <v>239.25365485047269</v>
      </c>
      <c r="M29" s="70">
        <f>WNA!M93</f>
        <v>346.70576435211615</v>
      </c>
      <c r="N29" s="70">
        <f>WNA!N93</f>
        <v>-450.73568947135766</v>
      </c>
      <c r="O29" s="6"/>
      <c r="P29" s="6">
        <f>SUM(C29:N29)</f>
        <v>-20447.568942823335</v>
      </c>
      <c r="Q29" s="14">
        <f>Q52</f>
        <v>0</v>
      </c>
      <c r="R29" s="6">
        <f>P29*Q29</f>
        <v>0</v>
      </c>
      <c r="T29" s="16"/>
    </row>
    <row r="30" spans="1:23" x14ac:dyDescent="0.2">
      <c r="A30" s="4">
        <v>19</v>
      </c>
      <c r="B30" s="1" t="s">
        <v>81</v>
      </c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6"/>
      <c r="P30" s="6">
        <f>SUM(C30:N30)</f>
        <v>0</v>
      </c>
      <c r="Q30" s="14">
        <f>Q53</f>
        <v>0</v>
      </c>
      <c r="R30" s="6">
        <f>P30*Q30</f>
        <v>0</v>
      </c>
      <c r="T30" s="26"/>
    </row>
    <row r="31" spans="1:23" x14ac:dyDescent="0.2">
      <c r="A31" s="4">
        <v>20</v>
      </c>
      <c r="B31" s="32" t="s">
        <v>79</v>
      </c>
      <c r="C31" s="31">
        <f>SUM(C28:C30)</f>
        <v>-6101</v>
      </c>
      <c r="D31" s="31">
        <f t="shared" ref="D31:N31" si="2">SUM(D28:D30)</f>
        <v>506.99999999999994</v>
      </c>
      <c r="E31" s="31">
        <f t="shared" si="2"/>
        <v>11341</v>
      </c>
      <c r="F31" s="31">
        <f t="shared" si="2"/>
        <v>4589</v>
      </c>
      <c r="G31" s="31">
        <f t="shared" si="2"/>
        <v>-24510</v>
      </c>
      <c r="H31" s="31">
        <f t="shared" si="2"/>
        <v>79</v>
      </c>
      <c r="I31" s="31">
        <f t="shared" si="2"/>
        <v>-62689.000000000007</v>
      </c>
      <c r="J31" s="31">
        <f t="shared" si="2"/>
        <v>5766</v>
      </c>
      <c r="K31" s="31">
        <f t="shared" si="2"/>
        <v>-132</v>
      </c>
      <c r="L31" s="31">
        <f t="shared" si="2"/>
        <v>1416.9999999999998</v>
      </c>
      <c r="M31" s="31">
        <f t="shared" si="2"/>
        <v>2071</v>
      </c>
      <c r="N31" s="31">
        <f t="shared" si="2"/>
        <v>-2071</v>
      </c>
      <c r="O31" s="31">
        <f>O27</f>
        <v>0</v>
      </c>
      <c r="P31" s="31">
        <f>SUM(P28:P30)</f>
        <v>-69733.000000000015</v>
      </c>
      <c r="Q31" s="32"/>
      <c r="R31" s="33">
        <f>SUM(R27:R30)</f>
        <v>0</v>
      </c>
      <c r="S31" s="1"/>
      <c r="T31" s="26"/>
      <c r="V31" s="46"/>
    </row>
    <row r="32" spans="1:23" x14ac:dyDescent="0.2">
      <c r="A32" s="4"/>
      <c r="S32" s="1"/>
      <c r="T32" s="26"/>
      <c r="V32" s="46"/>
    </row>
    <row r="33" spans="1:22" x14ac:dyDescent="0.2">
      <c r="A33" s="4"/>
      <c r="I33" s="16"/>
      <c r="S33" s="1"/>
      <c r="T33" s="26"/>
      <c r="V33" s="46"/>
    </row>
    <row r="34" spans="1:22" x14ac:dyDescent="0.2">
      <c r="A34" s="204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1"/>
      <c r="T34" s="26"/>
      <c r="U34" s="16"/>
      <c r="V34" s="46"/>
    </row>
    <row r="35" spans="1:22" x14ac:dyDescent="0.2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1"/>
      <c r="T35" s="26"/>
      <c r="U35" s="16"/>
      <c r="V35" s="46"/>
    </row>
    <row r="36" spans="1:22" x14ac:dyDescent="0.2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16"/>
      <c r="T36" s="37"/>
      <c r="U36" s="16"/>
      <c r="V36" s="46"/>
    </row>
    <row r="37" spans="1:22" x14ac:dyDescent="0.2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T37" s="26"/>
    </row>
    <row r="38" spans="1:22" x14ac:dyDescent="0.2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T38" s="26"/>
    </row>
    <row r="39" spans="1:22" x14ac:dyDescent="0.2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</row>
    <row r="40" spans="1:22" x14ac:dyDescent="0.2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</row>
    <row r="41" spans="1:22" x14ac:dyDescent="0.2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</row>
    <row r="42" spans="1:22" x14ac:dyDescent="0.2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</row>
    <row r="43" spans="1:22" x14ac:dyDescent="0.2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</row>
    <row r="44" spans="1:22" x14ac:dyDescent="0.2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</row>
    <row r="45" spans="1:22" x14ac:dyDescent="0.2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</row>
    <row r="46" spans="1:22" x14ac:dyDescent="0.2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</row>
    <row r="47" spans="1:22" x14ac:dyDescent="0.2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</row>
    <row r="48" spans="1:22" x14ac:dyDescent="0.2">
      <c r="A48" s="204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</row>
    <row r="49" spans="1:26" x14ac:dyDescent="0.2">
      <c r="A49" s="204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</row>
    <row r="50" spans="1:26" x14ac:dyDescent="0.2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</row>
    <row r="51" spans="1:26" x14ac:dyDescent="0.2">
      <c r="A51" s="204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</row>
    <row r="52" spans="1:26" x14ac:dyDescent="0.2">
      <c r="A52" s="204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1"/>
      <c r="T52" s="16"/>
    </row>
    <row r="53" spans="1:26" x14ac:dyDescent="0.2">
      <c r="A53" s="204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</row>
    <row r="54" spans="1:26" x14ac:dyDescent="0.2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</row>
    <row r="55" spans="1:26" x14ac:dyDescent="0.2">
      <c r="A55" s="204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</row>
    <row r="56" spans="1:26" x14ac:dyDescent="0.2">
      <c r="A56" s="204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</row>
    <row r="57" spans="1:26" x14ac:dyDescent="0.2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</row>
    <row r="58" spans="1:26" x14ac:dyDescent="0.2">
      <c r="A58" s="204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Y58" s="23"/>
      <c r="Z58" s="22"/>
    </row>
    <row r="59" spans="1:26" x14ac:dyDescent="0.2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Y59" s="23"/>
      <c r="Z59" s="22"/>
    </row>
    <row r="60" spans="1:26" x14ac:dyDescent="0.2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Y60" s="23"/>
      <c r="Z60" s="22"/>
    </row>
    <row r="61" spans="1:26" x14ac:dyDescent="0.2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Y61" s="23"/>
      <c r="Z61" s="22"/>
    </row>
    <row r="62" spans="1:26" x14ac:dyDescent="0.2">
      <c r="A62" s="204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Y62" s="23"/>
      <c r="Z62" s="22"/>
    </row>
    <row r="63" spans="1:26" x14ac:dyDescent="0.2">
      <c r="A63" s="204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Y63" s="23"/>
      <c r="Z63" s="22"/>
    </row>
    <row r="64" spans="1:26" x14ac:dyDescent="0.2">
      <c r="A64" s="204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Y64" s="23"/>
      <c r="Z64" s="22"/>
    </row>
    <row r="65" spans="1:26" x14ac:dyDescent="0.2">
      <c r="A65" s="204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Y65" s="23"/>
      <c r="Z65" s="22"/>
    </row>
    <row r="66" spans="1:26" x14ac:dyDescent="0.2">
      <c r="A66" s="204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Y66" s="23"/>
      <c r="Z66" s="22"/>
    </row>
    <row r="67" spans="1:26" x14ac:dyDescent="0.2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Y67" s="23"/>
      <c r="Z67" s="22"/>
    </row>
    <row r="68" spans="1:26" x14ac:dyDescent="0.2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Y68" s="23"/>
      <c r="Z68" s="22"/>
    </row>
    <row r="69" spans="1:26" x14ac:dyDescent="0.2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Y69" s="23"/>
      <c r="Z69" s="22"/>
    </row>
    <row r="70" spans="1:26" x14ac:dyDescent="0.2">
      <c r="A70" s="204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</row>
    <row r="71" spans="1:26" x14ac:dyDescent="0.2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</row>
    <row r="72" spans="1:26" x14ac:dyDescent="0.2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</row>
    <row r="73" spans="1:26" x14ac:dyDescent="0.2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</row>
    <row r="74" spans="1:26" x14ac:dyDescent="0.2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</row>
    <row r="75" spans="1:26" x14ac:dyDescent="0.2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</row>
    <row r="76" spans="1:26" x14ac:dyDescent="0.2">
      <c r="A76" s="204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</row>
    <row r="77" spans="1:26" x14ac:dyDescent="0.2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</row>
    <row r="78" spans="1:26" x14ac:dyDescent="0.2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</row>
    <row r="79" spans="1:26" x14ac:dyDescent="0.2">
      <c r="A79" s="204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T79" s="59"/>
      <c r="U79" s="59"/>
    </row>
    <row r="80" spans="1:26" x14ac:dyDescent="0.2">
      <c r="A80" s="204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</row>
    <row r="81" spans="1:18" x14ac:dyDescent="0.2">
      <c r="A81" s="204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</row>
    <row r="82" spans="1:18" x14ac:dyDescent="0.2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</row>
    <row r="83" spans="1:18" x14ac:dyDescent="0.2">
      <c r="A83" s="204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</row>
    <row r="84" spans="1:18" x14ac:dyDescent="0.2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</row>
    <row r="85" spans="1:18" x14ac:dyDescent="0.2">
      <c r="A85" s="204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</row>
    <row r="86" spans="1:18" x14ac:dyDescent="0.2">
      <c r="A86" s="204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</row>
    <row r="87" spans="1:18" x14ac:dyDescent="0.2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</row>
    <row r="88" spans="1:18" x14ac:dyDescent="0.2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</row>
    <row r="89" spans="1:18" x14ac:dyDescent="0.2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</row>
    <row r="90" spans="1:18" x14ac:dyDescent="0.2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</row>
    <row r="91" spans="1:18" x14ac:dyDescent="0.2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</row>
    <row r="92" spans="1:18" x14ac:dyDescent="0.2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</row>
    <row r="93" spans="1:18" x14ac:dyDescent="0.2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</row>
    <row r="94" spans="1:18" x14ac:dyDescent="0.2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</row>
    <row r="95" spans="1:18" x14ac:dyDescent="0.2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</row>
    <row r="96" spans="1:18" x14ac:dyDescent="0.2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</row>
    <row r="97" spans="1:18" x14ac:dyDescent="0.2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</row>
    <row r="98" spans="1:18" x14ac:dyDescent="0.2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</row>
    <row r="99" spans="1:18" x14ac:dyDescent="0.2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</row>
    <row r="100" spans="1:18" x14ac:dyDescent="0.2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</row>
    <row r="101" spans="1:18" x14ac:dyDescent="0.2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</row>
    <row r="102" spans="1:18" x14ac:dyDescent="0.2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</row>
    <row r="103" spans="1:18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</row>
    <row r="104" spans="1:18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</row>
    <row r="105" spans="1:18" x14ac:dyDescent="0.2">
      <c r="A105" s="4"/>
    </row>
    <row r="106" spans="1:18" x14ac:dyDescent="0.2">
      <c r="A106" s="4"/>
    </row>
    <row r="107" spans="1:18" x14ac:dyDescent="0.2">
      <c r="A107" s="4"/>
    </row>
    <row r="108" spans="1:18" x14ac:dyDescent="0.2">
      <c r="A108" s="4"/>
    </row>
    <row r="109" spans="1:18" x14ac:dyDescent="0.2">
      <c r="A109" s="4"/>
    </row>
    <row r="110" spans="1:18" x14ac:dyDescent="0.2">
      <c r="A110" s="4"/>
    </row>
    <row r="111" spans="1:18" x14ac:dyDescent="0.2">
      <c r="A111" s="4"/>
    </row>
    <row r="112" spans="1:18" x14ac:dyDescent="0.2">
      <c r="A112" s="15"/>
    </row>
    <row r="113" spans="1:26" x14ac:dyDescent="0.2">
      <c r="A113" s="15"/>
    </row>
    <row r="114" spans="1:26" x14ac:dyDescent="0.2">
      <c r="A114" s="15"/>
    </row>
    <row r="115" spans="1:26" x14ac:dyDescent="0.2">
      <c r="A115" s="15"/>
    </row>
    <row r="116" spans="1:26" x14ac:dyDescent="0.2">
      <c r="A116" s="15"/>
    </row>
    <row r="117" spans="1:26" x14ac:dyDescent="0.2">
      <c r="A117" s="15"/>
    </row>
    <row r="118" spans="1:26" x14ac:dyDescent="0.2">
      <c r="A118" s="15"/>
    </row>
    <row r="119" spans="1:26" x14ac:dyDescent="0.2">
      <c r="A119" s="15"/>
    </row>
    <row r="120" spans="1:26" x14ac:dyDescent="0.2">
      <c r="A120" s="15"/>
    </row>
    <row r="121" spans="1:26" x14ac:dyDescent="0.2">
      <c r="A121" s="15"/>
    </row>
    <row r="122" spans="1:26" x14ac:dyDescent="0.2">
      <c r="A122" s="16"/>
    </row>
    <row r="123" spans="1:26" x14ac:dyDescent="0.2">
      <c r="A123" s="16"/>
    </row>
    <row r="124" spans="1:26" x14ac:dyDescent="0.2">
      <c r="A124" s="16"/>
    </row>
    <row r="125" spans="1:26" x14ac:dyDescent="0.2">
      <c r="A125" s="16"/>
    </row>
    <row r="126" spans="1:26" x14ac:dyDescent="0.2">
      <c r="A126" s="16"/>
    </row>
    <row r="127" spans="1:26" x14ac:dyDescent="0.2">
      <c r="A127" s="16"/>
      <c r="B127" s="35" t="s">
        <v>3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1"/>
      <c r="P127" s="1"/>
      <c r="Q127" s="1"/>
      <c r="R127" s="1"/>
      <c r="S127" s="1"/>
      <c r="T127" s="16"/>
      <c r="Y127" s="23"/>
      <c r="Z127" s="22"/>
    </row>
    <row r="128" spans="1:26" x14ac:dyDescent="0.2">
      <c r="A128" s="16"/>
      <c r="B128" s="1" t="s">
        <v>20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70">
        <v>1919</v>
      </c>
      <c r="P128" s="1"/>
      <c r="Q128" s="165">
        <v>220</v>
      </c>
      <c r="R128" s="183">
        <v>422180</v>
      </c>
      <c r="S128" s="1"/>
      <c r="T128" s="37"/>
      <c r="Y128" s="23"/>
      <c r="Z128" s="22"/>
    </row>
    <row r="129" spans="1:26" x14ac:dyDescent="0.2">
      <c r="A129" s="16"/>
      <c r="B129" s="2" t="s">
        <v>1</v>
      </c>
      <c r="O129" s="170">
        <v>1859</v>
      </c>
      <c r="P129" s="1"/>
      <c r="Q129" s="165">
        <v>50</v>
      </c>
      <c r="R129" s="170">
        <v>92950</v>
      </c>
      <c r="S129" s="1"/>
      <c r="T129" s="37"/>
      <c r="Y129" s="23"/>
      <c r="Z129" s="22"/>
    </row>
    <row r="130" spans="1:26" x14ac:dyDescent="0.2">
      <c r="A130" s="16"/>
      <c r="B130" s="2" t="s">
        <v>62</v>
      </c>
      <c r="O130" s="167">
        <v>1318</v>
      </c>
      <c r="Q130" s="164" t="s">
        <v>61</v>
      </c>
      <c r="R130" s="166">
        <v>144805</v>
      </c>
      <c r="S130" s="1"/>
      <c r="T130" s="37"/>
      <c r="Y130" s="23"/>
      <c r="Z130" s="22"/>
    </row>
    <row r="131" spans="1:26" x14ac:dyDescent="0.2">
      <c r="A131" s="17"/>
      <c r="B131" s="2" t="s">
        <v>2</v>
      </c>
      <c r="O131" s="6"/>
      <c r="P131" s="174">
        <v>269197.94</v>
      </c>
      <c r="Q131" s="179">
        <v>0.1</v>
      </c>
      <c r="R131" s="170">
        <v>26919.794000000002</v>
      </c>
      <c r="S131" s="1"/>
      <c r="T131" s="52"/>
      <c r="U131" s="46"/>
      <c r="Y131" s="23"/>
      <c r="Z131" s="22"/>
    </row>
    <row r="132" spans="1:26" x14ac:dyDescent="0.2">
      <c r="A132" s="17"/>
      <c r="B132" s="1" t="s">
        <v>35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P132" s="170">
        <v>5468</v>
      </c>
      <c r="Q132" s="173">
        <v>1.19</v>
      </c>
      <c r="R132" s="170">
        <v>6507</v>
      </c>
      <c r="S132" s="1"/>
      <c r="T132" s="176">
        <v>2973</v>
      </c>
      <c r="U132" s="23"/>
      <c r="V132" s="16"/>
      <c r="W132" s="16"/>
      <c r="X132" s="22"/>
      <c r="Y132" s="23"/>
      <c r="Z132" s="22"/>
    </row>
    <row r="133" spans="1:26" x14ac:dyDescent="0.2">
      <c r="A133" s="17"/>
      <c r="B133" s="1" t="s">
        <v>36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P133" s="170">
        <v>4118</v>
      </c>
      <c r="Q133" s="173">
        <v>0.65900000000000003</v>
      </c>
      <c r="R133" s="170">
        <v>2714</v>
      </c>
      <c r="S133" s="1"/>
      <c r="T133" s="176">
        <v>3963</v>
      </c>
      <c r="U133" s="23"/>
      <c r="V133" s="16"/>
      <c r="W133" s="16"/>
      <c r="X133" s="22"/>
      <c r="Y133" s="23"/>
      <c r="Z133" s="22"/>
    </row>
    <row r="134" spans="1:26" x14ac:dyDescent="0.2">
      <c r="A134" s="17"/>
      <c r="B134" s="1" t="s">
        <v>37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P134" s="170">
        <v>0</v>
      </c>
      <c r="Q134" s="173">
        <v>0.43</v>
      </c>
      <c r="R134" s="170">
        <v>0</v>
      </c>
      <c r="S134" s="1"/>
      <c r="T134" s="176">
        <v>0</v>
      </c>
      <c r="U134" s="23"/>
      <c r="V134" s="16"/>
      <c r="W134" s="16"/>
      <c r="X134" s="22"/>
      <c r="Y134" s="23"/>
      <c r="Z134" s="22"/>
    </row>
    <row r="135" spans="1:26" x14ac:dyDescent="0.2">
      <c r="A135" s="17"/>
      <c r="B135" s="1" t="s">
        <v>32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6"/>
      <c r="P135" s="170">
        <v>9204</v>
      </c>
      <c r="Q135" s="173">
        <v>1.19</v>
      </c>
      <c r="R135" s="170">
        <v>10953</v>
      </c>
      <c r="S135" s="1"/>
      <c r="T135" s="177">
        <v>7961</v>
      </c>
      <c r="U135" s="22"/>
      <c r="V135" s="37"/>
      <c r="W135" s="16"/>
      <c r="X135" s="22"/>
      <c r="Y135" s="23"/>
      <c r="Z135" s="22"/>
    </row>
    <row r="136" spans="1:26" x14ac:dyDescent="0.2">
      <c r="A136" s="17"/>
      <c r="B136" s="1" t="s">
        <v>33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6"/>
      <c r="P136" s="170">
        <v>75254</v>
      </c>
      <c r="Q136" s="173">
        <v>0.65900000000000003</v>
      </c>
      <c r="R136" s="170">
        <v>49592</v>
      </c>
      <c r="S136" s="1"/>
      <c r="T136" s="177">
        <v>43904</v>
      </c>
      <c r="U136" s="22"/>
      <c r="V136" s="37"/>
      <c r="W136" s="16"/>
      <c r="X136" s="22"/>
      <c r="Y136" s="23"/>
      <c r="Z136" s="22"/>
    </row>
    <row r="137" spans="1:26" x14ac:dyDescent="0.2">
      <c r="A137" s="17"/>
      <c r="B137" s="1" t="s">
        <v>34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6"/>
      <c r="P137" s="170">
        <v>0</v>
      </c>
      <c r="Q137" s="173">
        <v>0.43</v>
      </c>
      <c r="R137" s="170">
        <v>0</v>
      </c>
      <c r="S137" s="1"/>
      <c r="T137" s="177">
        <v>31193</v>
      </c>
      <c r="U137" s="23"/>
      <c r="V137" s="51"/>
      <c r="W137" s="16"/>
      <c r="X137" s="22"/>
      <c r="Y137" s="23"/>
      <c r="Z137" s="22"/>
    </row>
    <row r="138" spans="1:26" x14ac:dyDescent="0.2">
      <c r="A138" s="17"/>
      <c r="B138" s="1" t="s">
        <v>38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6"/>
      <c r="P138" s="170">
        <v>0</v>
      </c>
      <c r="Q138" s="173">
        <v>1.19</v>
      </c>
      <c r="R138" s="170">
        <v>0</v>
      </c>
      <c r="S138" s="1"/>
      <c r="T138" s="177">
        <v>0</v>
      </c>
      <c r="U138" s="23"/>
      <c r="V138" s="16"/>
      <c r="W138" s="16"/>
      <c r="X138" s="22"/>
      <c r="Y138" s="23"/>
      <c r="Z138" s="22"/>
    </row>
    <row r="139" spans="1:26" x14ac:dyDescent="0.2">
      <c r="A139" s="17"/>
      <c r="B139" s="1" t="s">
        <v>39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6"/>
      <c r="P139" s="170">
        <v>0</v>
      </c>
      <c r="Q139" s="173">
        <v>0.65900000000000003</v>
      </c>
      <c r="R139" s="170">
        <v>0</v>
      </c>
      <c r="S139" s="1"/>
      <c r="T139" s="177">
        <v>0</v>
      </c>
      <c r="U139" s="23"/>
      <c r="V139" s="16"/>
      <c r="W139" s="16"/>
      <c r="X139" s="22"/>
      <c r="Y139" s="23"/>
      <c r="Z139" s="22"/>
    </row>
    <row r="140" spans="1:26" x14ac:dyDescent="0.2">
      <c r="A140" s="17"/>
      <c r="B140" s="1" t="s">
        <v>40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6"/>
      <c r="P140" s="170">
        <v>0</v>
      </c>
      <c r="Q140" s="173">
        <v>0.43</v>
      </c>
      <c r="R140" s="170">
        <v>0</v>
      </c>
      <c r="S140" s="1"/>
      <c r="T140" s="177">
        <v>0</v>
      </c>
      <c r="U140" s="23"/>
      <c r="V140" s="16"/>
      <c r="W140" s="16"/>
      <c r="X140" s="22"/>
      <c r="Y140" s="23"/>
      <c r="Z140" s="22"/>
    </row>
    <row r="141" spans="1:26" x14ac:dyDescent="0.2">
      <c r="A141" s="17"/>
      <c r="B141" s="1" t="s">
        <v>58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P141" s="170">
        <v>329514</v>
      </c>
      <c r="Q141" s="173">
        <v>1.19</v>
      </c>
      <c r="R141" s="170">
        <v>392122</v>
      </c>
      <c r="S141" s="1"/>
      <c r="T141" s="176">
        <v>136328</v>
      </c>
      <c r="U141" s="23"/>
      <c r="V141" s="16"/>
      <c r="W141" s="16"/>
      <c r="X141" s="22"/>
      <c r="Y141" s="23"/>
      <c r="Z141" s="22"/>
    </row>
    <row r="142" spans="1:26" x14ac:dyDescent="0.2">
      <c r="A142" s="17"/>
      <c r="B142" s="1" t="s">
        <v>59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P142" s="170">
        <v>3275044</v>
      </c>
      <c r="Q142" s="173">
        <v>0.65900000000000003</v>
      </c>
      <c r="R142" s="170">
        <v>2158254</v>
      </c>
      <c r="S142" s="1"/>
      <c r="T142" s="176">
        <v>1673184</v>
      </c>
      <c r="U142" s="23"/>
      <c r="V142" s="16"/>
      <c r="W142" s="16"/>
      <c r="X142" s="22"/>
      <c r="Y142" s="23"/>
      <c r="Z142" s="22"/>
    </row>
    <row r="143" spans="1:26" x14ac:dyDescent="0.2">
      <c r="A143" s="17"/>
      <c r="B143" s="1" t="s">
        <v>60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P143" s="170">
        <v>39406</v>
      </c>
      <c r="Q143" s="173">
        <v>0.43</v>
      </c>
      <c r="R143" s="170">
        <v>16945</v>
      </c>
      <c r="S143" s="1"/>
      <c r="T143" s="176">
        <v>39406</v>
      </c>
      <c r="Y143" s="23"/>
      <c r="Z143" s="22"/>
    </row>
    <row r="144" spans="1:26" x14ac:dyDescent="0.2">
      <c r="A144" s="17"/>
      <c r="B144" s="1" t="s">
        <v>45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P144" s="170">
        <v>217118</v>
      </c>
      <c r="Q144" s="173">
        <v>0.53</v>
      </c>
      <c r="R144" s="170">
        <v>115073</v>
      </c>
      <c r="S144" s="1"/>
      <c r="T144" s="176">
        <v>102664</v>
      </c>
      <c r="Y144" s="23"/>
      <c r="Z144" s="22"/>
    </row>
    <row r="145" spans="1:26" x14ac:dyDescent="0.2">
      <c r="A145" s="17"/>
      <c r="B145" s="2" t="s">
        <v>44</v>
      </c>
      <c r="P145" s="175">
        <v>60362</v>
      </c>
      <c r="Q145" s="180">
        <v>0.35909999999999997</v>
      </c>
      <c r="R145" s="170">
        <v>21676</v>
      </c>
      <c r="S145" s="1"/>
      <c r="T145" s="176">
        <v>40054</v>
      </c>
      <c r="Y145" s="23"/>
      <c r="Z145" s="22"/>
    </row>
    <row r="146" spans="1:26" x14ac:dyDescent="0.2">
      <c r="A146" s="17"/>
      <c r="B146" s="1" t="s">
        <v>46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P146" s="169">
        <v>163165</v>
      </c>
      <c r="Q146" s="173">
        <v>0.53</v>
      </c>
      <c r="R146" s="170">
        <v>86477</v>
      </c>
      <c r="S146" s="1"/>
      <c r="T146" s="177">
        <v>214048</v>
      </c>
      <c r="U146" s="22"/>
      <c r="V146" s="16"/>
      <c r="W146" s="51"/>
      <c r="X146" s="22"/>
      <c r="Y146" s="23"/>
      <c r="Z146" s="22"/>
    </row>
    <row r="147" spans="1:26" x14ac:dyDescent="0.2">
      <c r="A147" s="17"/>
      <c r="B147" s="2" t="s">
        <v>47</v>
      </c>
      <c r="P147" s="169">
        <v>0</v>
      </c>
      <c r="Q147" s="180">
        <v>0.35909999999999997</v>
      </c>
      <c r="R147" s="170">
        <v>0</v>
      </c>
      <c r="S147" s="1"/>
      <c r="T147" s="177">
        <v>79</v>
      </c>
      <c r="U147" s="48"/>
      <c r="V147" s="16"/>
      <c r="W147" s="51"/>
      <c r="X147" s="22"/>
      <c r="Y147" s="23"/>
      <c r="Z147" s="22"/>
    </row>
    <row r="148" spans="1:26" x14ac:dyDescent="0.2">
      <c r="A148" s="17"/>
      <c r="B148" s="1" t="s">
        <v>48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6"/>
      <c r="P148" s="170">
        <v>68647</v>
      </c>
      <c r="Q148" s="173">
        <v>0.53</v>
      </c>
      <c r="R148" s="170">
        <v>36383</v>
      </c>
      <c r="S148" s="1"/>
      <c r="T148" s="177">
        <v>39857</v>
      </c>
      <c r="U148" s="23"/>
      <c r="V148" s="16"/>
      <c r="W148" s="16"/>
      <c r="X148" s="22"/>
      <c r="Y148" s="23"/>
      <c r="Z148" s="22"/>
    </row>
    <row r="149" spans="1:26" x14ac:dyDescent="0.2">
      <c r="A149" s="17"/>
      <c r="B149" s="1" t="s">
        <v>49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6"/>
      <c r="P149" s="170">
        <v>0</v>
      </c>
      <c r="Q149" s="180">
        <v>0.35909999999999997</v>
      </c>
      <c r="R149" s="170">
        <v>0</v>
      </c>
      <c r="S149" s="1"/>
      <c r="T149" s="177">
        <v>0</v>
      </c>
      <c r="U149" s="23"/>
      <c r="V149" s="16"/>
      <c r="W149" s="16"/>
      <c r="X149" s="22"/>
      <c r="Y149" s="23"/>
      <c r="Z149" s="22"/>
    </row>
    <row r="150" spans="1:26" x14ac:dyDescent="0.2">
      <c r="A150" s="17"/>
      <c r="B150" s="1" t="s">
        <v>55</v>
      </c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P150" s="170">
        <v>2895489</v>
      </c>
      <c r="Q150" s="173">
        <v>0.53</v>
      </c>
      <c r="R150" s="170">
        <v>1534609</v>
      </c>
      <c r="S150" s="1"/>
      <c r="T150" s="177">
        <v>1139246</v>
      </c>
      <c r="U150" s="23"/>
      <c r="V150" s="16"/>
      <c r="W150" s="16"/>
      <c r="X150" s="22"/>
      <c r="Y150" s="23"/>
      <c r="Z150" s="22"/>
    </row>
    <row r="151" spans="1:26" x14ac:dyDescent="0.2">
      <c r="A151" s="17"/>
      <c r="B151" s="1" t="s">
        <v>56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P151" s="170">
        <v>50541</v>
      </c>
      <c r="Q151" s="180">
        <v>0.35909999999999997</v>
      </c>
      <c r="R151" s="170">
        <v>18149</v>
      </c>
      <c r="S151" s="1"/>
      <c r="T151" s="177">
        <v>29348</v>
      </c>
      <c r="U151" s="22"/>
      <c r="V151" s="16"/>
      <c r="W151" s="16"/>
      <c r="X151" s="22"/>
      <c r="Y151" s="23"/>
      <c r="Z151" s="22"/>
    </row>
    <row r="152" spans="1:26" x14ac:dyDescent="0.2">
      <c r="A152" s="17"/>
      <c r="B152" s="1" t="s">
        <v>57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Q152" s="173">
        <v>1.19</v>
      </c>
      <c r="R152" s="170">
        <v>0</v>
      </c>
      <c r="S152" s="1"/>
      <c r="T152" s="37"/>
      <c r="U152" s="178" t="s">
        <v>77</v>
      </c>
      <c r="V152" s="16"/>
      <c r="W152" s="16"/>
      <c r="X152" s="22"/>
      <c r="Y152" s="23"/>
      <c r="Z152" s="22"/>
    </row>
    <row r="153" spans="1:26" x14ac:dyDescent="0.2">
      <c r="A153" s="17"/>
      <c r="B153" s="1" t="s">
        <v>51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42"/>
      <c r="Q153" s="173">
        <v>0.65900000000000003</v>
      </c>
      <c r="R153" s="170">
        <v>0</v>
      </c>
      <c r="S153" s="40"/>
      <c r="T153" s="37"/>
      <c r="U153" s="23"/>
      <c r="V153" s="16"/>
      <c r="W153" s="16"/>
      <c r="X153" s="22"/>
      <c r="Y153" s="23"/>
      <c r="Z153" s="22"/>
    </row>
    <row r="154" spans="1:26" x14ac:dyDescent="0.2">
      <c r="A154" s="17"/>
      <c r="B154" s="1" t="s">
        <v>52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P154" s="42"/>
      <c r="Q154" s="173">
        <v>0.43</v>
      </c>
      <c r="R154" s="170">
        <v>0</v>
      </c>
      <c r="S154" s="1"/>
      <c r="T154" s="52"/>
      <c r="U154" s="23"/>
      <c r="V154" s="16"/>
      <c r="W154" s="16"/>
      <c r="X154" s="22"/>
      <c r="Y154" s="23"/>
      <c r="Z154" s="22"/>
    </row>
    <row r="155" spans="1:26" x14ac:dyDescent="0.2">
      <c r="A155" s="17"/>
      <c r="B155" s="1" t="s">
        <v>53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70">
        <v>74</v>
      </c>
      <c r="P155" s="169">
        <v>645623</v>
      </c>
      <c r="Q155" s="181" t="s">
        <v>61</v>
      </c>
      <c r="R155" s="170">
        <v>227733.52549999999</v>
      </c>
      <c r="S155" s="1"/>
      <c r="T155" s="177">
        <v>312351</v>
      </c>
      <c r="U155" s="23"/>
      <c r="V155" s="16"/>
      <c r="W155" s="16"/>
      <c r="X155" s="22"/>
      <c r="Y155" s="23"/>
      <c r="Z155" s="22"/>
    </row>
    <row r="156" spans="1:26" x14ac:dyDescent="0.2">
      <c r="A156" s="17"/>
      <c r="B156" s="32" t="s">
        <v>26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182">
        <v>1993</v>
      </c>
      <c r="P156" s="182">
        <v>7838953</v>
      </c>
      <c r="Q156" s="32"/>
      <c r="R156" s="184">
        <v>5364042.3194999993</v>
      </c>
      <c r="S156" s="1"/>
      <c r="T156" s="182">
        <v>3816559</v>
      </c>
      <c r="U156" s="48"/>
      <c r="V156" s="16"/>
      <c r="W156" s="16"/>
      <c r="X156" s="22"/>
      <c r="Y156" s="23"/>
      <c r="Z156" s="22"/>
    </row>
    <row r="157" spans="1:26" x14ac:dyDescent="0.2">
      <c r="A157" s="17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6"/>
      <c r="P157" s="6"/>
      <c r="Q157" s="14"/>
      <c r="R157" s="6"/>
      <c r="S157" s="1"/>
      <c r="T157" s="44"/>
      <c r="U157" s="23"/>
      <c r="V157" s="16"/>
      <c r="W157" s="16"/>
      <c r="X157" s="22"/>
      <c r="Y157" s="23"/>
      <c r="Z157" s="22"/>
    </row>
    <row r="158" spans="1:26" x14ac:dyDescent="0.2">
      <c r="A158" s="17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6"/>
      <c r="P158" s="6"/>
      <c r="Q158" s="14"/>
      <c r="R158" s="6"/>
      <c r="S158" s="1"/>
      <c r="T158" s="6"/>
      <c r="U158" s="23"/>
      <c r="V158" s="16"/>
      <c r="W158" s="16"/>
      <c r="X158" s="22"/>
      <c r="Y158" s="23"/>
      <c r="Z158" s="22"/>
    </row>
    <row r="159" spans="1:26" x14ac:dyDescent="0.2">
      <c r="A159" s="17"/>
      <c r="B159" s="35" t="s">
        <v>54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6"/>
      <c r="P159" s="6"/>
      <c r="Q159" s="14"/>
      <c r="R159" s="6"/>
      <c r="S159" s="1"/>
      <c r="T159" s="16"/>
      <c r="U159" s="23"/>
      <c r="V159" s="16"/>
      <c r="W159" s="16"/>
      <c r="X159" s="22"/>
      <c r="Y159" s="23"/>
      <c r="Z159" s="22"/>
    </row>
    <row r="160" spans="1:26" x14ac:dyDescent="0.2">
      <c r="A160" s="17"/>
      <c r="B160" s="1" t="s">
        <v>20</v>
      </c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70">
        <v>179</v>
      </c>
      <c r="P160" s="6"/>
      <c r="Q160" s="165">
        <v>220</v>
      </c>
      <c r="R160" s="170">
        <v>39380</v>
      </c>
      <c r="S160" s="40"/>
      <c r="T160" s="16"/>
      <c r="U160" s="48"/>
      <c r="V160" s="16"/>
      <c r="W160" s="16"/>
      <c r="X160" s="22"/>
      <c r="Y160" s="23"/>
      <c r="Z160" s="22"/>
    </row>
    <row r="161" spans="1:26" x14ac:dyDescent="0.2">
      <c r="A161" s="17"/>
      <c r="B161" s="2" t="s">
        <v>1</v>
      </c>
      <c r="O161" s="170">
        <v>179</v>
      </c>
      <c r="P161" s="6"/>
      <c r="Q161" s="186">
        <v>50</v>
      </c>
      <c r="R161" s="167">
        <v>8950</v>
      </c>
      <c r="S161" s="40"/>
      <c r="T161" s="37"/>
      <c r="U161" s="48"/>
      <c r="V161" s="16"/>
      <c r="W161" s="16"/>
      <c r="X161" s="22"/>
      <c r="Y161" s="23"/>
      <c r="Z161" s="22"/>
    </row>
    <row r="162" spans="1:26" x14ac:dyDescent="0.2">
      <c r="A162" s="17"/>
      <c r="B162" s="2" t="s">
        <v>62</v>
      </c>
      <c r="O162" s="170">
        <v>132</v>
      </c>
      <c r="P162" s="6"/>
      <c r="Q162" s="181" t="s">
        <v>61</v>
      </c>
      <c r="R162" s="166">
        <v>17220</v>
      </c>
      <c r="S162" s="40"/>
      <c r="T162" s="37"/>
      <c r="U162" s="185" t="s">
        <v>78</v>
      </c>
      <c r="V162" s="16"/>
      <c r="W162" s="16"/>
      <c r="X162" s="22"/>
      <c r="Y162" s="23"/>
      <c r="Z162" s="22"/>
    </row>
    <row r="163" spans="1:26" x14ac:dyDescent="0.2">
      <c r="A163" s="17"/>
      <c r="B163" s="2" t="s">
        <v>2</v>
      </c>
      <c r="O163" s="6"/>
      <c r="P163" s="170">
        <v>189910</v>
      </c>
      <c r="Q163" s="173">
        <v>0.1</v>
      </c>
      <c r="R163" s="170">
        <v>18991</v>
      </c>
      <c r="S163" s="40"/>
      <c r="T163" s="37"/>
      <c r="U163" s="23"/>
      <c r="V163" s="16"/>
      <c r="W163" s="16"/>
      <c r="X163" s="22"/>
      <c r="Y163" s="23"/>
      <c r="Z163" s="22"/>
    </row>
    <row r="164" spans="1:26" x14ac:dyDescent="0.2">
      <c r="A164" s="17"/>
      <c r="B164" s="1" t="s">
        <v>35</v>
      </c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6"/>
      <c r="P164" s="170">
        <v>0</v>
      </c>
      <c r="Q164" s="173">
        <v>1.19</v>
      </c>
      <c r="R164" s="170">
        <v>0</v>
      </c>
      <c r="S164" s="1"/>
      <c r="T164" s="37"/>
      <c r="U164" s="23"/>
      <c r="V164" s="16"/>
      <c r="W164" s="16"/>
      <c r="X164" s="22"/>
      <c r="Y164" s="23"/>
      <c r="Z164" s="22"/>
    </row>
    <row r="165" spans="1:26" x14ac:dyDescent="0.2">
      <c r="A165" s="17"/>
      <c r="B165" s="1" t="s">
        <v>36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6"/>
      <c r="P165" s="170">
        <v>0</v>
      </c>
      <c r="Q165" s="173">
        <v>0.65900000000000003</v>
      </c>
      <c r="R165" s="170">
        <v>0</v>
      </c>
      <c r="S165" s="1"/>
      <c r="T165" s="37"/>
      <c r="U165" s="23"/>
      <c r="V165" s="16"/>
      <c r="W165" s="16"/>
      <c r="X165" s="22"/>
      <c r="Y165" s="23"/>
      <c r="Z165" s="22"/>
    </row>
    <row r="166" spans="1:26" x14ac:dyDescent="0.2">
      <c r="A166" s="17"/>
      <c r="B166" s="1" t="s">
        <v>37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6"/>
      <c r="P166" s="170">
        <v>0</v>
      </c>
      <c r="Q166" s="173">
        <v>0.43</v>
      </c>
      <c r="R166" s="170">
        <v>0</v>
      </c>
      <c r="S166" s="1"/>
      <c r="T166" s="37"/>
      <c r="U166" s="23"/>
      <c r="V166" s="16"/>
      <c r="W166" s="16"/>
      <c r="X166" s="22"/>
      <c r="Y166" s="23"/>
      <c r="Z166" s="22"/>
    </row>
    <row r="167" spans="1:26" x14ac:dyDescent="0.2">
      <c r="A167" s="17"/>
      <c r="B167" s="1" t="s">
        <v>32</v>
      </c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6"/>
      <c r="P167" s="170">
        <v>0</v>
      </c>
      <c r="Q167" s="173">
        <v>1.19</v>
      </c>
      <c r="R167" s="170">
        <v>0</v>
      </c>
      <c r="S167" s="1"/>
      <c r="T167" s="37"/>
      <c r="U167" s="23"/>
      <c r="V167" s="16"/>
      <c r="W167" s="16"/>
      <c r="X167" s="22"/>
      <c r="Y167" s="23"/>
      <c r="Z167" s="22"/>
    </row>
    <row r="168" spans="1:26" x14ac:dyDescent="0.2">
      <c r="A168" s="17"/>
      <c r="B168" s="1" t="s">
        <v>33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6"/>
      <c r="P168" s="170">
        <v>0</v>
      </c>
      <c r="Q168" s="173">
        <v>0.65900000000000003</v>
      </c>
      <c r="R168" s="170">
        <v>0</v>
      </c>
      <c r="S168" s="1"/>
      <c r="T168" s="37"/>
      <c r="U168" s="23"/>
      <c r="V168" s="16"/>
      <c r="W168" s="16"/>
      <c r="X168" s="22"/>
      <c r="Y168" s="23"/>
      <c r="Z168" s="22"/>
    </row>
    <row r="169" spans="1:26" x14ac:dyDescent="0.2">
      <c r="A169" s="17"/>
      <c r="B169" s="1" t="s">
        <v>34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6"/>
      <c r="P169" s="170">
        <v>0</v>
      </c>
      <c r="Q169" s="173">
        <v>0.43</v>
      </c>
      <c r="R169" s="170">
        <v>0</v>
      </c>
      <c r="S169" s="1"/>
      <c r="T169" s="37"/>
      <c r="U169" s="23"/>
      <c r="V169" s="16"/>
      <c r="W169" s="16"/>
      <c r="X169" s="22"/>
      <c r="Y169" s="23"/>
      <c r="Z169" s="22"/>
    </row>
    <row r="170" spans="1:26" x14ac:dyDescent="0.2">
      <c r="A170" s="17"/>
      <c r="B170" s="1" t="s">
        <v>38</v>
      </c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6"/>
      <c r="P170" s="170">
        <v>0</v>
      </c>
      <c r="Q170" s="173">
        <v>1.19</v>
      </c>
      <c r="R170" s="170">
        <v>0</v>
      </c>
      <c r="S170" s="1"/>
      <c r="T170" s="37"/>
      <c r="U170" s="23"/>
      <c r="V170" s="16"/>
      <c r="W170" s="16"/>
      <c r="X170" s="22"/>
      <c r="Y170" s="23"/>
      <c r="Z170" s="22"/>
    </row>
    <row r="171" spans="1:26" x14ac:dyDescent="0.2">
      <c r="A171" s="17"/>
      <c r="B171" s="1" t="s">
        <v>39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6"/>
      <c r="P171" s="170">
        <v>0</v>
      </c>
      <c r="Q171" s="173">
        <v>0.65900000000000003</v>
      </c>
      <c r="R171" s="170">
        <v>0</v>
      </c>
      <c r="S171" s="1"/>
      <c r="T171" s="37"/>
      <c r="U171" s="23"/>
      <c r="V171" s="16"/>
      <c r="W171" s="16"/>
      <c r="X171" s="22"/>
      <c r="Y171" s="23"/>
      <c r="Z171" s="22"/>
    </row>
    <row r="172" spans="1:26" x14ac:dyDescent="0.2">
      <c r="A172" s="17"/>
      <c r="B172" s="1" t="s">
        <v>40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6"/>
      <c r="P172" s="170">
        <v>0</v>
      </c>
      <c r="Q172" s="173">
        <v>0.43</v>
      </c>
      <c r="R172" s="170">
        <v>0</v>
      </c>
      <c r="S172" s="1"/>
      <c r="T172" s="37"/>
      <c r="U172" s="23"/>
      <c r="V172" s="16"/>
      <c r="W172" s="16"/>
      <c r="X172" s="22"/>
      <c r="Y172" s="23"/>
      <c r="Z172" s="22"/>
    </row>
    <row r="173" spans="1:26" x14ac:dyDescent="0.2">
      <c r="A173" s="17"/>
      <c r="B173" s="1" t="s">
        <v>41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6"/>
      <c r="P173" s="170">
        <v>28500</v>
      </c>
      <c r="Q173" s="173">
        <v>1.19</v>
      </c>
      <c r="R173" s="170">
        <v>33915</v>
      </c>
      <c r="S173" s="1"/>
      <c r="T173" s="177">
        <v>11700</v>
      </c>
      <c r="U173" s="23"/>
      <c r="V173" s="16"/>
      <c r="W173" s="16"/>
      <c r="X173" s="22"/>
      <c r="Y173" s="23"/>
      <c r="Z173" s="22"/>
    </row>
    <row r="174" spans="1:26" x14ac:dyDescent="0.2">
      <c r="A174" s="17"/>
      <c r="B174" s="1" t="s">
        <v>42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6"/>
      <c r="P174" s="170">
        <v>1097209</v>
      </c>
      <c r="Q174" s="173">
        <v>0.65900000000000003</v>
      </c>
      <c r="R174" s="170">
        <v>723061</v>
      </c>
      <c r="S174" s="1"/>
      <c r="T174" s="177">
        <v>450480</v>
      </c>
      <c r="U174" s="23"/>
      <c r="V174" s="16"/>
      <c r="W174" s="16"/>
      <c r="X174" s="22"/>
      <c r="Y174" s="23"/>
      <c r="Z174" s="22"/>
    </row>
    <row r="175" spans="1:26" x14ac:dyDescent="0.2">
      <c r="A175" s="17"/>
      <c r="B175" s="1" t="s">
        <v>43</v>
      </c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6"/>
      <c r="P175" s="170">
        <v>531460</v>
      </c>
      <c r="Q175" s="173">
        <v>0.43</v>
      </c>
      <c r="R175" s="170">
        <v>228528</v>
      </c>
      <c r="S175" s="1"/>
      <c r="T175" s="177">
        <v>311263</v>
      </c>
      <c r="U175" s="23"/>
      <c r="V175" s="16"/>
      <c r="W175" s="16"/>
      <c r="X175" s="22"/>
      <c r="Y175" s="23"/>
      <c r="Z175" s="22"/>
    </row>
    <row r="176" spans="1:26" x14ac:dyDescent="0.2">
      <c r="A176" s="17"/>
      <c r="B176" s="1" t="s">
        <v>45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6"/>
      <c r="P176" s="170">
        <v>60000</v>
      </c>
      <c r="Q176" s="173">
        <v>0.53</v>
      </c>
      <c r="R176" s="170">
        <v>31800</v>
      </c>
      <c r="S176" s="1"/>
      <c r="T176" s="177">
        <v>30000</v>
      </c>
      <c r="U176" s="23"/>
      <c r="V176" s="16"/>
      <c r="W176" s="16"/>
      <c r="X176" s="22"/>
      <c r="Y176" s="23"/>
      <c r="Z176" s="22"/>
    </row>
    <row r="177" spans="1:26" x14ac:dyDescent="0.2">
      <c r="A177" s="17"/>
      <c r="B177" s="2" t="s">
        <v>44</v>
      </c>
      <c r="O177" s="6"/>
      <c r="P177" s="170">
        <v>36669</v>
      </c>
      <c r="Q177" s="180">
        <v>0.35909999999999997</v>
      </c>
      <c r="R177" s="170">
        <v>13168</v>
      </c>
      <c r="S177" s="1"/>
      <c r="T177" s="177">
        <v>18619</v>
      </c>
      <c r="U177" s="23"/>
      <c r="V177" s="16"/>
      <c r="W177" s="16"/>
      <c r="X177" s="22"/>
      <c r="Y177" s="23"/>
      <c r="Z177" s="22"/>
    </row>
    <row r="178" spans="1:26" x14ac:dyDescent="0.2">
      <c r="A178" s="17"/>
      <c r="B178" s="1" t="s">
        <v>46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6"/>
      <c r="P178" s="170">
        <v>120000</v>
      </c>
      <c r="Q178" s="173">
        <v>0.53</v>
      </c>
      <c r="R178" s="170">
        <v>63600</v>
      </c>
      <c r="S178" s="1"/>
      <c r="T178" s="177">
        <v>45000</v>
      </c>
      <c r="U178" s="22"/>
      <c r="V178" s="37"/>
      <c r="W178" s="16"/>
      <c r="X178" s="22"/>
      <c r="Y178" s="23"/>
      <c r="Z178" s="22"/>
    </row>
    <row r="179" spans="1:26" x14ac:dyDescent="0.2">
      <c r="A179" s="17"/>
      <c r="B179" s="2" t="s">
        <v>47</v>
      </c>
      <c r="O179" s="6"/>
      <c r="P179" s="170">
        <v>62361</v>
      </c>
      <c r="Q179" s="180">
        <v>0.35909999999999997</v>
      </c>
      <c r="R179" s="170">
        <v>22394</v>
      </c>
      <c r="S179" s="1"/>
      <c r="T179" s="177">
        <v>26270</v>
      </c>
      <c r="U179" s="22"/>
      <c r="V179" s="37"/>
      <c r="W179" s="16"/>
      <c r="X179" s="22"/>
      <c r="Y179" s="23"/>
      <c r="Z179" s="22"/>
    </row>
    <row r="180" spans="1:26" x14ac:dyDescent="0.2">
      <c r="A180" s="17"/>
      <c r="B180" s="1" t="s">
        <v>48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6"/>
      <c r="P180" s="170">
        <v>0</v>
      </c>
      <c r="Q180" s="173">
        <v>0.53</v>
      </c>
      <c r="R180" s="170">
        <v>0</v>
      </c>
      <c r="S180" s="1"/>
      <c r="T180" s="37"/>
      <c r="U180" s="23"/>
      <c r="V180" s="16"/>
      <c r="W180" s="16"/>
      <c r="X180" s="22"/>
      <c r="Y180" s="23"/>
      <c r="Z180" s="22"/>
    </row>
    <row r="181" spans="1:26" x14ac:dyDescent="0.2">
      <c r="A181" s="17"/>
      <c r="B181" s="1" t="s">
        <v>49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6"/>
      <c r="P181" s="170">
        <v>0</v>
      </c>
      <c r="Q181" s="180">
        <v>0.35909999999999997</v>
      </c>
      <c r="R181" s="170">
        <v>0</v>
      </c>
      <c r="S181" s="1"/>
      <c r="T181" s="37"/>
      <c r="U181" s="23"/>
      <c r="V181" s="16"/>
      <c r="W181" s="16"/>
      <c r="X181" s="22"/>
      <c r="Y181" s="23"/>
      <c r="Z181" s="22"/>
    </row>
    <row r="182" spans="1:26" x14ac:dyDescent="0.2">
      <c r="A182" s="17"/>
      <c r="B182" s="1" t="s">
        <v>55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6"/>
      <c r="P182" s="170">
        <v>1374300</v>
      </c>
      <c r="Q182" s="173">
        <v>0.53</v>
      </c>
      <c r="R182" s="170">
        <v>728379</v>
      </c>
      <c r="S182" s="1"/>
      <c r="T182" s="177">
        <v>572820</v>
      </c>
      <c r="U182" s="23"/>
      <c r="V182" s="16"/>
      <c r="W182" s="16"/>
      <c r="X182" s="22"/>
      <c r="Y182" s="23"/>
      <c r="Z182" s="22"/>
    </row>
    <row r="183" spans="1:26" x14ac:dyDescent="0.2">
      <c r="A183" s="17"/>
      <c r="B183" s="1" t="s">
        <v>56</v>
      </c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6"/>
      <c r="P183" s="170">
        <v>1695149</v>
      </c>
      <c r="Q183" s="180">
        <v>0.35909999999999997</v>
      </c>
      <c r="R183" s="170">
        <v>608728</v>
      </c>
      <c r="S183" s="1"/>
      <c r="T183" s="177">
        <v>744285</v>
      </c>
      <c r="U183" s="23"/>
      <c r="V183" s="16"/>
      <c r="W183" s="16"/>
      <c r="X183" s="22"/>
      <c r="Y183" s="23"/>
      <c r="Z183" s="22"/>
    </row>
    <row r="184" spans="1:26" x14ac:dyDescent="0.2">
      <c r="A184" s="17"/>
      <c r="B184" s="1" t="s">
        <v>50</v>
      </c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6"/>
      <c r="P184" s="6"/>
      <c r="Q184" s="173">
        <v>1.19</v>
      </c>
      <c r="R184" s="170">
        <v>0</v>
      </c>
      <c r="S184" s="1"/>
      <c r="T184" s="37"/>
      <c r="U184" s="178" t="s">
        <v>77</v>
      </c>
      <c r="V184" s="16"/>
      <c r="W184" s="16"/>
      <c r="X184" s="22"/>
      <c r="Y184" s="23"/>
      <c r="Z184" s="22"/>
    </row>
    <row r="185" spans="1:26" x14ac:dyDescent="0.2">
      <c r="A185" s="17"/>
      <c r="B185" s="1" t="s">
        <v>51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6"/>
      <c r="P185" s="6"/>
      <c r="Q185" s="173">
        <v>0.65900000000000003</v>
      </c>
      <c r="R185" s="170">
        <v>0</v>
      </c>
      <c r="S185" s="1"/>
      <c r="T185" s="37"/>
      <c r="U185" s="23"/>
      <c r="V185" s="16"/>
      <c r="W185" s="16"/>
      <c r="X185" s="22"/>
      <c r="Y185" s="23"/>
      <c r="Z185" s="22"/>
    </row>
    <row r="186" spans="1:26" x14ac:dyDescent="0.2">
      <c r="A186" s="17"/>
      <c r="B186" s="1" t="s">
        <v>52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6"/>
      <c r="P186" s="6"/>
      <c r="Q186" s="173">
        <v>0.43</v>
      </c>
      <c r="R186" s="170">
        <v>0</v>
      </c>
      <c r="S186" s="1"/>
      <c r="T186" s="37"/>
      <c r="U186" s="23"/>
      <c r="V186" s="16"/>
      <c r="W186" s="16"/>
      <c r="X186" s="22"/>
      <c r="Y186" s="23"/>
      <c r="Z186" s="22"/>
    </row>
    <row r="187" spans="1:26" x14ac:dyDescent="0.2">
      <c r="A187" s="17"/>
      <c r="B187" s="1" t="s">
        <v>53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70">
        <v>168</v>
      </c>
      <c r="P187" s="170">
        <v>13716108.309999999</v>
      </c>
      <c r="Q187" s="181" t="s">
        <v>61</v>
      </c>
      <c r="R187" s="170">
        <v>1501282.3</v>
      </c>
      <c r="S187" s="1"/>
      <c r="T187" s="177">
        <v>5930403.4299999997</v>
      </c>
      <c r="U187" s="23"/>
      <c r="V187" s="16"/>
      <c r="W187" s="16"/>
      <c r="X187" s="22"/>
      <c r="Y187" s="23"/>
      <c r="Z187" s="22"/>
    </row>
    <row r="188" spans="1:26" x14ac:dyDescent="0.2">
      <c r="A188" s="17"/>
      <c r="B188" s="32" t="s">
        <v>26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182">
        <v>347</v>
      </c>
      <c r="P188" s="182">
        <v>18721756.309999999</v>
      </c>
      <c r="Q188" s="32"/>
      <c r="R188" s="184">
        <v>4039396.3</v>
      </c>
      <c r="S188" s="1"/>
      <c r="T188" s="182">
        <v>8140840.4299999997</v>
      </c>
      <c r="U188" s="23"/>
      <c r="V188" s="16"/>
      <c r="W188" s="16"/>
      <c r="X188" s="22"/>
      <c r="Y188" s="23"/>
      <c r="Z188" s="22"/>
    </row>
    <row r="189" spans="1:26" x14ac:dyDescent="0.2">
      <c r="A189" s="17"/>
      <c r="O189" s="6"/>
      <c r="P189" s="6"/>
      <c r="Q189" s="11"/>
      <c r="R189" s="6"/>
      <c r="S189" s="1"/>
      <c r="T189" s="16"/>
      <c r="U189" s="23"/>
      <c r="V189" s="16"/>
      <c r="W189" s="16"/>
      <c r="X189" s="22"/>
      <c r="Y189" s="24"/>
      <c r="Z189" s="21"/>
    </row>
    <row r="190" spans="1:26" x14ac:dyDescent="0.2">
      <c r="A190" s="17"/>
      <c r="P190" s="43"/>
      <c r="U190" s="23"/>
      <c r="V190" s="16"/>
      <c r="W190" s="16"/>
      <c r="X190" s="22"/>
      <c r="Y190" s="23"/>
      <c r="Z190" s="22"/>
    </row>
    <row r="191" spans="1:26" x14ac:dyDescent="0.2">
      <c r="A191" s="17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6"/>
      <c r="P191" s="6"/>
      <c r="Q191" s="14"/>
      <c r="R191" s="6"/>
      <c r="S191" s="1"/>
      <c r="T191" s="16"/>
      <c r="U191" s="23"/>
      <c r="V191" s="16"/>
      <c r="W191" s="16"/>
      <c r="X191" s="22"/>
      <c r="Y191" s="16"/>
      <c r="Z191" s="16"/>
    </row>
    <row r="192" spans="1:26" x14ac:dyDescent="0.2">
      <c r="A192" s="17"/>
      <c r="B192" s="41" t="s">
        <v>63</v>
      </c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170">
        <v>2066283.88</v>
      </c>
      <c r="P192" s="170">
        <v>42545333.399399996</v>
      </c>
      <c r="Q192" s="14"/>
      <c r="R192" s="183">
        <v>45915027.5067432</v>
      </c>
      <c r="S192" s="1"/>
      <c r="T192" s="170">
        <v>23755897.3671</v>
      </c>
      <c r="U192" s="23"/>
      <c r="V192" s="16"/>
      <c r="W192" s="16"/>
      <c r="X192" s="22"/>
      <c r="Y192" s="16"/>
      <c r="Z192" s="15"/>
    </row>
    <row r="193" spans="1:27" x14ac:dyDescent="0.2">
      <c r="A193" s="17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6"/>
      <c r="P193" s="6"/>
      <c r="Q193" s="173" t="s">
        <v>73</v>
      </c>
      <c r="R193" s="6"/>
      <c r="S193" s="1"/>
      <c r="T193" s="16"/>
      <c r="U193" s="23"/>
      <c r="V193" s="16"/>
      <c r="W193" s="16"/>
      <c r="X193" s="22"/>
      <c r="Y193" s="15"/>
      <c r="Z193" s="15"/>
    </row>
    <row r="194" spans="1:27" x14ac:dyDescent="0.2">
      <c r="A194" s="17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6"/>
      <c r="P194" s="14"/>
      <c r="R194" s="6"/>
      <c r="S194" s="1"/>
      <c r="T194" s="185" t="s">
        <v>75</v>
      </c>
      <c r="U194" s="23"/>
      <c r="V194" s="16"/>
      <c r="W194" s="16"/>
      <c r="X194" s="22"/>
    </row>
    <row r="195" spans="1:27" x14ac:dyDescent="0.2">
      <c r="A195" s="17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6"/>
      <c r="P195" s="6"/>
      <c r="Q195" s="14"/>
      <c r="R195" s="6"/>
      <c r="S195" s="1"/>
      <c r="T195" s="16"/>
      <c r="U195" s="23"/>
      <c r="V195" s="16"/>
      <c r="W195" s="16"/>
      <c r="X195" s="22"/>
    </row>
    <row r="196" spans="1:27" x14ac:dyDescent="0.2">
      <c r="A196" s="17"/>
      <c r="O196" s="187" t="s">
        <v>76</v>
      </c>
      <c r="P196" s="170">
        <v>42542842</v>
      </c>
      <c r="Q196" s="39"/>
      <c r="R196" s="6"/>
      <c r="S196" s="1"/>
      <c r="T196" s="16"/>
      <c r="U196" s="23"/>
      <c r="V196" s="16"/>
      <c r="W196" s="16"/>
      <c r="X196" s="22"/>
    </row>
    <row r="197" spans="1:27" x14ac:dyDescent="0.2">
      <c r="A197" s="17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6"/>
      <c r="R197" s="6"/>
      <c r="S197" s="1"/>
      <c r="T197" s="16"/>
      <c r="U197" s="23"/>
      <c r="V197" s="16"/>
      <c r="W197" s="16"/>
      <c r="X197" s="22"/>
    </row>
    <row r="198" spans="1:27" x14ac:dyDescent="0.2">
      <c r="A198" s="17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6"/>
      <c r="P198" s="22"/>
      <c r="Q198" s="16"/>
      <c r="R198" s="22"/>
      <c r="S198" s="1"/>
      <c r="T198" s="16"/>
      <c r="U198" s="23"/>
      <c r="V198" s="16"/>
      <c r="W198" s="16"/>
      <c r="X198" s="22"/>
    </row>
    <row r="199" spans="1:27" x14ac:dyDescent="0.2">
      <c r="A199" s="17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22"/>
      <c r="P199" s="6"/>
      <c r="Q199" s="14"/>
      <c r="R199" s="6"/>
      <c r="S199" s="16"/>
      <c r="T199" s="22"/>
      <c r="U199" s="23"/>
      <c r="V199" s="16"/>
      <c r="W199" s="16"/>
      <c r="X199" s="22"/>
    </row>
    <row r="200" spans="1:27" x14ac:dyDescent="0.2">
      <c r="A200" s="17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22"/>
      <c r="S200" s="16"/>
      <c r="T200" s="22"/>
      <c r="U200" s="23"/>
      <c r="V200" s="16"/>
      <c r="W200" s="16"/>
      <c r="X200" s="22"/>
    </row>
    <row r="201" spans="1:27" x14ac:dyDescent="0.2">
      <c r="A201" s="17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22"/>
      <c r="P201" s="167" t="s">
        <v>67</v>
      </c>
      <c r="R201" s="43">
        <f>R203-R202</f>
        <v>39339388</v>
      </c>
      <c r="S201" s="16"/>
      <c r="T201" s="22">
        <f>R201</f>
        <v>39339388</v>
      </c>
      <c r="U201" s="188" t="s">
        <v>74</v>
      </c>
      <c r="V201" s="16"/>
      <c r="W201" s="16"/>
      <c r="X201" s="22"/>
    </row>
    <row r="202" spans="1:27" x14ac:dyDescent="0.2">
      <c r="A202" s="17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22"/>
      <c r="P202" s="189" t="s">
        <v>68</v>
      </c>
      <c r="Q202" s="27"/>
      <c r="R202" s="189">
        <v>-371548</v>
      </c>
      <c r="S202" s="16"/>
      <c r="T202" s="16"/>
      <c r="U202" s="23"/>
      <c r="V202" s="16"/>
      <c r="W202" s="16"/>
      <c r="X202" s="22"/>
    </row>
    <row r="203" spans="1:27" x14ac:dyDescent="0.2">
      <c r="A203" s="17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37"/>
      <c r="P203" s="190" t="s">
        <v>69</v>
      </c>
      <c r="Q203" s="53"/>
      <c r="R203" s="190">
        <v>38967840</v>
      </c>
      <c r="S203" s="16"/>
      <c r="T203" s="16"/>
      <c r="U203" s="23"/>
      <c r="V203" s="16"/>
      <c r="W203" s="16"/>
      <c r="X203" s="22"/>
      <c r="AA203" s="26"/>
    </row>
    <row r="204" spans="1:27" x14ac:dyDescent="0.2">
      <c r="A204" s="17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37"/>
      <c r="P204" s="177" t="s">
        <v>70</v>
      </c>
      <c r="Q204" s="16"/>
      <c r="R204" s="190">
        <v>8532717</v>
      </c>
      <c r="S204" s="16"/>
      <c r="T204" s="61">
        <f>R204</f>
        <v>8532717</v>
      </c>
      <c r="U204" s="23"/>
      <c r="V204" s="16"/>
      <c r="W204" s="16"/>
      <c r="X204" s="22"/>
      <c r="AA204" s="26"/>
    </row>
    <row r="205" spans="1:27" x14ac:dyDescent="0.2">
      <c r="A205" s="17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89" t="s">
        <v>71</v>
      </c>
      <c r="Q205" s="16"/>
      <c r="R205" s="30">
        <f>R203+R204</f>
        <v>47500557</v>
      </c>
      <c r="S205" s="16"/>
      <c r="U205" s="23"/>
      <c r="V205" s="16"/>
      <c r="W205" s="16"/>
      <c r="X205" s="22"/>
      <c r="AA205" s="26"/>
    </row>
    <row r="206" spans="1:27" x14ac:dyDescent="0.2">
      <c r="A206" s="17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22"/>
      <c r="P206" s="189" t="s">
        <v>64</v>
      </c>
      <c r="Q206" s="16"/>
      <c r="R206" s="190">
        <v>2857829</v>
      </c>
      <c r="S206" s="16"/>
      <c r="U206" s="23"/>
      <c r="V206" s="16"/>
      <c r="W206" s="16"/>
      <c r="X206" s="22"/>
    </row>
    <row r="207" spans="1:27" x14ac:dyDescent="0.2">
      <c r="A207" s="17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22"/>
      <c r="P207" s="189" t="s">
        <v>72</v>
      </c>
      <c r="Q207" s="16"/>
      <c r="R207" s="30">
        <f>R205+R206</f>
        <v>50358386</v>
      </c>
      <c r="S207" s="16"/>
      <c r="T207" s="26">
        <f>T201+T204</f>
        <v>47872105</v>
      </c>
      <c r="U207" s="23"/>
      <c r="V207" s="16"/>
      <c r="W207" s="16"/>
      <c r="X207" s="22"/>
    </row>
    <row r="208" spans="1:27" x14ac:dyDescent="0.2">
      <c r="A208" s="17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22"/>
      <c r="P208" s="22"/>
      <c r="Q208" s="55"/>
      <c r="R208" s="21"/>
      <c r="S208" s="16"/>
      <c r="U208" s="23"/>
      <c r="V208" s="16"/>
      <c r="W208" s="16"/>
      <c r="X208" s="22"/>
    </row>
    <row r="209" spans="1:24" x14ac:dyDescent="0.2">
      <c r="A209" s="17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22"/>
      <c r="P209" s="189" t="s">
        <v>65</v>
      </c>
      <c r="Q209" s="55"/>
      <c r="R209" s="21"/>
      <c r="S209" s="16"/>
      <c r="T209" s="26"/>
      <c r="U209" s="23"/>
      <c r="V209" s="16"/>
      <c r="W209" s="16"/>
      <c r="X209" s="22"/>
    </row>
    <row r="210" spans="1:24" x14ac:dyDescent="0.2">
      <c r="A210" s="17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22"/>
      <c r="P210" s="22"/>
      <c r="Q210" s="56"/>
      <c r="R210" s="22"/>
      <c r="S210" s="16"/>
      <c r="U210" s="23"/>
      <c r="V210" s="16"/>
      <c r="W210" s="16"/>
      <c r="X210" s="22"/>
    </row>
    <row r="211" spans="1:24" x14ac:dyDescent="0.2">
      <c r="A211" s="17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22"/>
      <c r="Q211" s="16"/>
      <c r="R211" s="22"/>
      <c r="S211" s="16"/>
      <c r="U211" s="23"/>
      <c r="V211" s="16"/>
      <c r="W211" s="16"/>
      <c r="X211" s="22"/>
    </row>
    <row r="212" spans="1:24" x14ac:dyDescent="0.2">
      <c r="A212" s="17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22"/>
      <c r="Q212" s="16"/>
      <c r="R212" s="22"/>
      <c r="S212" s="16"/>
      <c r="U212" s="23"/>
      <c r="V212" s="16"/>
      <c r="W212" s="16"/>
      <c r="X212" s="22"/>
    </row>
    <row r="213" spans="1:24" x14ac:dyDescent="0.2">
      <c r="A213" s="17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22"/>
      <c r="Q213" s="16"/>
      <c r="R213" s="22"/>
      <c r="S213" s="29"/>
      <c r="U213" s="23"/>
      <c r="V213" s="16"/>
      <c r="W213" s="16"/>
      <c r="X213" s="22"/>
    </row>
    <row r="214" spans="1:24" x14ac:dyDescent="0.2">
      <c r="A214" s="17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22"/>
      <c r="Q214" s="16"/>
      <c r="R214" s="22"/>
      <c r="S214" s="29"/>
      <c r="U214" s="23"/>
      <c r="V214" s="16"/>
      <c r="W214" s="16"/>
      <c r="X214" s="22"/>
    </row>
    <row r="215" spans="1:24" x14ac:dyDescent="0.2">
      <c r="A215" s="17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22"/>
      <c r="Q215" s="16"/>
      <c r="R215" s="22"/>
      <c r="S215" s="29"/>
      <c r="U215" s="23"/>
      <c r="V215" s="16"/>
      <c r="W215" s="16"/>
      <c r="X215" s="22"/>
    </row>
    <row r="216" spans="1:24" x14ac:dyDescent="0.2">
      <c r="A216" s="17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22"/>
      <c r="Q216" s="16"/>
      <c r="R216" s="22"/>
      <c r="S216" s="22"/>
      <c r="U216" s="23"/>
      <c r="V216" s="16"/>
      <c r="W216" s="16"/>
      <c r="X216" s="22"/>
    </row>
    <row r="217" spans="1:24" x14ac:dyDescent="0.2">
      <c r="A217" s="17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22"/>
      <c r="Q217" s="16"/>
      <c r="R217" s="22"/>
      <c r="S217" s="16"/>
      <c r="U217" s="23"/>
      <c r="V217" s="16"/>
      <c r="W217" s="16"/>
      <c r="X217" s="22"/>
    </row>
    <row r="218" spans="1:24" x14ac:dyDescent="0.2">
      <c r="A218" s="17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22"/>
      <c r="Q218" s="16"/>
      <c r="R218" s="22"/>
      <c r="S218" s="16"/>
      <c r="U218" s="23"/>
      <c r="V218" s="16"/>
      <c r="W218" s="16"/>
      <c r="X218" s="22"/>
    </row>
    <row r="219" spans="1:24" x14ac:dyDescent="0.2">
      <c r="A219" s="17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22"/>
      <c r="Q219" s="16"/>
      <c r="R219" s="22"/>
      <c r="S219" s="16"/>
      <c r="U219" s="23"/>
      <c r="V219" s="16"/>
      <c r="W219" s="16"/>
      <c r="X219" s="22"/>
    </row>
    <row r="220" spans="1:24" x14ac:dyDescent="0.2">
      <c r="A220" s="17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22"/>
      <c r="Q220" s="16"/>
      <c r="R220" s="22"/>
      <c r="S220" s="16"/>
      <c r="U220" s="23"/>
      <c r="V220" s="16"/>
      <c r="W220" s="16"/>
      <c r="X220" s="22"/>
    </row>
    <row r="221" spans="1:24" x14ac:dyDescent="0.2">
      <c r="A221" s="17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37"/>
      <c r="P221" s="37"/>
      <c r="Q221" s="16"/>
      <c r="R221" s="38"/>
      <c r="S221" s="16"/>
      <c r="U221" s="23"/>
      <c r="V221" s="16"/>
      <c r="W221" s="16"/>
      <c r="X221" s="22"/>
    </row>
    <row r="222" spans="1:24" x14ac:dyDescent="0.2">
      <c r="A222" s="17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</row>
    <row r="223" spans="1:24" x14ac:dyDescent="0.2">
      <c r="A223" s="17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24" x14ac:dyDescent="0.2">
      <c r="A224" s="17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</row>
    <row r="225" spans="1:19" x14ac:dyDescent="0.2">
      <c r="A225" s="17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</row>
    <row r="226" spans="1:19" x14ac:dyDescent="0.2">
      <c r="A226" s="17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</row>
    <row r="227" spans="1:19" x14ac:dyDescent="0.2">
      <c r="A227" s="17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</row>
    <row r="228" spans="1:19" x14ac:dyDescent="0.2">
      <c r="A228" s="17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</row>
    <row r="229" spans="1:19" x14ac:dyDescent="0.2">
      <c r="A229" s="17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</row>
    <row r="230" spans="1:19" x14ac:dyDescent="0.2">
      <c r="A230" s="17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</row>
    <row r="231" spans="1:19" x14ac:dyDescent="0.2">
      <c r="A231" s="17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</row>
    <row r="232" spans="1:19" x14ac:dyDescent="0.2">
      <c r="A232" s="17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 x14ac:dyDescent="0.2">
      <c r="A233" s="17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</row>
    <row r="234" spans="1:19" x14ac:dyDescent="0.2">
      <c r="A234" s="17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</row>
    <row r="235" spans="1:19" x14ac:dyDescent="0.2">
      <c r="A235" s="17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</row>
    <row r="236" spans="1:19" x14ac:dyDescent="0.2">
      <c r="A236" s="17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</row>
    <row r="237" spans="1:19" x14ac:dyDescent="0.2">
      <c r="A237" s="17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</row>
    <row r="238" spans="1:19" x14ac:dyDescent="0.2">
      <c r="A238" s="17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</row>
    <row r="239" spans="1:19" x14ac:dyDescent="0.2">
      <c r="A239" s="17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</row>
    <row r="240" spans="1:19" x14ac:dyDescent="0.2">
      <c r="A240" s="17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</row>
    <row r="241" spans="1:19" x14ac:dyDescent="0.2">
      <c r="A241" s="17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 x14ac:dyDescent="0.2">
      <c r="A242" s="17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</row>
    <row r="243" spans="1:19" x14ac:dyDescent="0.2">
      <c r="A243" s="17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</row>
    <row r="244" spans="1:19" x14ac:dyDescent="0.2">
      <c r="A244" s="17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</row>
    <row r="245" spans="1:19" x14ac:dyDescent="0.2">
      <c r="A245" s="17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</row>
    <row r="246" spans="1:19" x14ac:dyDescent="0.2">
      <c r="A246" s="17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</row>
    <row r="247" spans="1:19" x14ac:dyDescent="0.2">
      <c r="A247" s="17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</row>
    <row r="248" spans="1:19" x14ac:dyDescent="0.2">
      <c r="A248" s="17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</row>
    <row r="249" spans="1:19" x14ac:dyDescent="0.2">
      <c r="A249" s="17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</row>
    <row r="250" spans="1:19" x14ac:dyDescent="0.2">
      <c r="A250" s="17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 x14ac:dyDescent="0.2">
      <c r="A251" s="17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</row>
    <row r="252" spans="1:19" x14ac:dyDescent="0.2">
      <c r="A252" s="17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</row>
    <row r="253" spans="1:19" x14ac:dyDescent="0.2">
      <c r="A253" s="17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</row>
    <row r="254" spans="1:19" x14ac:dyDescent="0.2">
      <c r="A254" s="17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</row>
    <row r="255" spans="1:19" x14ac:dyDescent="0.2">
      <c r="A255" s="17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</row>
    <row r="256" spans="1:19" x14ac:dyDescent="0.2">
      <c r="A256" s="17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</row>
    <row r="257" spans="1:19" x14ac:dyDescent="0.2">
      <c r="A257" s="17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</row>
    <row r="258" spans="1:19" x14ac:dyDescent="0.2">
      <c r="A258" s="17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</row>
    <row r="259" spans="1:19" x14ac:dyDescent="0.2">
      <c r="A259" s="17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 x14ac:dyDescent="0.2">
      <c r="A260" s="17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</row>
    <row r="261" spans="1:19" x14ac:dyDescent="0.2">
      <c r="A261" s="17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</row>
    <row r="262" spans="1:19" x14ac:dyDescent="0.2">
      <c r="A262" s="17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</row>
    <row r="263" spans="1:19" x14ac:dyDescent="0.2">
      <c r="A263" s="17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</row>
    <row r="264" spans="1:19" x14ac:dyDescent="0.2">
      <c r="A264" s="17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</row>
    <row r="265" spans="1:19" x14ac:dyDescent="0.2">
      <c r="A265" s="17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</row>
    <row r="266" spans="1:19" x14ac:dyDescent="0.2">
      <c r="A266" s="17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</row>
    <row r="267" spans="1:19" x14ac:dyDescent="0.2">
      <c r="A267" s="17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</row>
    <row r="268" spans="1:19" x14ac:dyDescent="0.2">
      <c r="A268" s="17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</row>
    <row r="269" spans="1:19" x14ac:dyDescent="0.2">
      <c r="A269" s="17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</row>
    <row r="270" spans="1:19" x14ac:dyDescent="0.2">
      <c r="A270" s="17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</row>
    <row r="271" spans="1:19" x14ac:dyDescent="0.2">
      <c r="A271" s="17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</row>
    <row r="272" spans="1:19" x14ac:dyDescent="0.2">
      <c r="A272" s="17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</row>
    <row r="273" spans="1:19" x14ac:dyDescent="0.2">
      <c r="A273" s="17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</row>
    <row r="274" spans="1:19" x14ac:dyDescent="0.2">
      <c r="A274" s="17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</row>
    <row r="275" spans="1:19" x14ac:dyDescent="0.2">
      <c r="A275" s="17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</row>
    <row r="276" spans="1:19" x14ac:dyDescent="0.2">
      <c r="A276" s="17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</row>
    <row r="277" spans="1:19" x14ac:dyDescent="0.2">
      <c r="A277" s="17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 x14ac:dyDescent="0.2">
      <c r="A278" s="17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</row>
    <row r="279" spans="1:19" x14ac:dyDescent="0.2">
      <c r="A279" s="17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</row>
    <row r="280" spans="1:19" x14ac:dyDescent="0.2">
      <c r="A280" s="17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</row>
    <row r="281" spans="1:19" x14ac:dyDescent="0.2">
      <c r="A281" s="17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</row>
    <row r="282" spans="1:19" x14ac:dyDescent="0.2">
      <c r="A282" s="17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</row>
    <row r="283" spans="1:19" x14ac:dyDescent="0.2">
      <c r="A283" s="17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</row>
    <row r="284" spans="1:19" x14ac:dyDescent="0.2">
      <c r="A284" s="17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</row>
    <row r="285" spans="1:19" x14ac:dyDescent="0.2">
      <c r="A285" s="17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</row>
    <row r="286" spans="1:19" x14ac:dyDescent="0.2">
      <c r="A286" s="17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 x14ac:dyDescent="0.2">
      <c r="A287" s="17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</row>
    <row r="288" spans="1:19" x14ac:dyDescent="0.2">
      <c r="A288" s="17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</row>
    <row r="289" spans="1:19" x14ac:dyDescent="0.2">
      <c r="A289" s="17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</row>
    <row r="290" spans="1:19" x14ac:dyDescent="0.2">
      <c r="A290" s="17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</row>
    <row r="291" spans="1:19" x14ac:dyDescent="0.2">
      <c r="A291" s="17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</row>
    <row r="292" spans="1:19" x14ac:dyDescent="0.2">
      <c r="A292" s="17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</row>
    <row r="293" spans="1:19" x14ac:dyDescent="0.2">
      <c r="A293" s="17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</row>
    <row r="294" spans="1:19" x14ac:dyDescent="0.2">
      <c r="A294" s="17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</row>
    <row r="295" spans="1:19" x14ac:dyDescent="0.2">
      <c r="A295" s="17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 x14ac:dyDescent="0.2">
      <c r="A296" s="17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</row>
    <row r="297" spans="1:19" x14ac:dyDescent="0.2">
      <c r="A297" s="17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</row>
    <row r="298" spans="1:19" x14ac:dyDescent="0.2">
      <c r="A298" s="17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</row>
    <row r="299" spans="1:19" x14ac:dyDescent="0.2">
      <c r="A299" s="17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</row>
    <row r="300" spans="1:19" x14ac:dyDescent="0.2">
      <c r="A300" s="17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</row>
    <row r="301" spans="1:19" x14ac:dyDescent="0.2">
      <c r="A301" s="17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</row>
    <row r="302" spans="1:19" x14ac:dyDescent="0.2">
      <c r="A302" s="17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</row>
    <row r="303" spans="1:19" x14ac:dyDescent="0.2">
      <c r="A303" s="17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</row>
    <row r="304" spans="1:19" x14ac:dyDescent="0.2">
      <c r="A304" s="17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 x14ac:dyDescent="0.2">
      <c r="A305" s="17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</row>
    <row r="306" spans="1:19" x14ac:dyDescent="0.2">
      <c r="A306" s="17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</row>
    <row r="307" spans="1:19" x14ac:dyDescent="0.2">
      <c r="A307" s="17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</row>
    <row r="308" spans="1:19" x14ac:dyDescent="0.2">
      <c r="A308" s="17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</row>
    <row r="309" spans="1:19" x14ac:dyDescent="0.2">
      <c r="A309" s="17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</row>
    <row r="310" spans="1:19" x14ac:dyDescent="0.2">
      <c r="A310" s="17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</row>
    <row r="311" spans="1:19" x14ac:dyDescent="0.2">
      <c r="A311" s="17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</row>
    <row r="312" spans="1:19" x14ac:dyDescent="0.2">
      <c r="A312" s="17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</row>
    <row r="313" spans="1:19" x14ac:dyDescent="0.2">
      <c r="A313" s="17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 x14ac:dyDescent="0.2">
      <c r="A314" s="17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</row>
    <row r="315" spans="1:19" x14ac:dyDescent="0.2">
      <c r="A315" s="17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</row>
    <row r="316" spans="1:19" x14ac:dyDescent="0.2">
      <c r="A316" s="17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</row>
    <row r="317" spans="1:19" x14ac:dyDescent="0.2">
      <c r="A317" s="17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</row>
    <row r="318" spans="1:19" x14ac:dyDescent="0.2">
      <c r="A318" s="17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</row>
    <row r="319" spans="1:19" x14ac:dyDescent="0.2">
      <c r="A319" s="17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</row>
    <row r="320" spans="1:19" x14ac:dyDescent="0.2">
      <c r="A320" s="17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</row>
    <row r="321" spans="1:19" x14ac:dyDescent="0.2">
      <c r="A321" s="17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</row>
    <row r="322" spans="1:19" x14ac:dyDescent="0.2">
      <c r="A322" s="17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 x14ac:dyDescent="0.2">
      <c r="A323" s="17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</row>
    <row r="324" spans="1:19" x14ac:dyDescent="0.2">
      <c r="A324" s="17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</row>
    <row r="325" spans="1:19" x14ac:dyDescent="0.2">
      <c r="A325" s="17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</row>
    <row r="326" spans="1:19" x14ac:dyDescent="0.2">
      <c r="A326" s="17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</row>
    <row r="327" spans="1:19" x14ac:dyDescent="0.2">
      <c r="A327" s="17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</row>
    <row r="328" spans="1:19" x14ac:dyDescent="0.2">
      <c r="A328" s="17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</row>
    <row r="329" spans="1:19" x14ac:dyDescent="0.2">
      <c r="A329" s="17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</row>
    <row r="330" spans="1:19" x14ac:dyDescent="0.2">
      <c r="A330" s="17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</row>
    <row r="331" spans="1:19" x14ac:dyDescent="0.2">
      <c r="A331" s="17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 x14ac:dyDescent="0.2">
      <c r="A332" s="17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</row>
    <row r="333" spans="1:19" x14ac:dyDescent="0.2">
      <c r="A333" s="17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</row>
    <row r="334" spans="1:19" x14ac:dyDescent="0.2">
      <c r="A334" s="17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</row>
    <row r="335" spans="1:19" x14ac:dyDescent="0.2">
      <c r="A335" s="17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</row>
    <row r="336" spans="1:19" x14ac:dyDescent="0.2">
      <c r="A336" s="17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</row>
    <row r="337" spans="1:19" x14ac:dyDescent="0.2">
      <c r="A337" s="17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</row>
    <row r="338" spans="1:19" x14ac:dyDescent="0.2">
      <c r="A338" s="17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</row>
    <row r="339" spans="1:19" x14ac:dyDescent="0.2">
      <c r="A339" s="17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</row>
    <row r="340" spans="1:19" x14ac:dyDescent="0.2">
      <c r="A340" s="17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 x14ac:dyDescent="0.2">
      <c r="A341" s="17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</row>
    <row r="342" spans="1:19" x14ac:dyDescent="0.2">
      <c r="A342" s="17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</row>
    <row r="343" spans="1:19" x14ac:dyDescent="0.2">
      <c r="A343" s="17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</row>
    <row r="344" spans="1:19" x14ac:dyDescent="0.2">
      <c r="A344" s="17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</row>
    <row r="345" spans="1:19" x14ac:dyDescent="0.2">
      <c r="A345" s="17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</row>
    <row r="346" spans="1:19" x14ac:dyDescent="0.2">
      <c r="A346" s="17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</row>
    <row r="347" spans="1:19" x14ac:dyDescent="0.2">
      <c r="A347" s="17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</row>
    <row r="348" spans="1:19" x14ac:dyDescent="0.2">
      <c r="A348" s="17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</row>
    <row r="349" spans="1:19" x14ac:dyDescent="0.2">
      <c r="A349" s="17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 x14ac:dyDescent="0.2">
      <c r="A350" s="17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</row>
    <row r="351" spans="1:19" x14ac:dyDescent="0.2">
      <c r="A351" s="17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</row>
    <row r="352" spans="1:19" x14ac:dyDescent="0.2">
      <c r="A352" s="17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</row>
    <row r="353" spans="1:19" x14ac:dyDescent="0.2">
      <c r="A353" s="17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</row>
    <row r="354" spans="1:19" x14ac:dyDescent="0.2">
      <c r="A354" s="17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</row>
    <row r="355" spans="1:19" x14ac:dyDescent="0.2">
      <c r="A355" s="17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</row>
    <row r="356" spans="1:19" x14ac:dyDescent="0.2">
      <c r="A356" s="17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</row>
    <row r="357" spans="1:19" x14ac:dyDescent="0.2">
      <c r="A357" s="17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</row>
    <row r="358" spans="1:19" x14ac:dyDescent="0.2">
      <c r="A358" s="17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 x14ac:dyDescent="0.2">
      <c r="A359" s="17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</row>
    <row r="360" spans="1:19" x14ac:dyDescent="0.2">
      <c r="A360" s="17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</row>
    <row r="361" spans="1:19" x14ac:dyDescent="0.2">
      <c r="A361" s="17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</row>
    <row r="362" spans="1:19" x14ac:dyDescent="0.2">
      <c r="A362" s="17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</row>
    <row r="363" spans="1:19" x14ac:dyDescent="0.2">
      <c r="A363" s="17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</row>
    <row r="364" spans="1:19" x14ac:dyDescent="0.2">
      <c r="A364" s="17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</row>
    <row r="365" spans="1:19" x14ac:dyDescent="0.2">
      <c r="A365" s="17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</row>
    <row r="366" spans="1:19" x14ac:dyDescent="0.2">
      <c r="A366" s="17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</row>
    <row r="367" spans="1:19" x14ac:dyDescent="0.2">
      <c r="A367" s="17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 x14ac:dyDescent="0.2">
      <c r="A368" s="17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</row>
    <row r="369" spans="1:19" x14ac:dyDescent="0.2">
      <c r="A369" s="17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</row>
    <row r="370" spans="1:19" x14ac:dyDescent="0.2">
      <c r="A370" s="17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</row>
    <row r="371" spans="1:19" x14ac:dyDescent="0.2">
      <c r="A371" s="17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</row>
    <row r="372" spans="1:19" x14ac:dyDescent="0.2">
      <c r="A372" s="17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</row>
    <row r="373" spans="1:19" x14ac:dyDescent="0.2">
      <c r="A373" s="17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</row>
    <row r="374" spans="1:19" x14ac:dyDescent="0.2">
      <c r="A374" s="17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</row>
    <row r="375" spans="1:19" x14ac:dyDescent="0.2">
      <c r="A375" s="17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</row>
    <row r="376" spans="1:19" x14ac:dyDescent="0.2">
      <c r="A376" s="17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 x14ac:dyDescent="0.2">
      <c r="A377" s="17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</row>
    <row r="378" spans="1:19" x14ac:dyDescent="0.2">
      <c r="A378" s="17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</row>
    <row r="379" spans="1:19" x14ac:dyDescent="0.2">
      <c r="A379" s="17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</row>
    <row r="380" spans="1:19" x14ac:dyDescent="0.2">
      <c r="A380" s="17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</row>
    <row r="381" spans="1:19" x14ac:dyDescent="0.2">
      <c r="A381" s="17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</row>
    <row r="382" spans="1:19" x14ac:dyDescent="0.2">
      <c r="A382" s="17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</row>
    <row r="383" spans="1:19" x14ac:dyDescent="0.2">
      <c r="A383" s="17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</row>
    <row r="384" spans="1:19" x14ac:dyDescent="0.2">
      <c r="A384" s="17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</row>
    <row r="385" spans="1:19" x14ac:dyDescent="0.2">
      <c r="A385" s="17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19" x14ac:dyDescent="0.2">
      <c r="A386" s="17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</row>
    <row r="387" spans="1:19" x14ac:dyDescent="0.2">
      <c r="A387" s="17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</row>
    <row r="388" spans="1:19" x14ac:dyDescent="0.2">
      <c r="A388" s="17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</row>
    <row r="389" spans="1:19" x14ac:dyDescent="0.2">
      <c r="A389" s="17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</row>
    <row r="390" spans="1:19" x14ac:dyDescent="0.2">
      <c r="A390" s="17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</row>
    <row r="391" spans="1:19" x14ac:dyDescent="0.2">
      <c r="A391" s="17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</row>
    <row r="392" spans="1:19" x14ac:dyDescent="0.2">
      <c r="A392" s="17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</row>
    <row r="393" spans="1:19" x14ac:dyDescent="0.2">
      <c r="A393" s="17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</row>
    <row r="394" spans="1:19" x14ac:dyDescent="0.2">
      <c r="A394" s="17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 x14ac:dyDescent="0.2">
      <c r="A395" s="17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 x14ac:dyDescent="0.2">
      <c r="A396" s="17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 x14ac:dyDescent="0.2">
      <c r="A397" s="17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 x14ac:dyDescent="0.2">
      <c r="A398" s="17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 x14ac:dyDescent="0.2">
      <c r="A399" s="17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 x14ac:dyDescent="0.2">
      <c r="A400" s="17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 x14ac:dyDescent="0.2">
      <c r="A401" s="17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 x14ac:dyDescent="0.2">
      <c r="A402" s="17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 x14ac:dyDescent="0.2">
      <c r="A403" s="17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 x14ac:dyDescent="0.2">
      <c r="A404" s="17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 x14ac:dyDescent="0.2">
      <c r="A405" s="17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 x14ac:dyDescent="0.2">
      <c r="A406" s="17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 x14ac:dyDescent="0.2">
      <c r="A407" s="17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 x14ac:dyDescent="0.2">
      <c r="A408" s="17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 x14ac:dyDescent="0.2">
      <c r="A409" s="17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 x14ac:dyDescent="0.2">
      <c r="A410" s="17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 x14ac:dyDescent="0.2">
      <c r="A411" s="17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 x14ac:dyDescent="0.2">
      <c r="A412" s="17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 x14ac:dyDescent="0.2">
      <c r="A413" s="17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 x14ac:dyDescent="0.2">
      <c r="A414" s="17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 x14ac:dyDescent="0.2">
      <c r="A415" s="17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 x14ac:dyDescent="0.2">
      <c r="A416" s="17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 x14ac:dyDescent="0.2">
      <c r="A417" s="17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 x14ac:dyDescent="0.2">
      <c r="A418" s="17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 x14ac:dyDescent="0.2">
      <c r="A419" s="17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 x14ac:dyDescent="0.2">
      <c r="A420" s="17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 x14ac:dyDescent="0.2">
      <c r="A421" s="17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 x14ac:dyDescent="0.2">
      <c r="A422" s="17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 x14ac:dyDescent="0.2">
      <c r="A423" s="17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 x14ac:dyDescent="0.2">
      <c r="A424" s="17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 x14ac:dyDescent="0.2">
      <c r="A425" s="17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 x14ac:dyDescent="0.2">
      <c r="A426" s="17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 x14ac:dyDescent="0.2">
      <c r="A427" s="17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 x14ac:dyDescent="0.2">
      <c r="A428" s="17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 x14ac:dyDescent="0.2">
      <c r="A429" s="17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 x14ac:dyDescent="0.2">
      <c r="A430" s="17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 x14ac:dyDescent="0.2">
      <c r="A431" s="17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 x14ac:dyDescent="0.2">
      <c r="A432" s="17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 x14ac:dyDescent="0.2">
      <c r="A433" s="17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 x14ac:dyDescent="0.2">
      <c r="A434" s="17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 x14ac:dyDescent="0.2">
      <c r="A435" s="17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 x14ac:dyDescent="0.2">
      <c r="A436" s="17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 x14ac:dyDescent="0.2">
      <c r="A437" s="17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 x14ac:dyDescent="0.2">
      <c r="A438" s="17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 x14ac:dyDescent="0.2">
      <c r="A439" s="17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 x14ac:dyDescent="0.2">
      <c r="A440" s="17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 x14ac:dyDescent="0.2">
      <c r="A441" s="17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 x14ac:dyDescent="0.2">
      <c r="A442" s="17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 x14ac:dyDescent="0.2">
      <c r="A443" s="17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 x14ac:dyDescent="0.2">
      <c r="A444" s="17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 x14ac:dyDescent="0.2">
      <c r="A445" s="17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 x14ac:dyDescent="0.2">
      <c r="A446" s="17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 x14ac:dyDescent="0.2">
      <c r="A447" s="17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 x14ac:dyDescent="0.2">
      <c r="A448" s="17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 x14ac:dyDescent="0.2">
      <c r="A449" s="17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</row>
    <row r="450" spans="1:19" x14ac:dyDescent="0.2">
      <c r="A450" s="17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</row>
    <row r="451" spans="1:19" x14ac:dyDescent="0.2">
      <c r="A451" s="17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</row>
    <row r="452" spans="1:19" x14ac:dyDescent="0.2">
      <c r="A452" s="17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</row>
    <row r="453" spans="1:19" x14ac:dyDescent="0.2">
      <c r="A453" s="17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</row>
    <row r="454" spans="1:19" x14ac:dyDescent="0.2">
      <c r="A454" s="17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</row>
    <row r="455" spans="1:19" x14ac:dyDescent="0.2">
      <c r="A455" s="17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</row>
    <row r="456" spans="1:19" x14ac:dyDescent="0.2">
      <c r="A456" s="17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</row>
    <row r="457" spans="1:19" x14ac:dyDescent="0.2">
      <c r="A457" s="17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 x14ac:dyDescent="0.2">
      <c r="A458" s="17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</row>
    <row r="459" spans="1:19" x14ac:dyDescent="0.2">
      <c r="A459" s="17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</row>
    <row r="460" spans="1:19" x14ac:dyDescent="0.2">
      <c r="A460" s="17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</row>
    <row r="461" spans="1:19" x14ac:dyDescent="0.2">
      <c r="A461" s="17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</row>
    <row r="462" spans="1:19" x14ac:dyDescent="0.2">
      <c r="A462" s="17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</row>
    <row r="463" spans="1:19" x14ac:dyDescent="0.2">
      <c r="A463" s="17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</row>
    <row r="464" spans="1:19" x14ac:dyDescent="0.2">
      <c r="A464" s="17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</row>
    <row r="465" spans="1:19" x14ac:dyDescent="0.2">
      <c r="A465" s="17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</row>
    <row r="466" spans="1:19" x14ac:dyDescent="0.2">
      <c r="A466" s="17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 x14ac:dyDescent="0.2">
      <c r="A467" s="17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</row>
    <row r="468" spans="1:19" x14ac:dyDescent="0.2">
      <c r="A468" s="17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</row>
    <row r="469" spans="1:19" x14ac:dyDescent="0.2">
      <c r="A469" s="17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</row>
    <row r="470" spans="1:19" x14ac:dyDescent="0.2">
      <c r="A470" s="17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</row>
    <row r="471" spans="1:19" x14ac:dyDescent="0.2">
      <c r="A471" s="17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</row>
    <row r="472" spans="1:19" x14ac:dyDescent="0.2">
      <c r="A472" s="17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</row>
    <row r="473" spans="1:19" x14ac:dyDescent="0.2">
      <c r="A473" s="17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</row>
    <row r="474" spans="1:19" x14ac:dyDescent="0.2">
      <c r="A474" s="17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</row>
    <row r="475" spans="1:19" x14ac:dyDescent="0.2">
      <c r="A475" s="17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 x14ac:dyDescent="0.2">
      <c r="A476" s="17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</row>
    <row r="477" spans="1:19" x14ac:dyDescent="0.2">
      <c r="A477" s="17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</row>
    <row r="478" spans="1:19" x14ac:dyDescent="0.2">
      <c r="A478" s="17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</row>
    <row r="479" spans="1:19" x14ac:dyDescent="0.2">
      <c r="A479" s="17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</row>
    <row r="480" spans="1:19" x14ac:dyDescent="0.2">
      <c r="A480" s="17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</row>
    <row r="481" spans="1:19" x14ac:dyDescent="0.2">
      <c r="A481" s="17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</row>
    <row r="482" spans="1:19" x14ac:dyDescent="0.2">
      <c r="A482" s="17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</row>
    <row r="483" spans="1:19" x14ac:dyDescent="0.2">
      <c r="A483" s="17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</row>
    <row r="484" spans="1:19" x14ac:dyDescent="0.2">
      <c r="A484" s="17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 x14ac:dyDescent="0.2">
      <c r="A485" s="17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</row>
    <row r="486" spans="1:19" x14ac:dyDescent="0.2">
      <c r="A486" s="17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</row>
    <row r="487" spans="1:19" x14ac:dyDescent="0.2">
      <c r="A487" s="17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</row>
    <row r="488" spans="1:19" x14ac:dyDescent="0.2">
      <c r="A488" s="17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</row>
    <row r="489" spans="1:19" x14ac:dyDescent="0.2">
      <c r="A489" s="17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</row>
    <row r="490" spans="1:19" x14ac:dyDescent="0.2">
      <c r="A490" s="17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</row>
    <row r="491" spans="1:19" x14ac:dyDescent="0.2">
      <c r="A491" s="17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</row>
    <row r="492" spans="1:19" x14ac:dyDescent="0.2">
      <c r="A492" s="17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</row>
    <row r="493" spans="1:19" x14ac:dyDescent="0.2">
      <c r="A493" s="17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 x14ac:dyDescent="0.2">
      <c r="A494" s="17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</row>
    <row r="495" spans="1:19" x14ac:dyDescent="0.2">
      <c r="A495" s="17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</row>
    <row r="496" spans="1:19" x14ac:dyDescent="0.2">
      <c r="A496" s="17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</row>
    <row r="497" spans="1:19" x14ac:dyDescent="0.2">
      <c r="A497" s="17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</row>
    <row r="498" spans="1:19" x14ac:dyDescent="0.2">
      <c r="A498" s="17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</row>
    <row r="499" spans="1:19" x14ac:dyDescent="0.2">
      <c r="A499" s="17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</row>
    <row r="500" spans="1:19" x14ac:dyDescent="0.2">
      <c r="A500" s="17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</row>
    <row r="501" spans="1:19" x14ac:dyDescent="0.2">
      <c r="A501" s="17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</row>
    <row r="502" spans="1:19" x14ac:dyDescent="0.2">
      <c r="A502" s="17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 x14ac:dyDescent="0.2">
      <c r="A503" s="17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</row>
    <row r="504" spans="1:19" x14ac:dyDescent="0.2">
      <c r="A504" s="17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</row>
    <row r="505" spans="1:19" x14ac:dyDescent="0.2">
      <c r="A505" s="17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</row>
    <row r="506" spans="1:19" x14ac:dyDescent="0.2">
      <c r="A506" s="17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</row>
    <row r="507" spans="1:19" x14ac:dyDescent="0.2">
      <c r="A507" s="17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</row>
    <row r="508" spans="1:19" x14ac:dyDescent="0.2">
      <c r="A508" s="17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</row>
    <row r="509" spans="1:19" x14ac:dyDescent="0.2">
      <c r="A509" s="17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</row>
    <row r="510" spans="1:19" x14ac:dyDescent="0.2">
      <c r="A510" s="17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</row>
    <row r="511" spans="1:19" x14ac:dyDescent="0.2">
      <c r="A511" s="17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 x14ac:dyDescent="0.2">
      <c r="A512" s="17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</row>
    <row r="513" spans="1:19" x14ac:dyDescent="0.2">
      <c r="A513" s="17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</row>
    <row r="514" spans="1:19" x14ac:dyDescent="0.2">
      <c r="A514" s="17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</row>
    <row r="515" spans="1:19" x14ac:dyDescent="0.2">
      <c r="A515" s="17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</row>
    <row r="516" spans="1:19" x14ac:dyDescent="0.2">
      <c r="A516" s="17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</row>
    <row r="517" spans="1:19" x14ac:dyDescent="0.2">
      <c r="A517" s="17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</row>
    <row r="518" spans="1:19" x14ac:dyDescent="0.2">
      <c r="A518" s="17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</row>
    <row r="519" spans="1:19" x14ac:dyDescent="0.2">
      <c r="A519" s="17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</row>
    <row r="520" spans="1:19" x14ac:dyDescent="0.2">
      <c r="A520" s="17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</row>
    <row r="521" spans="1:19" x14ac:dyDescent="0.2">
      <c r="A521" s="17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</row>
    <row r="522" spans="1:19" x14ac:dyDescent="0.2">
      <c r="A522" s="17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 x14ac:dyDescent="0.2">
      <c r="A523" s="17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4" spans="1:19" x14ac:dyDescent="0.2">
      <c r="A524" s="17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</row>
    <row r="525" spans="1:19" x14ac:dyDescent="0.2">
      <c r="A525" s="17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</row>
    <row r="526" spans="1:19" x14ac:dyDescent="0.2">
      <c r="A526" s="17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</row>
    <row r="527" spans="1:19" x14ac:dyDescent="0.2">
      <c r="A527" s="17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</row>
    <row r="528" spans="1:19" x14ac:dyDescent="0.2">
      <c r="A528" s="17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</row>
    <row r="529" spans="1:19" x14ac:dyDescent="0.2">
      <c r="A529" s="17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</row>
    <row r="530" spans="1:19" x14ac:dyDescent="0.2">
      <c r="A530" s="17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</row>
    <row r="531" spans="1:19" x14ac:dyDescent="0.2">
      <c r="A531" s="17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</row>
    <row r="532" spans="1:19" x14ac:dyDescent="0.2">
      <c r="A532" s="17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</row>
    <row r="533" spans="1:19" x14ac:dyDescent="0.2">
      <c r="A533" s="17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</row>
    <row r="534" spans="1:19" x14ac:dyDescent="0.2">
      <c r="A534" s="17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</row>
    <row r="535" spans="1:19" x14ac:dyDescent="0.2">
      <c r="A535" s="17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</row>
    <row r="536" spans="1:19" x14ac:dyDescent="0.2">
      <c r="A536" s="17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</row>
    <row r="537" spans="1:19" x14ac:dyDescent="0.2">
      <c r="A537" s="17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</row>
    <row r="538" spans="1:19" x14ac:dyDescent="0.2">
      <c r="A538" s="17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</row>
    <row r="539" spans="1:19" x14ac:dyDescent="0.2">
      <c r="A539" s="17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</row>
    <row r="540" spans="1:19" x14ac:dyDescent="0.2">
      <c r="A540" s="17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</row>
    <row r="541" spans="1:19" x14ac:dyDescent="0.2">
      <c r="A541" s="17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</row>
    <row r="542" spans="1:19" x14ac:dyDescent="0.2">
      <c r="A542" s="17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</row>
    <row r="543" spans="1:19" x14ac:dyDescent="0.2">
      <c r="A543" s="17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</row>
    <row r="544" spans="1:19" x14ac:dyDescent="0.2">
      <c r="A544" s="17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</row>
    <row r="545" spans="1:19" x14ac:dyDescent="0.2">
      <c r="A545" s="17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</row>
    <row r="546" spans="1:19" x14ac:dyDescent="0.2">
      <c r="A546" s="17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</row>
    <row r="547" spans="1:19" x14ac:dyDescent="0.2">
      <c r="A547" s="17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</row>
    <row r="548" spans="1:19" x14ac:dyDescent="0.2">
      <c r="A548" s="17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</row>
    <row r="549" spans="1:19" x14ac:dyDescent="0.2">
      <c r="A549" s="17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</row>
    <row r="550" spans="1:19" x14ac:dyDescent="0.2">
      <c r="A550" s="17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</row>
    <row r="551" spans="1:19" x14ac:dyDescent="0.2">
      <c r="A551" s="17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</row>
    <row r="552" spans="1:19" x14ac:dyDescent="0.2">
      <c r="A552" s="17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</row>
    <row r="553" spans="1:19" x14ac:dyDescent="0.2">
      <c r="A553" s="17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</row>
    <row r="554" spans="1:19" x14ac:dyDescent="0.2">
      <c r="A554" s="17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</row>
    <row r="555" spans="1:19" x14ac:dyDescent="0.2">
      <c r="A555" s="17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</row>
    <row r="556" spans="1:19" x14ac:dyDescent="0.2">
      <c r="A556" s="17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</row>
    <row r="557" spans="1:19" x14ac:dyDescent="0.2">
      <c r="A557" s="17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</row>
    <row r="558" spans="1:19" x14ac:dyDescent="0.2">
      <c r="A558" s="17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</row>
    <row r="559" spans="1:19" x14ac:dyDescent="0.2">
      <c r="A559" s="17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</row>
    <row r="560" spans="1:19" x14ac:dyDescent="0.2">
      <c r="A560" s="17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</row>
    <row r="561" spans="1:19" x14ac:dyDescent="0.2">
      <c r="A561" s="17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</row>
    <row r="562" spans="1:19" x14ac:dyDescent="0.2">
      <c r="A562" s="17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</row>
    <row r="563" spans="1:19" x14ac:dyDescent="0.2">
      <c r="A563" s="17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</row>
    <row r="564" spans="1:19" x14ac:dyDescent="0.2">
      <c r="A564" s="17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</row>
    <row r="565" spans="1:19" x14ac:dyDescent="0.2">
      <c r="A565" s="17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</row>
    <row r="566" spans="1:19" x14ac:dyDescent="0.2">
      <c r="A566" s="17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</row>
    <row r="567" spans="1:19" x14ac:dyDescent="0.2">
      <c r="A567" s="17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</row>
    <row r="568" spans="1:19" x14ac:dyDescent="0.2">
      <c r="A568" s="17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</row>
    <row r="569" spans="1:19" x14ac:dyDescent="0.2">
      <c r="A569" s="17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</row>
    <row r="570" spans="1:19" x14ac:dyDescent="0.2">
      <c r="A570" s="17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</row>
    <row r="571" spans="1:19" x14ac:dyDescent="0.2">
      <c r="A571" s="17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</row>
    <row r="572" spans="1:19" x14ac:dyDescent="0.2">
      <c r="A572" s="17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</row>
    <row r="573" spans="1:19" x14ac:dyDescent="0.2">
      <c r="A573" s="17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</row>
    <row r="574" spans="1:19" x14ac:dyDescent="0.2">
      <c r="A574" s="17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</row>
    <row r="575" spans="1:19" x14ac:dyDescent="0.2">
      <c r="A575" s="17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</row>
    <row r="576" spans="1:19" x14ac:dyDescent="0.2">
      <c r="A576" s="17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</row>
    <row r="577" spans="1:19" x14ac:dyDescent="0.2">
      <c r="A577" s="17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</row>
    <row r="578" spans="1:19" x14ac:dyDescent="0.2">
      <c r="A578" s="17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</row>
    <row r="579" spans="1:19" x14ac:dyDescent="0.2">
      <c r="A579" s="17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</row>
    <row r="580" spans="1:19" x14ac:dyDescent="0.2">
      <c r="A580" s="17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</row>
    <row r="581" spans="1:19" x14ac:dyDescent="0.2">
      <c r="A581" s="17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</row>
    <row r="582" spans="1:19" x14ac:dyDescent="0.2">
      <c r="A582" s="17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</row>
    <row r="583" spans="1:19" x14ac:dyDescent="0.2">
      <c r="A583" s="17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</row>
    <row r="584" spans="1:19" x14ac:dyDescent="0.2">
      <c r="A584" s="17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</row>
    <row r="585" spans="1:19" x14ac:dyDescent="0.2">
      <c r="A585" s="17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</row>
    <row r="586" spans="1:19" x14ac:dyDescent="0.2">
      <c r="A586" s="17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</row>
    <row r="587" spans="1:19" x14ac:dyDescent="0.2">
      <c r="A587" s="17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</row>
    <row r="588" spans="1:19" x14ac:dyDescent="0.2">
      <c r="A588" s="17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</row>
    <row r="589" spans="1:19" x14ac:dyDescent="0.2">
      <c r="A589" s="17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</row>
    <row r="590" spans="1:19" x14ac:dyDescent="0.2">
      <c r="A590" s="17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</row>
    <row r="591" spans="1:19" x14ac:dyDescent="0.2">
      <c r="A591" s="17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</row>
    <row r="592" spans="1:19" x14ac:dyDescent="0.2">
      <c r="A592" s="17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</row>
    <row r="593" spans="1:19" x14ac:dyDescent="0.2">
      <c r="A593" s="17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</row>
    <row r="594" spans="1:19" x14ac:dyDescent="0.2">
      <c r="A594" s="17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</row>
    <row r="595" spans="1:19" x14ac:dyDescent="0.2">
      <c r="A595" s="17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</row>
    <row r="596" spans="1:19" x14ac:dyDescent="0.2">
      <c r="A596" s="17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</row>
    <row r="597" spans="1:19" x14ac:dyDescent="0.2">
      <c r="A597" s="17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</row>
    <row r="598" spans="1:19" x14ac:dyDescent="0.2">
      <c r="A598" s="17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</row>
    <row r="599" spans="1:19" x14ac:dyDescent="0.2">
      <c r="A599" s="17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</row>
    <row r="600" spans="1:19" x14ac:dyDescent="0.2">
      <c r="A600" s="17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</row>
    <row r="601" spans="1:19" x14ac:dyDescent="0.2">
      <c r="A601" s="17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</row>
    <row r="602" spans="1:19" x14ac:dyDescent="0.2">
      <c r="A602" s="17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</row>
    <row r="603" spans="1:19" x14ac:dyDescent="0.2">
      <c r="A603" s="17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</row>
    <row r="604" spans="1:19" x14ac:dyDescent="0.2">
      <c r="A604" s="17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</row>
    <row r="605" spans="1:19" x14ac:dyDescent="0.2">
      <c r="A605" s="17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</row>
    <row r="606" spans="1:19" x14ac:dyDescent="0.2">
      <c r="A606" s="17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</row>
    <row r="607" spans="1:19" x14ac:dyDescent="0.2">
      <c r="A607" s="17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</row>
    <row r="608" spans="1:19" x14ac:dyDescent="0.2">
      <c r="A608" s="17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</row>
    <row r="609" spans="1:19" x14ac:dyDescent="0.2">
      <c r="A609" s="17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</row>
    <row r="610" spans="1:19" x14ac:dyDescent="0.2">
      <c r="A610" s="17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</row>
    <row r="611" spans="1:19" x14ac:dyDescent="0.2">
      <c r="A611" s="17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</row>
    <row r="612" spans="1:19" x14ac:dyDescent="0.2">
      <c r="A612" s="17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</row>
    <row r="613" spans="1:19" x14ac:dyDescent="0.2">
      <c r="A613" s="17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</row>
    <row r="614" spans="1:19" x14ac:dyDescent="0.2">
      <c r="A614" s="17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</row>
    <row r="615" spans="1:19" x14ac:dyDescent="0.2">
      <c r="A615" s="17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</row>
    <row r="616" spans="1:19" x14ac:dyDescent="0.2">
      <c r="A616" s="17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</row>
    <row r="617" spans="1:19" x14ac:dyDescent="0.2">
      <c r="A617" s="17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</row>
    <row r="618" spans="1:19" x14ac:dyDescent="0.2">
      <c r="A618" s="17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</row>
    <row r="619" spans="1:19" x14ac:dyDescent="0.2">
      <c r="A619" s="17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</row>
    <row r="620" spans="1:19" x14ac:dyDescent="0.2">
      <c r="A620" s="17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</row>
    <row r="621" spans="1:19" x14ac:dyDescent="0.2">
      <c r="A621" s="17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</row>
    <row r="622" spans="1:19" x14ac:dyDescent="0.2">
      <c r="A622" s="17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</row>
    <row r="623" spans="1:19" x14ac:dyDescent="0.2">
      <c r="A623" s="17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</row>
    <row r="624" spans="1:19" x14ac:dyDescent="0.2">
      <c r="A624" s="17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</row>
    <row r="625" spans="1:19" x14ac:dyDescent="0.2">
      <c r="A625" s="17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</row>
    <row r="626" spans="1:19" x14ac:dyDescent="0.2">
      <c r="A626" s="17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</row>
    <row r="627" spans="1:19" x14ac:dyDescent="0.2">
      <c r="A627" s="17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</row>
    <row r="628" spans="1:19" x14ac:dyDescent="0.2">
      <c r="A628" s="17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</row>
    <row r="629" spans="1:19" x14ac:dyDescent="0.2">
      <c r="A629" s="17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</row>
    <row r="630" spans="1:19" x14ac:dyDescent="0.2">
      <c r="A630" s="17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</row>
    <row r="631" spans="1:19" x14ac:dyDescent="0.2">
      <c r="A631" s="17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</row>
    <row r="632" spans="1:19" x14ac:dyDescent="0.2">
      <c r="A632" s="17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</row>
    <row r="633" spans="1:19" x14ac:dyDescent="0.2">
      <c r="A633" s="17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</row>
    <row r="634" spans="1:19" x14ac:dyDescent="0.2">
      <c r="A634" s="17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</row>
    <row r="635" spans="1:19" x14ac:dyDescent="0.2">
      <c r="A635" s="17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</row>
    <row r="636" spans="1:19" x14ac:dyDescent="0.2">
      <c r="A636" s="17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</row>
    <row r="637" spans="1:19" x14ac:dyDescent="0.2">
      <c r="A637" s="17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</row>
    <row r="638" spans="1:19" x14ac:dyDescent="0.2">
      <c r="A638" s="17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</row>
    <row r="639" spans="1:19" x14ac:dyDescent="0.2">
      <c r="A639" s="17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</row>
    <row r="640" spans="1:19" x14ac:dyDescent="0.2">
      <c r="A640" s="17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</row>
    <row r="641" spans="1:19" x14ac:dyDescent="0.2">
      <c r="A641" s="17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</row>
    <row r="642" spans="1:19" x14ac:dyDescent="0.2">
      <c r="A642" s="17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</row>
    <row r="643" spans="1:19" x14ac:dyDescent="0.2">
      <c r="A643" s="17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</row>
    <row r="644" spans="1:19" x14ac:dyDescent="0.2">
      <c r="A644" s="17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</row>
    <row r="645" spans="1:19" x14ac:dyDescent="0.2">
      <c r="A645" s="17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</row>
    <row r="646" spans="1:19" x14ac:dyDescent="0.2">
      <c r="A646" s="17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</row>
    <row r="647" spans="1:19" x14ac:dyDescent="0.2">
      <c r="A647" s="17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</row>
    <row r="648" spans="1:19" x14ac:dyDescent="0.2">
      <c r="A648" s="17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</row>
    <row r="649" spans="1:19" x14ac:dyDescent="0.2">
      <c r="A649" s="17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</row>
    <row r="650" spans="1:19" x14ac:dyDescent="0.2">
      <c r="A650" s="17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</row>
    <row r="651" spans="1:19" x14ac:dyDescent="0.2">
      <c r="A651" s="17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</row>
    <row r="652" spans="1:19" x14ac:dyDescent="0.2">
      <c r="A652" s="17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</row>
    <row r="653" spans="1:19" x14ac:dyDescent="0.2">
      <c r="A653" s="17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</row>
    <row r="654" spans="1:19" x14ac:dyDescent="0.2">
      <c r="A654" s="17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</row>
    <row r="655" spans="1:19" x14ac:dyDescent="0.2">
      <c r="A655" s="17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</row>
    <row r="656" spans="1:19" x14ac:dyDescent="0.2">
      <c r="A656" s="17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</row>
    <row r="657" spans="1:19" x14ac:dyDescent="0.2">
      <c r="A657" s="17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</row>
    <row r="658" spans="1:19" x14ac:dyDescent="0.2">
      <c r="A658" s="17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</row>
    <row r="659" spans="1:19" x14ac:dyDescent="0.2">
      <c r="A659" s="17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</row>
    <row r="660" spans="1:19" x14ac:dyDescent="0.2">
      <c r="A660" s="17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</row>
    <row r="661" spans="1:19" x14ac:dyDescent="0.2">
      <c r="A661" s="17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</row>
    <row r="662" spans="1:19" x14ac:dyDescent="0.2">
      <c r="A662" s="17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</row>
    <row r="663" spans="1:19" x14ac:dyDescent="0.2">
      <c r="A663" s="17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</row>
    <row r="664" spans="1:19" x14ac:dyDescent="0.2">
      <c r="A664" s="17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</row>
    <row r="665" spans="1:19" x14ac:dyDescent="0.2">
      <c r="A665" s="17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</row>
    <row r="666" spans="1:19" x14ac:dyDescent="0.2">
      <c r="A666" s="17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</row>
    <row r="667" spans="1:19" x14ac:dyDescent="0.2">
      <c r="A667" s="17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</row>
    <row r="668" spans="1:19" x14ac:dyDescent="0.2">
      <c r="A668" s="17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</row>
    <row r="669" spans="1:19" x14ac:dyDescent="0.2">
      <c r="A669" s="17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</row>
    <row r="670" spans="1:19" x14ac:dyDescent="0.2">
      <c r="A670" s="17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</row>
    <row r="671" spans="1:19" x14ac:dyDescent="0.2">
      <c r="A671" s="17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</row>
    <row r="672" spans="1:19" x14ac:dyDescent="0.2">
      <c r="A672" s="17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</row>
    <row r="673" spans="1:19" x14ac:dyDescent="0.2">
      <c r="A673" s="17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</row>
    <row r="674" spans="1:19" x14ac:dyDescent="0.2">
      <c r="A674" s="17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</row>
    <row r="675" spans="1:19" x14ac:dyDescent="0.2">
      <c r="A675" s="17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</row>
    <row r="676" spans="1:19" x14ac:dyDescent="0.2">
      <c r="A676" s="17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</row>
    <row r="677" spans="1:19" x14ac:dyDescent="0.2">
      <c r="A677" s="17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</row>
    <row r="678" spans="1:19" x14ac:dyDescent="0.2">
      <c r="A678" s="17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</row>
    <row r="679" spans="1:19" x14ac:dyDescent="0.2">
      <c r="A679" s="17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</row>
    <row r="680" spans="1:19" x14ac:dyDescent="0.2">
      <c r="A680" s="17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</row>
    <row r="681" spans="1:19" x14ac:dyDescent="0.2">
      <c r="A681" s="17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</row>
    <row r="682" spans="1:19" x14ac:dyDescent="0.2">
      <c r="A682" s="17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</row>
    <row r="683" spans="1:19" x14ac:dyDescent="0.2">
      <c r="A683" s="17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</row>
    <row r="684" spans="1:19" x14ac:dyDescent="0.2">
      <c r="A684" s="17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</row>
    <row r="685" spans="1:19" x14ac:dyDescent="0.2">
      <c r="A685" s="17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</row>
    <row r="686" spans="1:19" x14ac:dyDescent="0.2">
      <c r="A686" s="17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</row>
    <row r="687" spans="1:19" x14ac:dyDescent="0.2">
      <c r="A687" s="17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</row>
    <row r="688" spans="1:19" x14ac:dyDescent="0.2">
      <c r="A688" s="17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</row>
    <row r="689" spans="1:19" x14ac:dyDescent="0.2">
      <c r="A689" s="17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</row>
    <row r="690" spans="1:19" x14ac:dyDescent="0.2">
      <c r="A690" s="17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</row>
    <row r="691" spans="1:19" x14ac:dyDescent="0.2">
      <c r="A691" s="17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</row>
    <row r="692" spans="1:19" x14ac:dyDescent="0.2">
      <c r="A692" s="17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</row>
    <row r="693" spans="1:19" x14ac:dyDescent="0.2">
      <c r="A693" s="17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</row>
    <row r="694" spans="1:19" x14ac:dyDescent="0.2">
      <c r="A694" s="17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</row>
    <row r="695" spans="1:19" x14ac:dyDescent="0.2">
      <c r="A695" s="17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</row>
    <row r="696" spans="1:19" x14ac:dyDescent="0.2">
      <c r="A696" s="17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</row>
    <row r="697" spans="1:19" x14ac:dyDescent="0.2">
      <c r="A697" s="17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</row>
    <row r="698" spans="1:19" x14ac:dyDescent="0.2">
      <c r="A698" s="17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</row>
    <row r="699" spans="1:19" x14ac:dyDescent="0.2">
      <c r="A699" s="17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</row>
    <row r="700" spans="1:19" x14ac:dyDescent="0.2">
      <c r="A700" s="17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</row>
    <row r="701" spans="1:19" x14ac:dyDescent="0.2">
      <c r="A701" s="17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</row>
    <row r="702" spans="1:19" x14ac:dyDescent="0.2">
      <c r="A702" s="17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</row>
    <row r="703" spans="1:19" x14ac:dyDescent="0.2">
      <c r="A703" s="17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</row>
    <row r="704" spans="1:19" x14ac:dyDescent="0.2">
      <c r="A704" s="17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</row>
    <row r="705" spans="1:19" x14ac:dyDescent="0.2">
      <c r="A705" s="17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</row>
    <row r="706" spans="1:19" x14ac:dyDescent="0.2">
      <c r="A706" s="17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</row>
    <row r="707" spans="1:19" x14ac:dyDescent="0.2">
      <c r="A707" s="17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</row>
    <row r="708" spans="1:19" x14ac:dyDescent="0.2">
      <c r="A708" s="17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</row>
    <row r="709" spans="1:19" x14ac:dyDescent="0.2">
      <c r="A709" s="17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</row>
    <row r="710" spans="1:19" x14ac:dyDescent="0.2">
      <c r="A710" s="17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</row>
    <row r="711" spans="1:19" x14ac:dyDescent="0.2">
      <c r="A711" s="17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</row>
    <row r="712" spans="1:19" x14ac:dyDescent="0.2">
      <c r="A712" s="17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</row>
    <row r="713" spans="1:19" x14ac:dyDescent="0.2">
      <c r="A713" s="17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</row>
    <row r="714" spans="1:19" x14ac:dyDescent="0.2">
      <c r="A714" s="17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</row>
    <row r="715" spans="1:19" x14ac:dyDescent="0.2">
      <c r="A715" s="17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</row>
    <row r="716" spans="1:19" x14ac:dyDescent="0.2">
      <c r="A716" s="17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</row>
    <row r="717" spans="1:19" x14ac:dyDescent="0.2">
      <c r="A717" s="17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</row>
    <row r="718" spans="1:19" x14ac:dyDescent="0.2">
      <c r="A718" s="17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</row>
    <row r="719" spans="1:19" x14ac:dyDescent="0.2">
      <c r="A719" s="17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</row>
    <row r="720" spans="1:19" x14ac:dyDescent="0.2">
      <c r="A720" s="17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</row>
    <row r="721" spans="1:19" x14ac:dyDescent="0.2">
      <c r="A721" s="17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</row>
    <row r="722" spans="1:19" x14ac:dyDescent="0.2">
      <c r="A722" s="17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</row>
    <row r="723" spans="1:19" x14ac:dyDescent="0.2">
      <c r="A723" s="17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</row>
    <row r="724" spans="1:19" x14ac:dyDescent="0.2">
      <c r="A724" s="17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</row>
    <row r="725" spans="1:19" x14ac:dyDescent="0.2">
      <c r="A725" s="17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</row>
    <row r="726" spans="1:19" x14ac:dyDescent="0.2">
      <c r="A726" s="17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</row>
    <row r="727" spans="1:19" x14ac:dyDescent="0.2">
      <c r="A727" s="17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</row>
    <row r="728" spans="1:19" x14ac:dyDescent="0.2">
      <c r="A728" s="17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</row>
    <row r="729" spans="1:19" x14ac:dyDescent="0.2">
      <c r="A729" s="17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</row>
    <row r="730" spans="1:19" x14ac:dyDescent="0.2">
      <c r="A730" s="17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</row>
    <row r="731" spans="1:19" x14ac:dyDescent="0.2">
      <c r="A731" s="17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</row>
    <row r="732" spans="1:19" x14ac:dyDescent="0.2">
      <c r="A732" s="17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</row>
    <row r="733" spans="1:19" x14ac:dyDescent="0.2">
      <c r="A733" s="17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</row>
    <row r="734" spans="1:19" x14ac:dyDescent="0.2">
      <c r="A734" s="17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</row>
    <row r="735" spans="1:19" x14ac:dyDescent="0.2">
      <c r="A735" s="17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</row>
    <row r="736" spans="1:19" x14ac:dyDescent="0.2">
      <c r="A736" s="17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</row>
    <row r="737" spans="1:19" x14ac:dyDescent="0.2">
      <c r="A737" s="17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</row>
    <row r="738" spans="1:19" x14ac:dyDescent="0.2">
      <c r="A738" s="17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</row>
    <row r="739" spans="1:19" x14ac:dyDescent="0.2">
      <c r="A739" s="17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</row>
    <row r="740" spans="1:19" x14ac:dyDescent="0.2">
      <c r="A740" s="17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</row>
    <row r="741" spans="1:19" x14ac:dyDescent="0.2">
      <c r="A741" s="17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</row>
    <row r="742" spans="1:19" x14ac:dyDescent="0.2">
      <c r="A742" s="17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</row>
    <row r="743" spans="1:19" x14ac:dyDescent="0.2">
      <c r="A743" s="17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</row>
    <row r="744" spans="1:19" x14ac:dyDescent="0.2">
      <c r="A744" s="17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</row>
    <row r="745" spans="1:19" x14ac:dyDescent="0.2">
      <c r="A745" s="17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</row>
    <row r="746" spans="1:19" x14ac:dyDescent="0.2">
      <c r="A746" s="17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</row>
    <row r="747" spans="1:19" x14ac:dyDescent="0.2">
      <c r="A747" s="17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</row>
    <row r="748" spans="1:19" x14ac:dyDescent="0.2">
      <c r="A748" s="17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</row>
    <row r="749" spans="1:19" x14ac:dyDescent="0.2">
      <c r="A749" s="17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</row>
    <row r="750" spans="1:19" x14ac:dyDescent="0.2">
      <c r="A750" s="17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</row>
    <row r="751" spans="1:19" x14ac:dyDescent="0.2">
      <c r="A751" s="17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</row>
    <row r="752" spans="1:19" x14ac:dyDescent="0.2">
      <c r="A752" s="17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</row>
    <row r="753" spans="1:19" x14ac:dyDescent="0.2">
      <c r="A753" s="17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</row>
    <row r="754" spans="1:19" x14ac:dyDescent="0.2">
      <c r="A754" s="17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</row>
    <row r="755" spans="1:19" x14ac:dyDescent="0.2">
      <c r="A755" s="17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</row>
    <row r="756" spans="1:19" x14ac:dyDescent="0.2">
      <c r="A756" s="17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</row>
    <row r="757" spans="1:19" x14ac:dyDescent="0.2">
      <c r="A757" s="17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</row>
    <row r="758" spans="1:19" x14ac:dyDescent="0.2">
      <c r="A758" s="17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</row>
    <row r="759" spans="1:19" x14ac:dyDescent="0.2">
      <c r="A759" s="17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</row>
    <row r="760" spans="1:19" x14ac:dyDescent="0.2">
      <c r="A760" s="17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</row>
    <row r="761" spans="1:19" x14ac:dyDescent="0.2">
      <c r="A761" s="17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</row>
    <row r="762" spans="1:19" x14ac:dyDescent="0.2">
      <c r="A762" s="17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</row>
    <row r="763" spans="1:19" x14ac:dyDescent="0.2">
      <c r="A763" s="17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</row>
    <row r="764" spans="1:19" x14ac:dyDescent="0.2">
      <c r="A764" s="17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</row>
    <row r="765" spans="1:19" x14ac:dyDescent="0.2">
      <c r="A765" s="17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</row>
    <row r="766" spans="1:19" x14ac:dyDescent="0.2">
      <c r="A766" s="17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</row>
    <row r="767" spans="1:19" x14ac:dyDescent="0.2">
      <c r="A767" s="17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</row>
    <row r="768" spans="1:19" x14ac:dyDescent="0.2">
      <c r="A768" s="17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</row>
    <row r="769" spans="1:19" x14ac:dyDescent="0.2">
      <c r="A769" s="17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</row>
    <row r="770" spans="1:19" x14ac:dyDescent="0.2">
      <c r="A770" s="17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</row>
    <row r="771" spans="1:19" x14ac:dyDescent="0.2">
      <c r="A771" s="17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</row>
    <row r="772" spans="1:19" x14ac:dyDescent="0.2">
      <c r="A772" s="17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</row>
    <row r="773" spans="1:19" x14ac:dyDescent="0.2">
      <c r="A773" s="17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</row>
    <row r="774" spans="1:19" x14ac:dyDescent="0.2">
      <c r="A774" s="17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</row>
    <row r="775" spans="1:19" x14ac:dyDescent="0.2">
      <c r="A775" s="17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</row>
    <row r="776" spans="1:19" x14ac:dyDescent="0.2">
      <c r="A776" s="17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</row>
    <row r="777" spans="1:19" x14ac:dyDescent="0.2">
      <c r="A777" s="17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</row>
    <row r="778" spans="1:19" x14ac:dyDescent="0.2">
      <c r="A778" s="17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</row>
    <row r="779" spans="1:19" x14ac:dyDescent="0.2">
      <c r="A779" s="17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</row>
    <row r="780" spans="1:19" x14ac:dyDescent="0.2">
      <c r="A780" s="17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</row>
    <row r="781" spans="1:19" x14ac:dyDescent="0.2">
      <c r="A781" s="17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</row>
    <row r="782" spans="1:19" x14ac:dyDescent="0.2">
      <c r="A782" s="17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</row>
    <row r="783" spans="1:19" x14ac:dyDescent="0.2">
      <c r="A783" s="17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</row>
    <row r="784" spans="1:19" x14ac:dyDescent="0.2">
      <c r="A784" s="17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</row>
    <row r="785" spans="1:19" x14ac:dyDescent="0.2">
      <c r="A785" s="17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</row>
    <row r="786" spans="1:19" x14ac:dyDescent="0.2">
      <c r="A786" s="17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</row>
    <row r="787" spans="1:19" x14ac:dyDescent="0.2">
      <c r="A787" s="17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</row>
    <row r="788" spans="1:19" x14ac:dyDescent="0.2">
      <c r="A788" s="17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</row>
    <row r="789" spans="1:19" x14ac:dyDescent="0.2">
      <c r="A789" s="17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</row>
    <row r="790" spans="1:19" x14ac:dyDescent="0.2">
      <c r="A790" s="17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</row>
    <row r="791" spans="1:19" x14ac:dyDescent="0.2">
      <c r="A791" s="17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</row>
    <row r="792" spans="1:19" x14ac:dyDescent="0.2">
      <c r="A792" s="17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</row>
    <row r="793" spans="1:19" x14ac:dyDescent="0.2">
      <c r="A793" s="17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</row>
    <row r="794" spans="1:19" x14ac:dyDescent="0.2">
      <c r="A794" s="17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</row>
    <row r="795" spans="1:19" x14ac:dyDescent="0.2">
      <c r="A795" s="17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</row>
    <row r="796" spans="1:19" x14ac:dyDescent="0.2">
      <c r="A796" s="17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</row>
    <row r="797" spans="1:19" x14ac:dyDescent="0.2">
      <c r="A797" s="17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</row>
    <row r="798" spans="1:19" x14ac:dyDescent="0.2">
      <c r="A798" s="17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</row>
    <row r="799" spans="1:19" x14ac:dyDescent="0.2">
      <c r="A799" s="17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</row>
    <row r="800" spans="1:19" x14ac:dyDescent="0.2">
      <c r="A800" s="17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</row>
    <row r="801" spans="1:19" x14ac:dyDescent="0.2">
      <c r="A801" s="17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</row>
    <row r="802" spans="1:19" x14ac:dyDescent="0.2">
      <c r="A802" s="17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</row>
    <row r="803" spans="1:19" x14ac:dyDescent="0.2">
      <c r="A803" s="17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</row>
    <row r="804" spans="1:19" x14ac:dyDescent="0.2">
      <c r="A804" s="17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</row>
    <row r="805" spans="1:19" x14ac:dyDescent="0.2">
      <c r="A805" s="17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</row>
    <row r="806" spans="1:19" x14ac:dyDescent="0.2">
      <c r="A806" s="17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</row>
    <row r="807" spans="1:19" x14ac:dyDescent="0.2">
      <c r="A807" s="17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</row>
    <row r="808" spans="1:19" x14ac:dyDescent="0.2">
      <c r="A808" s="17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</row>
    <row r="809" spans="1:19" x14ac:dyDescent="0.2">
      <c r="A809" s="17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</row>
    <row r="810" spans="1:19" x14ac:dyDescent="0.2">
      <c r="A810" s="17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</row>
    <row r="811" spans="1:19" x14ac:dyDescent="0.2">
      <c r="A811" s="17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</row>
    <row r="812" spans="1:19" x14ac:dyDescent="0.2">
      <c r="A812" s="17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</row>
    <row r="813" spans="1:19" x14ac:dyDescent="0.2">
      <c r="A813" s="17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</row>
    <row r="814" spans="1:19" x14ac:dyDescent="0.2">
      <c r="A814" s="17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</row>
    <row r="815" spans="1:19" x14ac:dyDescent="0.2">
      <c r="A815" s="17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</row>
    <row r="816" spans="1:19" x14ac:dyDescent="0.2">
      <c r="A816" s="17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</row>
    <row r="817" spans="1:19" x14ac:dyDescent="0.2">
      <c r="A817" s="17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</row>
    <row r="818" spans="1:19" x14ac:dyDescent="0.2">
      <c r="A818" s="17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</row>
    <row r="819" spans="1:19" x14ac:dyDescent="0.2">
      <c r="A819" s="17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</row>
    <row r="820" spans="1:19" x14ac:dyDescent="0.2">
      <c r="A820" s="17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</row>
    <row r="821" spans="1:19" x14ac:dyDescent="0.2">
      <c r="A821" s="17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</row>
    <row r="822" spans="1:19" x14ac:dyDescent="0.2">
      <c r="A822" s="17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</row>
    <row r="823" spans="1:19" x14ac:dyDescent="0.2">
      <c r="A823" s="17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</row>
    <row r="824" spans="1:19" x14ac:dyDescent="0.2">
      <c r="A824" s="17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</row>
    <row r="825" spans="1:19" x14ac:dyDescent="0.2">
      <c r="A825" s="17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</row>
    <row r="826" spans="1:19" x14ac:dyDescent="0.2">
      <c r="A826" s="17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</row>
    <row r="827" spans="1:19" x14ac:dyDescent="0.2">
      <c r="A827" s="17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</row>
    <row r="828" spans="1:19" x14ac:dyDescent="0.2">
      <c r="A828" s="17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</row>
    <row r="829" spans="1:19" x14ac:dyDescent="0.2">
      <c r="A829" s="17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</row>
    <row r="830" spans="1:19" x14ac:dyDescent="0.2">
      <c r="A830" s="17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</row>
    <row r="831" spans="1:19" x14ac:dyDescent="0.2">
      <c r="A831" s="17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</row>
    <row r="832" spans="1:19" x14ac:dyDescent="0.2">
      <c r="A832" s="17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</row>
    <row r="833" spans="1:19" x14ac:dyDescent="0.2">
      <c r="A833" s="17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</row>
    <row r="834" spans="1:19" x14ac:dyDescent="0.2">
      <c r="A834" s="17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</row>
    <row r="835" spans="1:19" x14ac:dyDescent="0.2">
      <c r="A835" s="17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</row>
    <row r="836" spans="1:19" x14ac:dyDescent="0.2">
      <c r="A836" s="17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</row>
    <row r="837" spans="1:19" x14ac:dyDescent="0.2">
      <c r="A837" s="17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</row>
    <row r="838" spans="1:19" x14ac:dyDescent="0.2">
      <c r="A838" s="17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</row>
    <row r="839" spans="1:19" x14ac:dyDescent="0.2">
      <c r="A839" s="17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</row>
    <row r="840" spans="1:19" x14ac:dyDescent="0.2">
      <c r="A840" s="17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</row>
    <row r="841" spans="1:19" x14ac:dyDescent="0.2">
      <c r="A841" s="17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</row>
    <row r="842" spans="1:19" x14ac:dyDescent="0.2">
      <c r="A842" s="17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</row>
    <row r="843" spans="1:19" x14ac:dyDescent="0.2">
      <c r="A843" s="17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</row>
    <row r="844" spans="1:19" x14ac:dyDescent="0.2">
      <c r="A844" s="17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</row>
    <row r="845" spans="1:19" x14ac:dyDescent="0.2">
      <c r="A845" s="17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</row>
    <row r="846" spans="1:19" x14ac:dyDescent="0.2">
      <c r="A846" s="17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</row>
    <row r="847" spans="1:19" x14ac:dyDescent="0.2">
      <c r="A847" s="17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</row>
    <row r="848" spans="1:19" x14ac:dyDescent="0.2">
      <c r="A848" s="17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</row>
    <row r="849" spans="1:19" x14ac:dyDescent="0.2">
      <c r="A849" s="17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</row>
    <row r="850" spans="1:19" x14ac:dyDescent="0.2">
      <c r="A850" s="17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</row>
    <row r="851" spans="1:19" x14ac:dyDescent="0.2">
      <c r="A851" s="17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</row>
    <row r="852" spans="1:19" x14ac:dyDescent="0.2">
      <c r="A852" s="17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</row>
    <row r="853" spans="1:19" x14ac:dyDescent="0.2">
      <c r="A853" s="17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</row>
    <row r="854" spans="1:19" x14ac:dyDescent="0.2">
      <c r="A854" s="17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</row>
    <row r="855" spans="1:19" x14ac:dyDescent="0.2">
      <c r="A855" s="17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</row>
    <row r="856" spans="1:19" x14ac:dyDescent="0.2">
      <c r="A856" s="17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</row>
    <row r="857" spans="1:19" x14ac:dyDescent="0.2">
      <c r="A857" s="17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</row>
    <row r="858" spans="1:19" x14ac:dyDescent="0.2">
      <c r="A858" s="17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</row>
    <row r="859" spans="1:19" x14ac:dyDescent="0.2">
      <c r="A859" s="17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</row>
    <row r="860" spans="1:19" x14ac:dyDescent="0.2">
      <c r="A860" s="17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</row>
    <row r="861" spans="1:19" x14ac:dyDescent="0.2">
      <c r="A861" s="17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</row>
    <row r="862" spans="1:19" x14ac:dyDescent="0.2">
      <c r="A862" s="17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</row>
    <row r="863" spans="1:19" x14ac:dyDescent="0.2">
      <c r="A863" s="17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</row>
    <row r="864" spans="1:19" x14ac:dyDescent="0.2">
      <c r="A864" s="17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</row>
    <row r="865" spans="1:19" x14ac:dyDescent="0.2">
      <c r="A865" s="17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</row>
    <row r="866" spans="1:19" x14ac:dyDescent="0.2">
      <c r="A866" s="17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</row>
    <row r="867" spans="1:19" x14ac:dyDescent="0.2">
      <c r="A867" s="17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</row>
    <row r="868" spans="1:19" x14ac:dyDescent="0.2">
      <c r="A868" s="17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</row>
    <row r="869" spans="1:19" x14ac:dyDescent="0.2">
      <c r="A869" s="17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</row>
    <row r="870" spans="1:19" x14ac:dyDescent="0.2">
      <c r="A870" s="17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</row>
    <row r="871" spans="1:19" x14ac:dyDescent="0.2">
      <c r="A871" s="17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</row>
    <row r="872" spans="1:19" x14ac:dyDescent="0.2">
      <c r="A872" s="17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</row>
    <row r="873" spans="1:19" x14ac:dyDescent="0.2">
      <c r="A873" s="17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</row>
    <row r="874" spans="1:19" x14ac:dyDescent="0.2">
      <c r="A874" s="17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</row>
    <row r="875" spans="1:19" x14ac:dyDescent="0.2">
      <c r="A875" s="17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</row>
    <row r="876" spans="1:19" x14ac:dyDescent="0.2">
      <c r="A876" s="17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</row>
    <row r="877" spans="1:19" x14ac:dyDescent="0.2">
      <c r="A877" s="17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</row>
    <row r="878" spans="1:19" x14ac:dyDescent="0.2">
      <c r="A878" s="17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</row>
    <row r="879" spans="1:19" x14ac:dyDescent="0.2">
      <c r="A879" s="17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</row>
    <row r="880" spans="1:19" x14ac:dyDescent="0.2">
      <c r="A880" s="17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</row>
    <row r="881" spans="1:19" x14ac:dyDescent="0.2">
      <c r="A881" s="17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</row>
    <row r="882" spans="1:19" x14ac:dyDescent="0.2">
      <c r="A882" s="17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</row>
    <row r="883" spans="1:19" x14ac:dyDescent="0.2">
      <c r="A883" s="17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</row>
    <row r="884" spans="1:19" x14ac:dyDescent="0.2">
      <c r="A884" s="17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</row>
    <row r="885" spans="1:19" x14ac:dyDescent="0.2">
      <c r="A885" s="17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</row>
    <row r="886" spans="1:19" x14ac:dyDescent="0.2">
      <c r="A886" s="17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</row>
    <row r="887" spans="1:19" x14ac:dyDescent="0.2">
      <c r="A887" s="17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</row>
    <row r="888" spans="1:19" x14ac:dyDescent="0.2">
      <c r="A888" s="17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</row>
    <row r="889" spans="1:19" x14ac:dyDescent="0.2">
      <c r="A889" s="17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</row>
    <row r="890" spans="1:19" x14ac:dyDescent="0.2">
      <c r="A890" s="17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</row>
    <row r="891" spans="1:19" x14ac:dyDescent="0.2">
      <c r="A891" s="17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</row>
    <row r="892" spans="1:19" x14ac:dyDescent="0.2">
      <c r="A892" s="17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</row>
    <row r="893" spans="1:19" x14ac:dyDescent="0.2">
      <c r="A893" s="17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</row>
    <row r="894" spans="1:19" x14ac:dyDescent="0.2">
      <c r="A894" s="17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</row>
    <row r="895" spans="1:19" x14ac:dyDescent="0.2">
      <c r="A895" s="17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</row>
    <row r="896" spans="1:19" x14ac:dyDescent="0.2">
      <c r="A896" s="17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</row>
    <row r="897" spans="1:19" x14ac:dyDescent="0.2">
      <c r="A897" s="17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</row>
    <row r="898" spans="1:19" x14ac:dyDescent="0.2">
      <c r="A898" s="17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</row>
    <row r="899" spans="1:19" x14ac:dyDescent="0.2">
      <c r="A899" s="17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</row>
    <row r="900" spans="1:19" x14ac:dyDescent="0.2">
      <c r="A900" s="17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</row>
    <row r="901" spans="1:19" x14ac:dyDescent="0.2">
      <c r="A901" s="17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</row>
    <row r="902" spans="1:19" x14ac:dyDescent="0.2">
      <c r="A902" s="17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</row>
    <row r="903" spans="1:19" x14ac:dyDescent="0.2">
      <c r="A903" s="17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</row>
    <row r="904" spans="1:19" x14ac:dyDescent="0.2">
      <c r="A904" s="17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</row>
    <row r="905" spans="1:19" x14ac:dyDescent="0.2">
      <c r="A905" s="17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</row>
    <row r="906" spans="1:19" x14ac:dyDescent="0.2">
      <c r="A906" s="17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</row>
    <row r="907" spans="1:19" x14ac:dyDescent="0.2">
      <c r="A907" s="17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</row>
    <row r="908" spans="1:19" x14ac:dyDescent="0.2">
      <c r="A908" s="17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</row>
    <row r="909" spans="1:19" x14ac:dyDescent="0.2">
      <c r="A909" s="17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</row>
    <row r="910" spans="1:19" x14ac:dyDescent="0.2">
      <c r="A910" s="17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</row>
    <row r="911" spans="1:19" x14ac:dyDescent="0.2">
      <c r="A911" s="17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</row>
    <row r="912" spans="1:19" x14ac:dyDescent="0.2">
      <c r="A912" s="17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</row>
    <row r="913" spans="1:19" x14ac:dyDescent="0.2">
      <c r="A913" s="17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</row>
    <row r="914" spans="1:19" x14ac:dyDescent="0.2">
      <c r="A914" s="17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</row>
    <row r="915" spans="1:19" x14ac:dyDescent="0.2">
      <c r="A915" s="17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</row>
    <row r="916" spans="1:19" x14ac:dyDescent="0.2">
      <c r="A916" s="17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</row>
    <row r="917" spans="1:19" x14ac:dyDescent="0.2">
      <c r="A917" s="17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</row>
    <row r="918" spans="1:19" x14ac:dyDescent="0.2">
      <c r="A918" s="17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</row>
    <row r="919" spans="1:19" x14ac:dyDescent="0.2">
      <c r="A919" s="17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7"/>
    </row>
    <row r="920" spans="1:19" x14ac:dyDescent="0.2">
      <c r="A920" s="17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7"/>
    </row>
    <row r="921" spans="1:19" x14ac:dyDescent="0.2">
      <c r="A921" s="17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7"/>
    </row>
    <row r="922" spans="1:19" x14ac:dyDescent="0.2">
      <c r="A922" s="17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7"/>
    </row>
    <row r="923" spans="1:19" x14ac:dyDescent="0.2">
      <c r="A923" s="17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7"/>
    </row>
    <row r="924" spans="1:19" x14ac:dyDescent="0.2">
      <c r="A924" s="17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7"/>
    </row>
    <row r="925" spans="1:19" x14ac:dyDescent="0.2">
      <c r="A925" s="17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7"/>
    </row>
    <row r="926" spans="1:19" x14ac:dyDescent="0.2">
      <c r="A926" s="17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7"/>
    </row>
    <row r="927" spans="1:19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</row>
    <row r="928" spans="1:19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</row>
    <row r="929" spans="1:19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</row>
    <row r="930" spans="1:19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</row>
    <row r="931" spans="1:19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</row>
    <row r="932" spans="1:19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</row>
    <row r="933" spans="1:19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</row>
    <row r="934" spans="1:19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</row>
    <row r="935" spans="1:19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</row>
    <row r="936" spans="1:19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</row>
    <row r="937" spans="1:19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</row>
    <row r="938" spans="1:19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</row>
    <row r="939" spans="1:19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</row>
    <row r="940" spans="1:19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</row>
    <row r="941" spans="1:19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</row>
    <row r="942" spans="1:19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</row>
    <row r="943" spans="1:19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</row>
    <row r="944" spans="1:19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</row>
    <row r="945" spans="1:19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</row>
    <row r="946" spans="1:19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</row>
    <row r="947" spans="1:19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</row>
    <row r="948" spans="1:19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</row>
    <row r="949" spans="1:19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</row>
    <row r="950" spans="1:19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</row>
    <row r="951" spans="1:19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</row>
    <row r="952" spans="1:19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</row>
    <row r="953" spans="1:19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</row>
    <row r="954" spans="1:19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</row>
    <row r="955" spans="1:19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</row>
    <row r="956" spans="1:19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</row>
    <row r="957" spans="1:19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</row>
    <row r="958" spans="1:19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</row>
    <row r="959" spans="1:19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</row>
    <row r="960" spans="1:19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</row>
    <row r="961" spans="1:19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</row>
    <row r="962" spans="1:19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</row>
    <row r="963" spans="1:19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</row>
    <row r="964" spans="1:19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</row>
    <row r="965" spans="1:19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</row>
    <row r="966" spans="1:19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</row>
    <row r="967" spans="1:19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</row>
    <row r="968" spans="1:19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</row>
    <row r="969" spans="1:19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</row>
    <row r="970" spans="1:19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</row>
    <row r="971" spans="1:19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</row>
    <row r="972" spans="1:19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</row>
    <row r="973" spans="1:19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</row>
    <row r="974" spans="1:19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</row>
    <row r="975" spans="1:19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</row>
    <row r="976" spans="1:19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</row>
    <row r="977" spans="1:19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</row>
    <row r="978" spans="1:19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</row>
    <row r="979" spans="1:19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</row>
    <row r="980" spans="1:19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</row>
    <row r="981" spans="1:19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</row>
    <row r="982" spans="1:19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</row>
    <row r="983" spans="1:19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</row>
    <row r="984" spans="1:19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</row>
    <row r="985" spans="1:19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</row>
    <row r="986" spans="1:19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</row>
    <row r="987" spans="1:19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</row>
    <row r="988" spans="1:19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</row>
    <row r="989" spans="1:19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</row>
    <row r="990" spans="1:19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</row>
    <row r="991" spans="1:19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</row>
    <row r="992" spans="1:19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</row>
    <row r="993" spans="1:19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</row>
    <row r="994" spans="1:19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</row>
    <row r="995" spans="1:19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</row>
    <row r="996" spans="1:19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</row>
    <row r="997" spans="1:19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</row>
    <row r="998" spans="1:19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</row>
    <row r="999" spans="1:19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</row>
    <row r="1000" spans="1:19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</row>
    <row r="1001" spans="1:19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</row>
    <row r="1002" spans="1:19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</row>
    <row r="1003" spans="1:19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</row>
    <row r="1004" spans="1:19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</row>
    <row r="1005" spans="1:19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</row>
    <row r="1006" spans="1:19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</row>
    <row r="1007" spans="1:19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</row>
    <row r="1008" spans="1:19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</row>
    <row r="1009" spans="1:19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</row>
    <row r="1010" spans="1:19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</row>
    <row r="1011" spans="1:19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</row>
    <row r="1012" spans="1:19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</row>
    <row r="1013" spans="1:19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</row>
    <row r="1014" spans="1:19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</row>
    <row r="1015" spans="1:19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</row>
    <row r="1016" spans="1:19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</row>
    <row r="1017" spans="1:19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</row>
    <row r="1018" spans="1:19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</row>
    <row r="1019" spans="1:19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</row>
    <row r="1020" spans="1:19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</row>
    <row r="1021" spans="1:19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</row>
    <row r="1022" spans="1:19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</row>
    <row r="1023" spans="1:19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</row>
    <row r="1024" spans="1:19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</row>
    <row r="1025" spans="1:19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</row>
    <row r="1026" spans="1:19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</row>
    <row r="1027" spans="1:19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</row>
    <row r="1028" spans="1:19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</row>
    <row r="1029" spans="1:19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</row>
    <row r="1030" spans="1:19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</row>
    <row r="1031" spans="1:19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</row>
    <row r="1032" spans="1:19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</row>
    <row r="1033" spans="1:19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</row>
    <row r="1034" spans="1:19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</row>
    <row r="1035" spans="1:19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</row>
    <row r="1036" spans="1:19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</row>
    <row r="1037" spans="1:19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</row>
    <row r="1038" spans="1:19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</row>
    <row r="1039" spans="1:19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</row>
    <row r="1040" spans="1:19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</row>
    <row r="1041" spans="1:19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</row>
    <row r="1042" spans="1:19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</row>
    <row r="1043" spans="1:19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</row>
    <row r="1044" spans="1:19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</row>
    <row r="1045" spans="1:19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</row>
    <row r="1046" spans="1:19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</row>
    <row r="1047" spans="1:19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</row>
    <row r="1048" spans="1:19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</row>
    <row r="1049" spans="1:19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</row>
    <row r="1050" spans="1:19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</row>
    <row r="1051" spans="1:19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</row>
    <row r="1052" spans="1:19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</row>
    <row r="1053" spans="1:19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</row>
    <row r="1054" spans="1:19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</row>
    <row r="1055" spans="1:19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</row>
    <row r="1056" spans="1:19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</row>
    <row r="1057" spans="1:19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</row>
    <row r="1058" spans="1:19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</row>
    <row r="1059" spans="1:19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</row>
    <row r="1060" spans="1:19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</row>
    <row r="1061" spans="1:19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</row>
    <row r="1062" spans="1:19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</row>
    <row r="1063" spans="1:19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</row>
    <row r="1064" spans="1:19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</row>
    <row r="1065" spans="1:19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</row>
    <row r="1066" spans="1:19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</row>
    <row r="1067" spans="1:19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</row>
    <row r="1068" spans="1:19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</row>
    <row r="1069" spans="1:19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</row>
    <row r="1070" spans="1:19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</row>
    <row r="1071" spans="1:19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</row>
    <row r="1072" spans="1:19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</row>
    <row r="1073" spans="1:19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</row>
    <row r="1074" spans="1:19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</row>
    <row r="1075" spans="1:19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</row>
    <row r="1076" spans="1:19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</row>
    <row r="1077" spans="1:19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</row>
    <row r="1078" spans="1:19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</row>
    <row r="1079" spans="1:19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</row>
    <row r="1080" spans="1:19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</row>
    <row r="1081" spans="1:19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</row>
    <row r="1082" spans="1:19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</row>
    <row r="1083" spans="1:19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</row>
    <row r="1084" spans="1:19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</row>
    <row r="1085" spans="1:19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</row>
    <row r="1086" spans="1:19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</row>
    <row r="1087" spans="1:19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</row>
    <row r="1088" spans="1:19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</row>
    <row r="1089" spans="1:19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</row>
    <row r="1090" spans="1:19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</row>
    <row r="1091" spans="1:19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</row>
    <row r="1092" spans="1:19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</row>
    <row r="1093" spans="1:19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</row>
    <row r="1094" spans="1:19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</row>
    <row r="1095" spans="1:19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</row>
    <row r="1096" spans="1:19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</row>
    <row r="1097" spans="1:19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</row>
    <row r="1098" spans="1:19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</row>
    <row r="1099" spans="1:19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</row>
    <row r="1100" spans="1:19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</row>
    <row r="1101" spans="1:19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</row>
    <row r="1102" spans="1:19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</row>
    <row r="1103" spans="1:19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</row>
    <row r="1104" spans="1:19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</row>
    <row r="1105" spans="1:19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</row>
    <row r="1106" spans="1:19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</row>
    <row r="1107" spans="1:19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</row>
    <row r="1108" spans="1:19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</row>
    <row r="1109" spans="1:19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</row>
    <row r="1110" spans="1:19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</row>
    <row r="1111" spans="1:19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</row>
    <row r="1112" spans="1:19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</row>
    <row r="1113" spans="1:19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</row>
    <row r="1114" spans="1:19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</row>
    <row r="1115" spans="1:19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</row>
    <row r="1116" spans="1:19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</row>
    <row r="1117" spans="1:19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</row>
    <row r="1118" spans="1:19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</row>
    <row r="1119" spans="1:19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</row>
    <row r="1120" spans="1:19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</row>
    <row r="1121" spans="1:19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</row>
    <row r="1122" spans="1:19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</row>
    <row r="1123" spans="1:19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</row>
    <row r="1124" spans="1:19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</row>
    <row r="1125" spans="1:19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</row>
    <row r="1126" spans="1:19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</row>
    <row r="1127" spans="1:19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</row>
    <row r="1128" spans="1:19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</row>
    <row r="1129" spans="1:19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</row>
    <row r="1130" spans="1:19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</row>
    <row r="1131" spans="1:19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</row>
    <row r="1132" spans="1:19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</row>
    <row r="1133" spans="1:19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</row>
    <row r="1134" spans="1:19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</row>
    <row r="1135" spans="1:19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</row>
    <row r="1136" spans="1:19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</row>
    <row r="1137" spans="1:19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</row>
    <row r="1138" spans="1:19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</row>
    <row r="1139" spans="1:19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</row>
    <row r="1140" spans="1:19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</row>
    <row r="1141" spans="1:19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</row>
    <row r="1142" spans="1:19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</row>
    <row r="1143" spans="1:19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</row>
    <row r="1144" spans="1:19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</row>
    <row r="1145" spans="1:19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</row>
    <row r="1146" spans="1:19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</row>
    <row r="1147" spans="1:19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</row>
    <row r="1148" spans="1:19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</row>
    <row r="1149" spans="1:19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</row>
    <row r="1150" spans="1:19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</row>
    <row r="1151" spans="1:19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</row>
    <row r="1152" spans="1:19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</row>
    <row r="1153" spans="1:19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</row>
    <row r="1154" spans="1:19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</row>
    <row r="1155" spans="1:19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</row>
    <row r="1156" spans="1:19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</row>
    <row r="1157" spans="1:19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</row>
    <row r="1158" spans="1:19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</row>
    <row r="1159" spans="1:19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</row>
    <row r="1160" spans="1:19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</row>
    <row r="1161" spans="1:19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</row>
    <row r="1162" spans="1:19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</row>
    <row r="1163" spans="1:19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</row>
    <row r="1164" spans="1:19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</row>
    <row r="1165" spans="1:19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</row>
    <row r="1166" spans="1:19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</row>
    <row r="1167" spans="1:19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</row>
    <row r="1168" spans="1:19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</row>
    <row r="1169" spans="1:19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</row>
    <row r="1170" spans="1:19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</row>
    <row r="1171" spans="1:19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</row>
    <row r="1172" spans="1:19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</row>
    <row r="1173" spans="1:19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</row>
    <row r="1174" spans="1:19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</row>
    <row r="1175" spans="1:19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</row>
    <row r="1176" spans="1:19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</row>
    <row r="1177" spans="1:19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</row>
    <row r="1178" spans="1:19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</row>
    <row r="1179" spans="1:19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</row>
    <row r="1180" spans="1:19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</row>
    <row r="1181" spans="1:19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</row>
    <row r="1182" spans="1:19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</row>
    <row r="1183" spans="1:19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</row>
    <row r="1184" spans="1:19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</row>
    <row r="1185" spans="1:19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</row>
    <row r="1186" spans="1:19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</row>
    <row r="1187" spans="1:19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</row>
    <row r="1188" spans="1:19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</row>
    <row r="1189" spans="1:19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</row>
    <row r="1190" spans="1:19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</row>
    <row r="1191" spans="1:19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</row>
    <row r="1192" spans="1:19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</row>
    <row r="1193" spans="1:19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</row>
    <row r="1194" spans="1:19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</row>
    <row r="1195" spans="1:19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</row>
    <row r="1196" spans="1:19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</row>
    <row r="1197" spans="1:19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</row>
    <row r="1198" spans="1:19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</row>
    <row r="1199" spans="1:19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</row>
    <row r="1200" spans="1:19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</row>
    <row r="1201" spans="1:19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</row>
    <row r="1202" spans="1:19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</row>
    <row r="1203" spans="1:19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</row>
    <row r="1204" spans="1:19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</row>
    <row r="1205" spans="1:19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</row>
    <row r="1206" spans="1:19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</row>
    <row r="1207" spans="1:19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</row>
    <row r="1208" spans="1:19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</row>
    <row r="1209" spans="1:19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</row>
    <row r="1210" spans="1:19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</row>
    <row r="1211" spans="1:19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</row>
    <row r="1212" spans="1:19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</row>
    <row r="1213" spans="1:19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</row>
    <row r="1214" spans="1:19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</row>
    <row r="1215" spans="1:19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</row>
    <row r="1216" spans="1:19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</row>
    <row r="1217" spans="1:19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</row>
    <row r="1218" spans="1:19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</row>
    <row r="1219" spans="1:19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</row>
    <row r="1220" spans="1:19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</row>
    <row r="1221" spans="1:19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</row>
    <row r="1222" spans="1:19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</row>
    <row r="1223" spans="1:19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</row>
    <row r="1224" spans="1:19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</row>
    <row r="1225" spans="1:19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</row>
    <row r="1226" spans="1:19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</row>
    <row r="1227" spans="1:19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</row>
    <row r="1228" spans="1:19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</row>
    <row r="1229" spans="1:19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</row>
    <row r="1230" spans="1:19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</row>
    <row r="1231" spans="1:19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</row>
    <row r="1232" spans="1:19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</row>
    <row r="1233" spans="1:19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</row>
    <row r="1234" spans="1:19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</row>
    <row r="1235" spans="1:19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</row>
    <row r="1236" spans="1:19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</row>
    <row r="1237" spans="1:19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</row>
    <row r="1238" spans="1:19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</row>
    <row r="1239" spans="1:19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</row>
    <row r="1240" spans="1:19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</row>
    <row r="1241" spans="1:19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</row>
    <row r="1242" spans="1:19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</row>
    <row r="1243" spans="1:19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</row>
    <row r="1244" spans="1:19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</row>
    <row r="1245" spans="1:19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</row>
    <row r="1246" spans="1:19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</row>
    <row r="1247" spans="1:19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</row>
    <row r="1248" spans="1:19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</row>
    <row r="1249" spans="1:19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</row>
    <row r="1250" spans="1:19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</row>
    <row r="1251" spans="1:19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</row>
    <row r="1252" spans="1:19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</row>
    <row r="1253" spans="1:19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</row>
    <row r="1254" spans="1:19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</row>
    <row r="1255" spans="1:19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</row>
    <row r="1256" spans="1:19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</row>
    <row r="1257" spans="1:19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</row>
    <row r="1258" spans="1:19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</row>
    <row r="1259" spans="1:19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</row>
    <row r="1260" spans="1:19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</row>
    <row r="1261" spans="1:19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</row>
    <row r="1262" spans="1:19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</row>
    <row r="1263" spans="1:19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</row>
    <row r="1264" spans="1:19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</row>
    <row r="1265" spans="1:19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</row>
    <row r="1266" spans="1:19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</row>
    <row r="1267" spans="1:19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</row>
    <row r="1268" spans="1:19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</row>
    <row r="1269" spans="1:19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</row>
    <row r="1270" spans="1:19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</row>
    <row r="1271" spans="1:19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</row>
    <row r="1272" spans="1:19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</row>
    <row r="1273" spans="1:19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</row>
    <row r="1274" spans="1:19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</row>
    <row r="1275" spans="1:19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</row>
    <row r="1276" spans="1:19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</row>
    <row r="1277" spans="1:19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</row>
    <row r="1278" spans="1:19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</row>
    <row r="1279" spans="1:19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</row>
    <row r="1280" spans="1:19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</row>
    <row r="1281" spans="1:19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</row>
    <row r="1282" spans="1:19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</row>
    <row r="1283" spans="1:19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</row>
    <row r="1284" spans="1:19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</row>
    <row r="1285" spans="1:19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</row>
    <row r="1286" spans="1:19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</row>
    <row r="1287" spans="1:19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</row>
    <row r="1288" spans="1:19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</row>
    <row r="1289" spans="1:19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</row>
    <row r="1290" spans="1:19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</row>
    <row r="1291" spans="1:19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</row>
    <row r="1292" spans="1:19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</row>
    <row r="1293" spans="1:19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</row>
    <row r="1294" spans="1:19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</row>
    <row r="1295" spans="1:19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</row>
    <row r="1296" spans="1:19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</row>
    <row r="1297" spans="1:19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</row>
    <row r="1298" spans="1:19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</row>
    <row r="1299" spans="1:19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</row>
    <row r="1300" spans="1:19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</row>
    <row r="1301" spans="1:19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</row>
    <row r="1302" spans="1:19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</row>
    <row r="1303" spans="1:19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</row>
    <row r="1304" spans="1:19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</row>
    <row r="1305" spans="1:19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</row>
    <row r="1306" spans="1:19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</row>
    <row r="1307" spans="1:19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</row>
    <row r="1308" spans="1:19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</row>
    <row r="1309" spans="1:19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</row>
    <row r="1310" spans="1:19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</row>
    <row r="1311" spans="1:19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</row>
    <row r="1312" spans="1:19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</row>
    <row r="1313" spans="1:19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</row>
    <row r="1314" spans="1:19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</row>
    <row r="1315" spans="1:19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</row>
    <row r="1316" spans="1:19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</row>
    <row r="1317" spans="1:19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</row>
    <row r="1318" spans="1:19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</row>
    <row r="1319" spans="1:19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</row>
    <row r="1320" spans="1:19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</row>
    <row r="1321" spans="1:19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</row>
    <row r="1322" spans="1:19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</row>
    <row r="1323" spans="1:19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</row>
    <row r="1324" spans="1:19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</row>
    <row r="1325" spans="1:19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</row>
    <row r="1326" spans="1:19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</row>
    <row r="1327" spans="1:19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</row>
    <row r="1328" spans="1:19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</row>
    <row r="1329" spans="1:19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</row>
    <row r="1330" spans="1:19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</row>
    <row r="1331" spans="1:19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</row>
    <row r="1332" spans="1:19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</row>
    <row r="1333" spans="1:19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</row>
    <row r="1334" spans="1:19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</row>
    <row r="1335" spans="1:19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</row>
    <row r="1336" spans="1:19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</row>
    <row r="1337" spans="1:19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</row>
    <row r="1338" spans="1:19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</row>
    <row r="1339" spans="1:19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</row>
    <row r="1340" spans="1:19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</row>
    <row r="1341" spans="1:19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</row>
    <row r="1342" spans="1:19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</row>
    <row r="1343" spans="1:19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</row>
    <row r="1344" spans="1:19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</row>
    <row r="1345" spans="1:19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</row>
    <row r="1346" spans="1:19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</row>
    <row r="1347" spans="1:19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</row>
    <row r="1348" spans="1:19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</row>
    <row r="1349" spans="1:19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</row>
    <row r="1350" spans="1:19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</row>
    <row r="1351" spans="1:19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</row>
    <row r="1352" spans="1:19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</row>
    <row r="1353" spans="1:19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</row>
    <row r="1354" spans="1:19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</row>
    <row r="1355" spans="1:19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</row>
    <row r="1356" spans="1:19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</row>
    <row r="1357" spans="1:19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</row>
    <row r="1358" spans="1:19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</row>
    <row r="1359" spans="1:19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</row>
    <row r="1360" spans="1:19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</row>
    <row r="1361" spans="1:19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</row>
    <row r="1362" spans="1:19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</row>
    <row r="1363" spans="1:19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</row>
    <row r="1364" spans="1:19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</row>
    <row r="1365" spans="1:19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</row>
    <row r="1366" spans="1:19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</row>
    <row r="1367" spans="1:19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</row>
    <row r="1368" spans="1:19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</row>
    <row r="1369" spans="1:19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</row>
    <row r="1370" spans="1:19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</row>
    <row r="1371" spans="1:19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</row>
    <row r="1372" spans="1:19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</row>
    <row r="1373" spans="1:19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</row>
    <row r="1374" spans="1:19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</row>
    <row r="1375" spans="1:19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</row>
    <row r="1376" spans="1:19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</row>
    <row r="1377" spans="1:19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</row>
    <row r="1378" spans="1:19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</row>
    <row r="1379" spans="1:19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</row>
    <row r="1380" spans="1:19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</row>
    <row r="1381" spans="1:19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</row>
    <row r="1382" spans="1:19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</row>
    <row r="1383" spans="1:19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</row>
    <row r="1384" spans="1:19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</row>
    <row r="1385" spans="1:19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</row>
    <row r="1386" spans="1:19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</row>
    <row r="1387" spans="1:19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</row>
    <row r="1388" spans="1:19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</row>
    <row r="1389" spans="1:19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</row>
    <row r="1390" spans="1:19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</row>
    <row r="1391" spans="1:19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</row>
    <row r="1392" spans="1:19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</row>
    <row r="1393" spans="1:19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</row>
    <row r="1394" spans="1:19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</row>
    <row r="1395" spans="1:19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</row>
    <row r="1396" spans="1:19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</row>
    <row r="1397" spans="1:19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</row>
    <row r="1398" spans="1:19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</row>
    <row r="1399" spans="1:19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</row>
    <row r="1400" spans="1:19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</row>
    <row r="1401" spans="1:19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</row>
    <row r="1402" spans="1:19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</row>
    <row r="1403" spans="1:19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</row>
    <row r="1404" spans="1:19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</row>
    <row r="1405" spans="1:19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</row>
    <row r="1406" spans="1:19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</row>
    <row r="1407" spans="1:19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</row>
    <row r="1408" spans="1:19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</row>
    <row r="1409" spans="1:19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</row>
    <row r="1410" spans="1:19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</row>
    <row r="1411" spans="1:19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</row>
    <row r="1412" spans="1:19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</row>
    <row r="1413" spans="1:19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</row>
    <row r="1414" spans="1:19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</row>
    <row r="1415" spans="1:19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</row>
    <row r="1416" spans="1:19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</row>
    <row r="1417" spans="1:19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</row>
    <row r="1418" spans="1:19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</row>
    <row r="1419" spans="1:19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</row>
    <row r="1420" spans="1:19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</row>
    <row r="1421" spans="1:19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</row>
    <row r="1422" spans="1:19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</row>
    <row r="1423" spans="1:19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</row>
    <row r="1424" spans="1:19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</row>
    <row r="1425" spans="1:19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</row>
    <row r="1426" spans="1:19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</row>
    <row r="1427" spans="1:19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</row>
    <row r="1428" spans="1:19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</row>
    <row r="1429" spans="1:19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</row>
    <row r="1430" spans="1:19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</row>
    <row r="1431" spans="1:19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</row>
    <row r="1432" spans="1:19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</row>
    <row r="1433" spans="1:19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</row>
    <row r="1434" spans="1:19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</row>
    <row r="1435" spans="1:19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</row>
    <row r="1436" spans="1:19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</row>
    <row r="1437" spans="1:19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</row>
    <row r="1438" spans="1:19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</row>
    <row r="1439" spans="1:19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</row>
    <row r="1440" spans="1:19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</row>
    <row r="1441" spans="1:19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</row>
    <row r="1442" spans="1:19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</row>
    <row r="1443" spans="1:19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</row>
    <row r="1444" spans="1:19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</row>
    <row r="1445" spans="1:19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</row>
    <row r="1446" spans="1:19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</row>
    <row r="1447" spans="1:19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</row>
    <row r="1448" spans="1:19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</row>
    <row r="1449" spans="1:19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</row>
    <row r="1450" spans="1:19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</row>
    <row r="1451" spans="1:19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</row>
    <row r="1452" spans="1:19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</row>
    <row r="1453" spans="1:19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</row>
    <row r="1454" spans="1:19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</row>
    <row r="1455" spans="1:19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</row>
    <row r="1456" spans="1:19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</row>
    <row r="1457" spans="1:19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</row>
    <row r="1458" spans="1:19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</row>
    <row r="1459" spans="1:19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</row>
    <row r="1460" spans="1:19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</row>
    <row r="1461" spans="1:19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</row>
    <row r="1462" spans="1:19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</row>
    <row r="1463" spans="1:19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</row>
    <row r="1464" spans="1:19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</row>
    <row r="1465" spans="1:19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</row>
    <row r="1466" spans="1:19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</row>
    <row r="1467" spans="1:19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</row>
    <row r="1468" spans="1:19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</row>
    <row r="1469" spans="1:19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</row>
    <row r="1470" spans="1:19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</row>
    <row r="1471" spans="1:19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</row>
    <row r="1472" spans="1:19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</row>
    <row r="1473" spans="1:19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</row>
    <row r="1474" spans="1:19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</row>
    <row r="1475" spans="1:19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</row>
    <row r="1476" spans="1:19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</row>
    <row r="1477" spans="1:19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</row>
    <row r="1478" spans="1:19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</row>
    <row r="1479" spans="1:19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</row>
    <row r="1480" spans="1:19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</row>
    <row r="1481" spans="1:19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</row>
    <row r="1482" spans="1:19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</row>
    <row r="1483" spans="1:19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</row>
    <row r="1484" spans="1:19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</row>
    <row r="1485" spans="1:19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</row>
    <row r="1486" spans="1:19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</row>
    <row r="1487" spans="1:19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</row>
    <row r="1488" spans="1:19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</row>
    <row r="1489" spans="1:19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</row>
    <row r="1490" spans="1:19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</row>
    <row r="1491" spans="1:19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</row>
    <row r="1492" spans="1:19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</row>
    <row r="1493" spans="1:19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</row>
    <row r="1494" spans="1:19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</row>
    <row r="1495" spans="1:19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</row>
    <row r="1496" spans="1:19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</row>
    <row r="1497" spans="1:19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</row>
    <row r="1498" spans="1:19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</row>
    <row r="1499" spans="1:19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</row>
    <row r="1500" spans="1:19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</row>
    <row r="1501" spans="1:19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</row>
    <row r="1502" spans="1:19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</row>
    <row r="1503" spans="1:19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</row>
    <row r="1504" spans="1:19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</row>
    <row r="1505" spans="1:19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</row>
    <row r="1506" spans="1:19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</row>
    <row r="1507" spans="1:19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</row>
    <row r="1508" spans="1:19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</row>
    <row r="1509" spans="1:19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</row>
    <row r="1510" spans="1:19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</row>
    <row r="1511" spans="1:19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</row>
    <row r="1512" spans="1:19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</row>
    <row r="1513" spans="1:19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</row>
    <row r="1514" spans="1:19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</row>
    <row r="1515" spans="1:19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</row>
    <row r="1516" spans="1:19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</row>
    <row r="1517" spans="1:19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</row>
    <row r="1518" spans="1:19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</row>
    <row r="1519" spans="1:19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</row>
    <row r="1520" spans="1:19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</row>
    <row r="1521" spans="1:19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</row>
    <row r="1522" spans="1:19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</row>
    <row r="1523" spans="1:19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</row>
    <row r="1524" spans="1:19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</row>
    <row r="1525" spans="1:19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</row>
    <row r="1526" spans="1:19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</row>
    <row r="1527" spans="1:19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</row>
    <row r="1528" spans="1:19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</row>
    <row r="1529" spans="1:19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</row>
    <row r="1530" spans="1:19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</row>
    <row r="1531" spans="1:19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</row>
    <row r="1532" spans="1:19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</row>
    <row r="1533" spans="1:19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</row>
    <row r="1534" spans="1:19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</row>
    <row r="1535" spans="1:19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</row>
    <row r="1536" spans="1:19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</row>
    <row r="1537" spans="1:19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</row>
    <row r="1538" spans="1:19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</row>
    <row r="1539" spans="1:19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</row>
    <row r="1540" spans="1:19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</row>
    <row r="1541" spans="1:19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</row>
    <row r="1542" spans="1:19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</row>
    <row r="1543" spans="1:19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</row>
    <row r="1544" spans="1:19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</row>
    <row r="1545" spans="1:19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</row>
    <row r="1546" spans="1:19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</row>
    <row r="1547" spans="1:19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</row>
    <row r="1548" spans="1:19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</row>
    <row r="1549" spans="1:19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</row>
    <row r="1550" spans="1:19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</row>
    <row r="1551" spans="1:19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</row>
    <row r="1552" spans="1:19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</row>
    <row r="1553" spans="1:19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</row>
    <row r="1554" spans="1:19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</row>
    <row r="1555" spans="1:19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</row>
    <row r="1556" spans="1:19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</row>
    <row r="1557" spans="1:19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</row>
    <row r="1558" spans="1:19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</row>
    <row r="1559" spans="1:19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</row>
    <row r="1560" spans="1:19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</row>
    <row r="1561" spans="1:19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</row>
    <row r="1562" spans="1:19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</row>
    <row r="1563" spans="1:19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</row>
    <row r="1564" spans="1:19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</row>
    <row r="1565" spans="1:19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</row>
    <row r="1566" spans="1:19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</row>
    <row r="1567" spans="1:19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</row>
    <row r="1568" spans="1:19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</row>
    <row r="1569" spans="1:19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</row>
    <row r="1570" spans="1:19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</row>
    <row r="1571" spans="1:19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</row>
    <row r="1572" spans="1:19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</row>
    <row r="1573" spans="1:19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</row>
    <row r="1574" spans="1:19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</row>
    <row r="1575" spans="1:19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</row>
    <row r="1576" spans="1:19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</row>
    <row r="1577" spans="1:19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</row>
    <row r="1578" spans="1:19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</row>
    <row r="1579" spans="1:19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</row>
    <row r="1580" spans="1:19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</row>
    <row r="1581" spans="1:19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</row>
    <row r="1582" spans="1:19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</row>
    <row r="1583" spans="1:19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</row>
    <row r="1584" spans="1:19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</row>
    <row r="1585" spans="1:19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</row>
    <row r="1586" spans="1:19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</row>
    <row r="1587" spans="1:19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</row>
    <row r="1588" spans="1:19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</row>
    <row r="1589" spans="1:19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</row>
    <row r="1590" spans="1:19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</row>
    <row r="1591" spans="1:19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</row>
    <row r="1592" spans="1:19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</row>
    <row r="1593" spans="1:19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</row>
    <row r="1594" spans="1:19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</row>
    <row r="1595" spans="1:19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</row>
    <row r="1596" spans="1:19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</row>
    <row r="1597" spans="1:19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</row>
    <row r="1598" spans="1:19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</row>
    <row r="1599" spans="1:19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</row>
    <row r="1600" spans="1:19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</row>
    <row r="1601" spans="1:19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</row>
    <row r="1602" spans="1:19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</row>
    <row r="1603" spans="1:19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</row>
    <row r="1604" spans="1:19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</row>
    <row r="1605" spans="1:19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</row>
    <row r="1606" spans="1:19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</row>
    <row r="1607" spans="1:19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</row>
    <row r="1608" spans="1:19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</row>
    <row r="1609" spans="1:19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</row>
    <row r="1610" spans="1:19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</row>
    <row r="1611" spans="1:19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</row>
    <row r="1612" spans="1:19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</row>
    <row r="1613" spans="1:19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</row>
    <row r="1614" spans="1:19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</row>
    <row r="1615" spans="1:19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</row>
    <row r="1616" spans="1:19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</row>
    <row r="1617" spans="1:19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</row>
    <row r="1618" spans="1:19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</row>
    <row r="1619" spans="1:19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</row>
    <row r="1620" spans="1:19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</row>
    <row r="1621" spans="1:19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</row>
    <row r="1622" spans="1:19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</row>
    <row r="1623" spans="1:19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</row>
    <row r="1624" spans="1:19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</row>
    <row r="1625" spans="1:19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</row>
    <row r="1626" spans="1:19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</row>
    <row r="1627" spans="1:19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</row>
    <row r="1628" spans="1:19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</row>
    <row r="1629" spans="1:19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</row>
    <row r="1630" spans="1:19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</row>
    <row r="1631" spans="1:19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</row>
    <row r="1632" spans="1:19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</row>
    <row r="1633" spans="1:19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</row>
    <row r="1634" spans="1:19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</row>
    <row r="1635" spans="1:19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</row>
    <row r="1636" spans="1:19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</row>
    <row r="1637" spans="1:19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</row>
    <row r="1638" spans="1:19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</row>
    <row r="1639" spans="1:19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</row>
    <row r="1640" spans="1:19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</row>
    <row r="1641" spans="1:19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</row>
    <row r="1642" spans="1:19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</row>
    <row r="1643" spans="1:19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</row>
    <row r="1644" spans="1:19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</row>
    <row r="1645" spans="1:19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</row>
    <row r="1646" spans="1:19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</row>
    <row r="1647" spans="1:19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</row>
    <row r="1648" spans="1:19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</row>
    <row r="1649" spans="1:19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</row>
    <row r="1650" spans="1:19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</row>
    <row r="1651" spans="1:19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</row>
    <row r="1652" spans="1:19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</row>
    <row r="1653" spans="1:19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</row>
    <row r="1654" spans="1:19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</row>
    <row r="1655" spans="1:19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</row>
    <row r="1656" spans="1:19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</row>
    <row r="1657" spans="1:19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</row>
    <row r="1658" spans="1:19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</row>
    <row r="1659" spans="1:19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</row>
    <row r="1660" spans="1:19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</row>
    <row r="1661" spans="1:19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</row>
    <row r="1662" spans="1:19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</row>
    <row r="1663" spans="1:19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</row>
    <row r="1664" spans="1:19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</row>
    <row r="1665" spans="1:19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</row>
    <row r="1666" spans="1:19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</row>
    <row r="1667" spans="1:19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</row>
    <row r="1668" spans="1:19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</row>
    <row r="1669" spans="1:19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</row>
    <row r="1670" spans="1:19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</row>
    <row r="1671" spans="1:19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</row>
    <row r="1672" spans="1:19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</row>
    <row r="1673" spans="1:19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</row>
    <row r="1674" spans="1:19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</row>
    <row r="1675" spans="1:19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</row>
    <row r="1676" spans="1:19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</row>
    <row r="1677" spans="1:19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</row>
    <row r="1678" spans="1:19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</row>
    <row r="1679" spans="1:19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</row>
    <row r="1680" spans="1:19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</row>
    <row r="1681" spans="1:19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</row>
    <row r="1682" spans="1:19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</row>
    <row r="1683" spans="1:19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</row>
    <row r="1684" spans="1:19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</row>
    <row r="1685" spans="1:19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</row>
    <row r="1686" spans="1:19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</row>
    <row r="1687" spans="1:19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</row>
    <row r="1688" spans="1:19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</row>
    <row r="1689" spans="1:19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</row>
    <row r="1690" spans="1:19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</row>
    <row r="1691" spans="1:19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</row>
    <row r="1692" spans="1:19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</row>
    <row r="1693" spans="1:19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</row>
    <row r="1694" spans="1:19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</row>
    <row r="1695" spans="1:19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</row>
    <row r="1696" spans="1:19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</row>
    <row r="1697" spans="1:19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</row>
    <row r="1698" spans="1:19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</row>
    <row r="1699" spans="1:19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</row>
    <row r="1700" spans="1:19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</row>
    <row r="1701" spans="1:19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</row>
    <row r="1702" spans="1:19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</row>
    <row r="1703" spans="1:19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</row>
    <row r="1704" spans="1:19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</row>
    <row r="1705" spans="1:19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</row>
    <row r="1706" spans="1:19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</row>
    <row r="1707" spans="1:19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</row>
    <row r="1708" spans="1:19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</row>
    <row r="1709" spans="1:19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</row>
    <row r="1710" spans="1:19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</row>
    <row r="1711" spans="1:19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</row>
    <row r="1712" spans="1:19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</row>
    <row r="1713" spans="1:19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</row>
    <row r="1714" spans="1:19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</row>
    <row r="1715" spans="1:19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</row>
    <row r="1716" spans="1:19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</row>
    <row r="1717" spans="1:19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</row>
    <row r="1718" spans="1:19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</row>
    <row r="1719" spans="1:19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</row>
    <row r="1720" spans="1:19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</row>
    <row r="1721" spans="1:19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</row>
    <row r="1722" spans="1:19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</row>
    <row r="1723" spans="1:19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</row>
    <row r="1724" spans="1:19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</row>
    <row r="1725" spans="1:19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</row>
    <row r="1726" spans="1:19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</row>
    <row r="1727" spans="1:19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</row>
    <row r="1728" spans="1:19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</row>
    <row r="1729" spans="1:19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</row>
    <row r="1730" spans="1:19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</row>
    <row r="1731" spans="1:19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</row>
    <row r="1732" spans="1:19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</row>
    <row r="1733" spans="1:19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</row>
    <row r="1734" spans="1:19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</row>
    <row r="1735" spans="1:19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</row>
    <row r="1736" spans="1:19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</row>
    <row r="1737" spans="1:19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</row>
    <row r="1738" spans="1:19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</row>
    <row r="1739" spans="1:19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</row>
    <row r="1740" spans="1:19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</row>
    <row r="1741" spans="1:19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</row>
    <row r="1742" spans="1:19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</row>
    <row r="1743" spans="1:19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</row>
    <row r="1744" spans="1:19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</row>
    <row r="1745" spans="1:19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</row>
    <row r="1746" spans="1:19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</row>
    <row r="1747" spans="1:19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</row>
    <row r="1748" spans="1:19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</row>
    <row r="1749" spans="1:19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</row>
    <row r="1750" spans="1:19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</row>
    <row r="1751" spans="1:19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</row>
    <row r="1752" spans="1:19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</row>
    <row r="1753" spans="1:19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</row>
    <row r="1754" spans="1:19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</row>
    <row r="1755" spans="1:19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</row>
    <row r="1756" spans="1:19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</row>
    <row r="1757" spans="1:19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</row>
    <row r="1758" spans="1:19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</row>
    <row r="1759" spans="1:19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</row>
    <row r="1760" spans="1:19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</row>
    <row r="1761" spans="1:19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</row>
    <row r="1762" spans="1:19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</row>
    <row r="1763" spans="1:19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</row>
    <row r="1764" spans="1:19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</row>
    <row r="1765" spans="1:19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</row>
    <row r="1766" spans="1:19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</row>
    <row r="1767" spans="1:19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</row>
    <row r="1768" spans="1:19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</row>
    <row r="1769" spans="1:19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</row>
    <row r="1770" spans="1:19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</row>
    <row r="1771" spans="1:19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</row>
    <row r="1772" spans="1:19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</row>
    <row r="1773" spans="1:19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</row>
    <row r="1774" spans="1:19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</row>
    <row r="1775" spans="1:19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</row>
    <row r="1776" spans="1:19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</row>
    <row r="1777" spans="1:19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</row>
    <row r="1778" spans="1:19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</row>
    <row r="1779" spans="1:19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</row>
    <row r="1780" spans="1:19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</row>
    <row r="1781" spans="1:19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</row>
    <row r="1782" spans="1:19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</row>
    <row r="1783" spans="1:19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</row>
    <row r="1784" spans="1:19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</row>
    <row r="1785" spans="1:19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</row>
    <row r="1786" spans="1:19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</row>
    <row r="1787" spans="1:19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</row>
    <row r="1788" spans="1:19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</row>
    <row r="1789" spans="1:19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</row>
    <row r="1790" spans="1:19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</row>
    <row r="1791" spans="1:19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</row>
    <row r="1792" spans="1:19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</row>
    <row r="1793" spans="1:19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</row>
    <row r="1794" spans="1:19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</row>
    <row r="1795" spans="1:19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</row>
    <row r="1796" spans="1:19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</row>
    <row r="1797" spans="1:19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</row>
    <row r="1798" spans="1:19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</row>
    <row r="1799" spans="1:19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</row>
    <row r="1800" spans="1:19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</row>
    <row r="1801" spans="1:19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</row>
    <row r="1802" spans="1:19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</row>
    <row r="1803" spans="1:19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</row>
    <row r="1804" spans="1:19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</row>
    <row r="1805" spans="1:19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</row>
    <row r="1806" spans="1:19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</row>
    <row r="1807" spans="1:19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</row>
    <row r="1808" spans="1:19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</row>
    <row r="1809" spans="1:19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</row>
    <row r="1810" spans="1:19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</row>
    <row r="1811" spans="1:19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</row>
    <row r="1812" spans="1:19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</row>
    <row r="1813" spans="1:19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</row>
    <row r="1814" spans="1:19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</row>
    <row r="1815" spans="1:19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</row>
    <row r="1816" spans="1:19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</row>
    <row r="1817" spans="1:19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</row>
    <row r="1818" spans="1:19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</row>
    <row r="1819" spans="1:19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</row>
    <row r="1820" spans="1:19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</row>
    <row r="1821" spans="1:19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</row>
    <row r="1822" spans="1:19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</row>
    <row r="1823" spans="1:19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</row>
    <row r="1824" spans="1:19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</row>
    <row r="1825" spans="1:19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</row>
    <row r="1826" spans="1:19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</row>
    <row r="1827" spans="1:19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</row>
    <row r="1828" spans="1:19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</row>
    <row r="1829" spans="1:19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</row>
    <row r="1830" spans="1:19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</row>
    <row r="1831" spans="1:19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</row>
    <row r="1832" spans="1:19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</row>
    <row r="1833" spans="1:19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</row>
    <row r="1834" spans="1:19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</row>
    <row r="1835" spans="1:19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</row>
    <row r="1836" spans="1:19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</row>
    <row r="1837" spans="1:19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</row>
    <row r="1838" spans="1:19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</row>
    <row r="1839" spans="1:19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</row>
    <row r="1840" spans="1:19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</row>
    <row r="1841" spans="1:19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</row>
    <row r="1842" spans="1:19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</row>
    <row r="1843" spans="1:19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</row>
    <row r="1844" spans="1:19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</row>
    <row r="1845" spans="1:19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</row>
    <row r="1846" spans="1:19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</row>
    <row r="1847" spans="1:19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</row>
    <row r="1848" spans="1:19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</row>
    <row r="1849" spans="1:19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</row>
    <row r="1850" spans="1:19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</row>
    <row r="1851" spans="1:19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</row>
    <row r="1852" spans="1:19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</row>
    <row r="1853" spans="1:19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</row>
    <row r="1854" spans="1:19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</row>
    <row r="1855" spans="1:19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</row>
    <row r="1856" spans="1:19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</row>
    <row r="1857" spans="1:19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</row>
    <row r="1858" spans="1:19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</row>
    <row r="1859" spans="1:19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</row>
    <row r="1860" spans="1:19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</row>
    <row r="1861" spans="1:19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</row>
    <row r="1862" spans="1:19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</row>
    <row r="1863" spans="1:19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</row>
    <row r="1864" spans="1:19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</row>
    <row r="1865" spans="1:19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</row>
    <row r="1866" spans="1:19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</row>
    <row r="1867" spans="1:19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</row>
    <row r="1868" spans="1:19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</row>
    <row r="1869" spans="1:19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</row>
    <row r="1870" spans="1:19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</row>
    <row r="1871" spans="1:19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</row>
    <row r="1872" spans="1:19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</row>
    <row r="1873" spans="1:19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</row>
    <row r="1874" spans="1:19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</row>
    <row r="1875" spans="1:19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</row>
    <row r="1876" spans="1:19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</row>
    <row r="1877" spans="1:19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</row>
    <row r="1878" spans="1:19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</row>
    <row r="1879" spans="1:19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</row>
    <row r="1880" spans="1:19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</row>
    <row r="1881" spans="1:19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</row>
    <row r="1882" spans="1:19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</row>
    <row r="1883" spans="1:19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</row>
    <row r="1884" spans="1:19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</row>
    <row r="1885" spans="1:19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</row>
    <row r="1886" spans="1:19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</row>
    <row r="1887" spans="1:19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</row>
    <row r="1888" spans="1:19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</row>
    <row r="1889" spans="1:19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</row>
    <row r="1890" spans="1:19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</row>
    <row r="1891" spans="1:19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</row>
    <row r="1892" spans="1:19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</row>
    <row r="1893" spans="1:19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</row>
    <row r="1894" spans="1:19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</row>
    <row r="1895" spans="1:19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</row>
    <row r="1896" spans="1:19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</row>
    <row r="1897" spans="1:19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</row>
    <row r="1898" spans="1:19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</row>
    <row r="1899" spans="1:19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</row>
    <row r="1900" spans="1:19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</row>
    <row r="1901" spans="1:19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</row>
    <row r="1902" spans="1:19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</row>
    <row r="1903" spans="1:19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</row>
    <row r="1904" spans="1:19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</row>
    <row r="1905" spans="1:19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</row>
    <row r="1906" spans="1:19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</row>
    <row r="1907" spans="1:19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</row>
    <row r="1908" spans="1:19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</row>
    <row r="1909" spans="1:19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</row>
    <row r="1910" spans="1:19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</row>
    <row r="1911" spans="1:19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</row>
    <row r="1912" spans="1:19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</row>
    <row r="1913" spans="1:19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</row>
    <row r="1914" spans="1:19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</row>
    <row r="1915" spans="1:19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</row>
    <row r="1916" spans="1:19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</row>
    <row r="1917" spans="1:19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</row>
    <row r="1918" spans="1:19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</row>
    <row r="1919" spans="1:19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</row>
    <row r="1920" spans="1:19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</row>
    <row r="1921" spans="1:19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</row>
    <row r="1922" spans="1:19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</row>
    <row r="1923" spans="1:19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</row>
    <row r="1924" spans="1:19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</row>
    <row r="1925" spans="1:19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</row>
    <row r="1926" spans="1:19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</row>
    <row r="1927" spans="1:19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</row>
    <row r="1928" spans="1:19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</row>
    <row r="1929" spans="1:19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</row>
    <row r="1930" spans="1:19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</row>
    <row r="1931" spans="1:19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</row>
    <row r="1932" spans="1:19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</row>
    <row r="1933" spans="1:19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</row>
    <row r="1934" spans="1:19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</row>
    <row r="1935" spans="1:19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</row>
    <row r="1936" spans="1:19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</row>
    <row r="1937" spans="1:19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</row>
    <row r="1938" spans="1:19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</row>
    <row r="1939" spans="1:19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</row>
    <row r="1940" spans="1:19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</row>
    <row r="1941" spans="1:19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</row>
    <row r="1942" spans="1:19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</row>
    <row r="1943" spans="1:19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</row>
    <row r="1944" spans="1:19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</row>
    <row r="1945" spans="1:19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</row>
    <row r="1946" spans="1:19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</row>
    <row r="1947" spans="1:19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</row>
    <row r="1948" spans="1:19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</row>
    <row r="1949" spans="1:19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</row>
    <row r="1950" spans="1:19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</row>
    <row r="1951" spans="1:19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</row>
    <row r="1952" spans="1:19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</row>
    <row r="1953" spans="1:19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</row>
    <row r="1954" spans="1:19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</row>
    <row r="1955" spans="1:19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</row>
    <row r="1956" spans="1:19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</row>
    <row r="1957" spans="1:19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</row>
    <row r="1958" spans="1:19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</row>
    <row r="1959" spans="1:19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</row>
    <row r="1960" spans="1:19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</row>
    <row r="1961" spans="1:19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</row>
    <row r="1962" spans="1:19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</row>
    <row r="1963" spans="1:19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</row>
    <row r="1964" spans="1:19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</row>
    <row r="1965" spans="1:19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</row>
    <row r="1966" spans="1:19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</row>
    <row r="1967" spans="1:19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</row>
    <row r="1968" spans="1:19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</row>
    <row r="1969" spans="1:19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</row>
    <row r="1970" spans="1:19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</row>
    <row r="1971" spans="1:19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</row>
    <row r="1972" spans="1:19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</row>
    <row r="1973" spans="1:19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</row>
    <row r="1974" spans="1:19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</row>
    <row r="1975" spans="1:19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</row>
    <row r="1976" spans="1:19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</row>
    <row r="1977" spans="1:19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</row>
    <row r="1978" spans="1:19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</row>
    <row r="1979" spans="1:19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</row>
    <row r="1980" spans="1:19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</row>
    <row r="1981" spans="1:19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</row>
    <row r="1982" spans="1:19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</row>
    <row r="1983" spans="1:19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</row>
    <row r="1984" spans="1:19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</row>
    <row r="1985" spans="1:19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</row>
    <row r="1986" spans="1:19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</row>
    <row r="1987" spans="1:19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</row>
    <row r="1988" spans="1:19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</row>
    <row r="1989" spans="1:19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</row>
    <row r="1991" spans="1:19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</row>
    <row r="1992" spans="1:19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</row>
    <row r="1993" spans="1:19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</row>
    <row r="1994" spans="1:19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</row>
    <row r="1995" spans="1:19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</row>
    <row r="1996" spans="1:19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</row>
    <row r="1997" spans="1:19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</row>
    <row r="1998" spans="1:19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</row>
    <row r="1999" spans="1:19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</row>
    <row r="2000" spans="1:19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</row>
    <row r="2001" spans="1:19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</row>
    <row r="2002" spans="1:19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</row>
    <row r="2003" spans="1:19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</row>
    <row r="2004" spans="1:19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</row>
    <row r="2005" spans="1:19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</row>
    <row r="2006" spans="1:19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</row>
    <row r="2007" spans="1:19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</row>
    <row r="2008" spans="1:19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</row>
    <row r="2009" spans="1:19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</row>
    <row r="2010" spans="1:19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</row>
    <row r="2011" spans="1:19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</row>
    <row r="2012" spans="1:19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</row>
    <row r="2013" spans="1:19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</row>
    <row r="2014" spans="1:19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</row>
    <row r="2015" spans="1:19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</row>
    <row r="2016" spans="1:19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</row>
    <row r="2017" spans="1:19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</row>
    <row r="2018" spans="1:19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</row>
    <row r="2019" spans="1:19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</row>
    <row r="2020" spans="1:19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</row>
    <row r="2021" spans="1:19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</row>
    <row r="2022" spans="1:19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</row>
    <row r="2023" spans="1:19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</row>
    <row r="2024" spans="1:19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</row>
    <row r="2025" spans="1:19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</row>
    <row r="2026" spans="1:19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</row>
    <row r="2027" spans="1:19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</row>
    <row r="2028" spans="1:19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</row>
    <row r="2029" spans="1:19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</row>
    <row r="2030" spans="1:19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</row>
    <row r="2031" spans="1:19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</row>
    <row r="2032" spans="1:19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</row>
    <row r="2033" spans="1:19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</row>
    <row r="2034" spans="1:19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</row>
    <row r="2035" spans="1:19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</row>
    <row r="2036" spans="1:19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</row>
    <row r="2037" spans="1:19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</row>
    <row r="2038" spans="1:19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</row>
    <row r="2039" spans="1:19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</row>
    <row r="2040" spans="1:19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</row>
    <row r="2041" spans="1:19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</row>
    <row r="2042" spans="1:19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</row>
    <row r="2043" spans="1:19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</row>
    <row r="2044" spans="1:19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</row>
    <row r="2045" spans="1:19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</row>
    <row r="2046" spans="1:19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</row>
    <row r="2047" spans="1:19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</row>
    <row r="2048" spans="1:19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</row>
    <row r="2049" spans="1:19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</row>
    <row r="2050" spans="1:19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</row>
    <row r="2051" spans="1:19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</row>
    <row r="2052" spans="1:19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</row>
    <row r="2053" spans="1:19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</row>
    <row r="2054" spans="1:19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</row>
    <row r="2055" spans="1:19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</row>
    <row r="2056" spans="1:19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</row>
    <row r="2057" spans="1:19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</row>
    <row r="2058" spans="1:19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</row>
    <row r="2059" spans="1:19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</row>
    <row r="2060" spans="1:19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</row>
    <row r="2061" spans="1:19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</row>
    <row r="2062" spans="1:19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</row>
    <row r="2063" spans="1:19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</row>
    <row r="2064" spans="1:19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</row>
    <row r="2065" spans="1:19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</row>
    <row r="2066" spans="1:19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</row>
    <row r="2067" spans="1:19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</row>
    <row r="2068" spans="1:19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</row>
    <row r="2069" spans="1:19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</row>
    <row r="2070" spans="1:19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</row>
    <row r="2071" spans="1:19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</row>
    <row r="2072" spans="1:19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</row>
    <row r="2073" spans="1:19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</row>
    <row r="2074" spans="1:19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</row>
    <row r="2075" spans="1:19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</row>
    <row r="2076" spans="1:19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</row>
    <row r="2077" spans="1:19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</row>
    <row r="2078" spans="1:19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</row>
    <row r="2079" spans="1:19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</row>
    <row r="2080" spans="1:19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</row>
    <row r="2081" spans="1:19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</row>
    <row r="2082" spans="1:19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</row>
    <row r="2083" spans="1:19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</row>
    <row r="2084" spans="1:19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</row>
    <row r="2085" spans="1:19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</row>
    <row r="2086" spans="1:19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</row>
    <row r="2087" spans="1:19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</row>
    <row r="2088" spans="1:19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</row>
    <row r="2089" spans="1:19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</row>
    <row r="2090" spans="1:19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</row>
    <row r="2091" spans="1:19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</row>
    <row r="2092" spans="1:19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</row>
    <row r="2093" spans="1:19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</row>
    <row r="2094" spans="1:19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</row>
    <row r="2095" spans="1:19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</row>
    <row r="2096" spans="1:19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</row>
    <row r="2097" spans="1:19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</row>
    <row r="2098" spans="1:19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</row>
    <row r="2099" spans="1:19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</row>
    <row r="2100" spans="1:19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</row>
    <row r="2101" spans="1:19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</row>
    <row r="2102" spans="1:19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</row>
    <row r="2103" spans="1:19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</row>
    <row r="2104" spans="1:19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</row>
    <row r="2105" spans="1:19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</row>
    <row r="2106" spans="1:19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</row>
    <row r="2107" spans="1:19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</row>
    <row r="2108" spans="1:19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</row>
    <row r="2109" spans="1:19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</row>
    <row r="2110" spans="1:19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</row>
    <row r="2111" spans="1:19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</row>
    <row r="2112" spans="1:19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</row>
    <row r="2113" spans="1:19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</row>
    <row r="2114" spans="1:19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</row>
    <row r="2115" spans="1:19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</row>
    <row r="2116" spans="1:19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</row>
    <row r="2117" spans="1:19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</row>
    <row r="2118" spans="1:19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</row>
    <row r="2119" spans="1:19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</row>
    <row r="2120" spans="1:19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</row>
    <row r="2121" spans="1:19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</row>
    <row r="2122" spans="1:19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</row>
    <row r="2123" spans="1:19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</row>
    <row r="2124" spans="1:19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</row>
    <row r="2125" spans="1:19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</row>
    <row r="2126" spans="1:19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</row>
    <row r="2127" spans="1:19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</row>
    <row r="2128" spans="1:19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</row>
    <row r="2129" spans="1:19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</row>
    <row r="2130" spans="1:19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</row>
    <row r="2131" spans="1:19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</row>
    <row r="2132" spans="1:19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</row>
    <row r="2133" spans="1:19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</row>
    <row r="2134" spans="1:19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</row>
    <row r="2135" spans="1:19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</row>
    <row r="2136" spans="1:19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</row>
    <row r="2137" spans="1:19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</row>
    <row r="2138" spans="1:19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</row>
    <row r="2139" spans="1:19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</row>
    <row r="2140" spans="1:19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</row>
    <row r="2141" spans="1:19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</row>
    <row r="2142" spans="1:19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</row>
    <row r="2143" spans="1:19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</row>
    <row r="2144" spans="1:19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</row>
    <row r="2145" spans="1:19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</row>
    <row r="2146" spans="1:19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</row>
    <row r="2147" spans="1:19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</row>
    <row r="2148" spans="1:19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</row>
    <row r="2149" spans="1:19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</row>
    <row r="2150" spans="1:19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</row>
    <row r="2151" spans="1:19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</row>
    <row r="2152" spans="1:19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</row>
    <row r="2153" spans="1:19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</row>
    <row r="2154" spans="1:19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</row>
    <row r="2155" spans="1:19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</row>
    <row r="2156" spans="1:19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</row>
    <row r="2157" spans="1:19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</row>
    <row r="2158" spans="1:19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</row>
    <row r="2159" spans="1:19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</row>
    <row r="2160" spans="1:19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</row>
    <row r="2161" spans="1:19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</row>
    <row r="2162" spans="1:19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</row>
    <row r="2163" spans="1:19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</row>
    <row r="2164" spans="1:19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</row>
    <row r="2165" spans="1:19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</row>
    <row r="2166" spans="1:19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</row>
    <row r="2167" spans="1:19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</row>
    <row r="2168" spans="1:19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</row>
    <row r="2169" spans="1:19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</row>
    <row r="2170" spans="1:19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</row>
    <row r="2171" spans="1:19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</row>
    <row r="2172" spans="1:19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</row>
    <row r="2173" spans="1:19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</row>
    <row r="2174" spans="1:19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</row>
    <row r="2175" spans="1:19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</row>
    <row r="2176" spans="1:19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</row>
    <row r="2177" spans="1:19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</row>
    <row r="2178" spans="1:19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</row>
    <row r="2179" spans="1:19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</row>
    <row r="2180" spans="1:19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</row>
    <row r="2181" spans="1:19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</row>
    <row r="2182" spans="1:19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</row>
    <row r="2183" spans="1:19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</row>
    <row r="2184" spans="1:19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</row>
    <row r="2185" spans="1:19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</row>
    <row r="2186" spans="1:19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</row>
    <row r="2187" spans="1:19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</row>
    <row r="2188" spans="1:19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</row>
    <row r="2189" spans="1:19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</row>
    <row r="2190" spans="1:19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</row>
    <row r="2191" spans="1:19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</row>
    <row r="2192" spans="1:19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</row>
    <row r="2193" spans="1:19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</row>
    <row r="2194" spans="1:19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</row>
    <row r="2195" spans="1:19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</row>
    <row r="2196" spans="1:19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</row>
    <row r="2197" spans="1:19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</row>
    <row r="2198" spans="1:19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</row>
    <row r="2199" spans="1:19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</row>
    <row r="2200" spans="1:19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</row>
    <row r="2201" spans="1:19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</row>
    <row r="2202" spans="1:19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</row>
    <row r="2203" spans="1:19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</row>
    <row r="2204" spans="1:19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</row>
    <row r="2205" spans="1:19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</row>
    <row r="2206" spans="1:19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</row>
    <row r="2207" spans="1:19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</row>
    <row r="2208" spans="1:19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</row>
    <row r="2209" spans="1:19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</row>
    <row r="2210" spans="1:19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</row>
    <row r="2211" spans="1:19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</row>
    <row r="2212" spans="1:19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</row>
    <row r="2213" spans="1:19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</row>
    <row r="2214" spans="1:19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</row>
    <row r="2215" spans="1:19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</row>
    <row r="2216" spans="1:19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</row>
    <row r="2217" spans="1:19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</row>
    <row r="2218" spans="1:19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</row>
    <row r="2219" spans="1:19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</row>
    <row r="2220" spans="1:19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</row>
    <row r="2221" spans="1:19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</row>
    <row r="2222" spans="1:19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</row>
    <row r="2223" spans="1:19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</row>
    <row r="2224" spans="1:19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</row>
    <row r="2225" spans="1:19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</row>
    <row r="2226" spans="1:19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</row>
    <row r="2227" spans="1:19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</row>
    <row r="2228" spans="1:19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</row>
    <row r="2229" spans="1:19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</row>
    <row r="2230" spans="1:19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</row>
    <row r="2231" spans="1:19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</row>
    <row r="2232" spans="1:19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</row>
    <row r="2233" spans="1:19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</row>
    <row r="2234" spans="1:19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</row>
    <row r="2235" spans="1:19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</row>
    <row r="2236" spans="1:19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</row>
    <row r="2237" spans="1:19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</row>
    <row r="2238" spans="1:19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</row>
    <row r="2239" spans="1:19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</row>
    <row r="2240" spans="1:19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</row>
    <row r="2241" spans="1:19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</row>
    <row r="2242" spans="1:19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</row>
    <row r="2243" spans="1:19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</row>
    <row r="2244" spans="1:19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</row>
    <row r="2245" spans="1:19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</row>
    <row r="2246" spans="1:19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</row>
    <row r="2247" spans="1:19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</row>
    <row r="2248" spans="1:19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</row>
    <row r="2249" spans="1:19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</row>
    <row r="2250" spans="1:19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</row>
    <row r="2251" spans="1:19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</row>
    <row r="2252" spans="1:19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</row>
    <row r="2253" spans="1:19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</row>
    <row r="2254" spans="1:19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</row>
    <row r="2255" spans="1:19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</row>
    <row r="2256" spans="1:19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</row>
    <row r="2257" spans="1:19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</row>
    <row r="2258" spans="1:19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</row>
    <row r="2259" spans="1:19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</row>
    <row r="2260" spans="1:19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</row>
    <row r="2261" spans="1:19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</row>
    <row r="2262" spans="1:19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</row>
    <row r="2263" spans="1:19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</row>
    <row r="2264" spans="1:19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</row>
    <row r="2265" spans="1:19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</row>
    <row r="2266" spans="1:19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</row>
    <row r="2267" spans="1:19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</row>
    <row r="2268" spans="1:19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</row>
    <row r="2269" spans="1:19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</row>
    <row r="2270" spans="1:19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</row>
    <row r="2271" spans="1:19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</row>
    <row r="2272" spans="1:19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</row>
    <row r="2273" spans="1:19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</row>
    <row r="2274" spans="1:19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</row>
    <row r="2275" spans="1:19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</row>
    <row r="2276" spans="1:19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</row>
    <row r="2277" spans="1:19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</row>
    <row r="2278" spans="1:19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</row>
    <row r="2279" spans="1:19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</row>
    <row r="2280" spans="1:19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</row>
    <row r="2281" spans="1:19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</row>
    <row r="2282" spans="1:19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</row>
    <row r="2283" spans="1:19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</row>
    <row r="2284" spans="1:19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</row>
    <row r="2285" spans="1:19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</row>
    <row r="2286" spans="1:19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</row>
    <row r="2287" spans="1:19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</row>
    <row r="2288" spans="1:19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</row>
    <row r="2289" spans="1:19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</row>
    <row r="2290" spans="1:19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</row>
    <row r="2291" spans="1:19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</row>
    <row r="2292" spans="1:19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</row>
    <row r="2293" spans="1:19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</row>
    <row r="2294" spans="1:19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</row>
    <row r="2295" spans="1:19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</row>
    <row r="2296" spans="1:19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</row>
    <row r="2297" spans="1:19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</row>
    <row r="2298" spans="1:19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</row>
    <row r="2299" spans="1:19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</row>
    <row r="2300" spans="1:19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</row>
    <row r="2301" spans="1:19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</row>
    <row r="2302" spans="1:19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</row>
    <row r="2303" spans="1:19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</row>
    <row r="2304" spans="1:19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</row>
    <row r="2305" spans="1:19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</row>
    <row r="2306" spans="1:19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</row>
    <row r="2307" spans="1:19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</row>
    <row r="2308" spans="1:19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</row>
    <row r="2309" spans="1:19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</row>
    <row r="2310" spans="1:19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</row>
    <row r="2311" spans="1:19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</row>
    <row r="2312" spans="1:19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</row>
    <row r="2313" spans="1:19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</row>
    <row r="2314" spans="1:19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</row>
    <row r="2315" spans="1:19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</row>
    <row r="2316" spans="1:19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</row>
    <row r="2317" spans="1:19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</row>
    <row r="2318" spans="1:19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</row>
    <row r="2319" spans="1:19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</row>
    <row r="2320" spans="1:19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</row>
    <row r="2321" spans="1:19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</row>
    <row r="2322" spans="1:19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</row>
    <row r="2323" spans="1:19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</row>
    <row r="2324" spans="1:19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</row>
    <row r="2325" spans="1:19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</row>
    <row r="2326" spans="1:19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</row>
    <row r="2327" spans="1:19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</row>
    <row r="2328" spans="1:19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</row>
    <row r="2329" spans="1:19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</row>
    <row r="2330" spans="1:19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</row>
    <row r="2331" spans="1:19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</row>
    <row r="2332" spans="1:19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</row>
    <row r="2333" spans="1:19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</row>
    <row r="2334" spans="1:19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</row>
    <row r="2335" spans="1:19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</row>
    <row r="2336" spans="1:19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</row>
    <row r="2337" spans="1:19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</row>
    <row r="2338" spans="1:19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</row>
    <row r="2339" spans="1:19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</row>
    <row r="2340" spans="1:19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</row>
    <row r="2341" spans="1:19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</row>
    <row r="2342" spans="1:19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</row>
    <row r="2343" spans="1:19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</row>
    <row r="2344" spans="1:19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</row>
    <row r="2345" spans="1:19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</row>
    <row r="2346" spans="1:19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</row>
    <row r="2347" spans="1:19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</row>
    <row r="2348" spans="1:19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</row>
    <row r="2349" spans="1:19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</row>
    <row r="2350" spans="1:19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</row>
    <row r="2351" spans="1:19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</row>
    <row r="2352" spans="1:19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</row>
    <row r="2353" spans="1:19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</row>
    <row r="2354" spans="1:19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</row>
    <row r="2355" spans="1:19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</row>
    <row r="2356" spans="1:19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</row>
    <row r="2357" spans="1:19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</row>
    <row r="2358" spans="1:19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</row>
    <row r="2359" spans="1:19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</row>
    <row r="2360" spans="1:19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</row>
    <row r="2361" spans="1:19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</row>
    <row r="2362" spans="1:19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</row>
    <row r="2363" spans="1:19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</row>
    <row r="2364" spans="1:19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</row>
    <row r="2365" spans="1:19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</row>
    <row r="2366" spans="1:19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</row>
    <row r="2367" spans="1:19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</row>
    <row r="2368" spans="1:19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</row>
    <row r="2369" spans="1:19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</row>
    <row r="2370" spans="1:19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</row>
    <row r="2371" spans="1:19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</row>
    <row r="2372" spans="1:19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</row>
    <row r="2373" spans="1:19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</row>
    <row r="2374" spans="1:19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</row>
    <row r="2375" spans="1:19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</row>
    <row r="2376" spans="1:19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</row>
    <row r="2377" spans="1:19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</row>
    <row r="2378" spans="1:19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</row>
    <row r="2379" spans="1:19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</row>
    <row r="2380" spans="1:19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</row>
    <row r="2381" spans="1:19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</row>
    <row r="2382" spans="1:19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</row>
    <row r="2383" spans="1:19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</row>
    <row r="2384" spans="1:19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</row>
    <row r="2385" spans="1:19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</row>
    <row r="2386" spans="1:19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</row>
    <row r="2387" spans="1:19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</row>
    <row r="2388" spans="1:19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</row>
    <row r="2389" spans="1:19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</row>
    <row r="2390" spans="1:19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</row>
    <row r="2391" spans="1:19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</row>
    <row r="2392" spans="1:19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</row>
    <row r="2393" spans="1:19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</row>
    <row r="2394" spans="1:19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</row>
    <row r="2395" spans="1:19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</row>
    <row r="2396" spans="1:19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</row>
    <row r="2397" spans="1:19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</row>
    <row r="2398" spans="1:19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</row>
    <row r="2399" spans="1:19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</row>
    <row r="2400" spans="1:19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</row>
    <row r="2401" spans="1:19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</row>
    <row r="2402" spans="1:19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</row>
    <row r="2403" spans="1:19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</row>
    <row r="2404" spans="1:19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</row>
    <row r="2405" spans="1:19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</row>
    <row r="2406" spans="1:19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</row>
    <row r="2407" spans="1:19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</row>
    <row r="2408" spans="1:19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</row>
    <row r="2409" spans="1:19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</row>
    <row r="2410" spans="1:19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</row>
    <row r="2411" spans="1:19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</row>
    <row r="2412" spans="1:19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</row>
    <row r="2413" spans="1:19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</row>
    <row r="2414" spans="1:19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</row>
    <row r="2415" spans="1:19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</row>
    <row r="2416" spans="1:19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</row>
    <row r="2417" spans="1:19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</row>
    <row r="2418" spans="1:19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</row>
    <row r="2419" spans="1:19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</row>
    <row r="2420" spans="1:19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</row>
    <row r="2421" spans="1:19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</row>
    <row r="2422" spans="1:19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</row>
    <row r="2423" spans="1:19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</row>
    <row r="2424" spans="1:19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</row>
    <row r="2425" spans="1:19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</row>
    <row r="2426" spans="1:19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</row>
    <row r="2427" spans="1:19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</row>
    <row r="2428" spans="1:19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</row>
    <row r="2429" spans="1:19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</row>
    <row r="2430" spans="1:19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</row>
    <row r="2431" spans="1:19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</row>
    <row r="2432" spans="1:19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</row>
    <row r="2433" spans="1:19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</row>
    <row r="2434" spans="1:19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</row>
    <row r="2435" spans="1:19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</row>
    <row r="2436" spans="1:19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</row>
    <row r="2437" spans="1:19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</row>
    <row r="2438" spans="1:19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</row>
    <row r="2439" spans="1:19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</row>
    <row r="2440" spans="1:19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</row>
    <row r="2441" spans="1:19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</row>
    <row r="2442" spans="1:19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</row>
    <row r="2443" spans="1:19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</row>
    <row r="2444" spans="1:19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</row>
    <row r="2445" spans="1:19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</row>
    <row r="2446" spans="1:19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</row>
    <row r="2447" spans="1:19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</row>
    <row r="2448" spans="1:19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</row>
    <row r="2449" spans="1:19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</row>
    <row r="2450" spans="1:19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</row>
    <row r="2451" spans="1:19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</row>
    <row r="2452" spans="1:19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</row>
    <row r="2453" spans="1:19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</row>
    <row r="2454" spans="1:19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</row>
    <row r="2455" spans="1:19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</row>
    <row r="2456" spans="1:19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</row>
    <row r="2457" spans="1:19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</row>
    <row r="2458" spans="1:19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</row>
    <row r="2459" spans="1:19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</row>
    <row r="2460" spans="1:19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</row>
    <row r="2461" spans="1:19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</row>
    <row r="2462" spans="1:19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</row>
    <row r="2463" spans="1:19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</row>
    <row r="2464" spans="1:19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</row>
    <row r="2465" spans="1:19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</row>
    <row r="2466" spans="1:19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</row>
    <row r="2467" spans="1:19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</row>
    <row r="2468" spans="1:19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</row>
    <row r="2469" spans="1:19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</row>
    <row r="2470" spans="1:19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</row>
    <row r="2471" spans="1:19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</row>
    <row r="2472" spans="1:19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</row>
    <row r="2473" spans="1:19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</row>
    <row r="2474" spans="1:19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</row>
    <row r="2475" spans="1:19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</row>
    <row r="2476" spans="1:19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</row>
    <row r="2477" spans="1:19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</row>
    <row r="2478" spans="1:19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</row>
    <row r="2479" spans="1:19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</row>
    <row r="2480" spans="1:19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</row>
    <row r="2481" spans="1:19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</row>
    <row r="2482" spans="1:19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</row>
    <row r="2483" spans="1:19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</row>
    <row r="2484" spans="1:19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</row>
    <row r="2485" spans="1:19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</row>
    <row r="2486" spans="1:19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</row>
    <row r="2487" spans="1:19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</row>
    <row r="2488" spans="1:19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</row>
    <row r="2489" spans="1:19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</row>
    <row r="2490" spans="1:19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</row>
    <row r="2491" spans="1:19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</row>
    <row r="2492" spans="1:19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</row>
    <row r="2493" spans="1:19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</row>
    <row r="2494" spans="1:19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</row>
    <row r="2495" spans="1:19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</row>
    <row r="2496" spans="1:19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</row>
    <row r="2497" spans="1:19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</row>
    <row r="2498" spans="1:19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</row>
    <row r="2499" spans="1:19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</row>
    <row r="2500" spans="1:19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</row>
    <row r="2501" spans="1:19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</row>
    <row r="2502" spans="1:19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</row>
    <row r="2503" spans="1:19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</row>
    <row r="2504" spans="1:19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</row>
    <row r="2505" spans="1:19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</row>
    <row r="2506" spans="1:19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</row>
    <row r="2507" spans="1:19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</row>
    <row r="2508" spans="1:19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</row>
    <row r="2509" spans="1:19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</row>
    <row r="2510" spans="1:19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</row>
    <row r="2511" spans="1:19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</row>
    <row r="2512" spans="1:19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</row>
    <row r="2513" spans="1:19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</row>
    <row r="2514" spans="1:19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</row>
    <row r="2515" spans="1:19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</row>
    <row r="2516" spans="1:19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</row>
    <row r="2517" spans="1:19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</row>
    <row r="2518" spans="1:19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</row>
    <row r="2519" spans="1:19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</row>
    <row r="2520" spans="1:19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</row>
    <row r="2521" spans="1:19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</row>
    <row r="2522" spans="1:19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</row>
    <row r="2523" spans="1:19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</row>
    <row r="2524" spans="1:19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</row>
    <row r="2525" spans="1:19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</row>
    <row r="2526" spans="1:19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</row>
    <row r="2527" spans="1:19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</row>
    <row r="2528" spans="1:19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</row>
    <row r="2529" spans="1:19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</row>
    <row r="2530" spans="1:19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</row>
    <row r="2531" spans="1:19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</row>
    <row r="2532" spans="1:19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</row>
    <row r="2533" spans="1:19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</row>
    <row r="2534" spans="1:19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</row>
    <row r="2535" spans="1:19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</row>
    <row r="2536" spans="1:19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</row>
    <row r="2537" spans="1:19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</row>
    <row r="2538" spans="1:19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</row>
    <row r="2539" spans="1:19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</row>
    <row r="2540" spans="1:19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</row>
    <row r="2541" spans="1:19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</row>
    <row r="2542" spans="1:19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</row>
    <row r="2543" spans="1:19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</row>
    <row r="2544" spans="1:19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</row>
    <row r="2545" spans="1:19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</row>
    <row r="2546" spans="1:19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</row>
    <row r="2547" spans="1:19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</row>
    <row r="2548" spans="1:19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</row>
    <row r="2549" spans="1:19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</row>
    <row r="2550" spans="1:19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</row>
    <row r="2551" spans="1:19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</row>
    <row r="2552" spans="1:19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</row>
    <row r="2553" spans="1:19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</row>
    <row r="2554" spans="1:19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</row>
    <row r="2555" spans="1:19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</row>
    <row r="2556" spans="1:19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</row>
    <row r="2557" spans="1:19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</row>
    <row r="2558" spans="1:19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</row>
    <row r="2559" spans="1:19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</row>
    <row r="2560" spans="1:19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</row>
    <row r="2561" spans="1:19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</row>
    <row r="2562" spans="1:19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</row>
    <row r="2563" spans="1:19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</row>
    <row r="2564" spans="1:19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</row>
    <row r="2565" spans="1:19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</row>
    <row r="2566" spans="1:19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</row>
    <row r="2567" spans="1:19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</row>
    <row r="2568" spans="1:19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</row>
    <row r="2569" spans="1:19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</row>
    <row r="2570" spans="1:19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</row>
    <row r="2571" spans="1:19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</row>
    <row r="2572" spans="1:19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</row>
    <row r="2573" spans="1:19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</row>
    <row r="2574" spans="1:19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</row>
    <row r="2575" spans="1:19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</row>
    <row r="2576" spans="1:19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</row>
    <row r="2577" spans="1:19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</row>
    <row r="2578" spans="1:19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</row>
    <row r="2579" spans="1:19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</row>
    <row r="2580" spans="1:19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</row>
    <row r="2581" spans="1:19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</row>
    <row r="2582" spans="1:19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</row>
    <row r="2583" spans="1:19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</row>
    <row r="2584" spans="1:19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</row>
    <row r="2585" spans="1:19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</row>
    <row r="2586" spans="1:19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</row>
    <row r="2587" spans="1:19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</row>
    <row r="2588" spans="1:19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</row>
    <row r="2589" spans="1:19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</row>
    <row r="2590" spans="1:19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</row>
    <row r="2591" spans="1:19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</row>
    <row r="2592" spans="1:19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</row>
    <row r="2593" spans="1:19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</row>
    <row r="2594" spans="1:19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</row>
    <row r="2595" spans="1:19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</row>
    <row r="2596" spans="1:19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</row>
    <row r="2597" spans="1:19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</row>
    <row r="2598" spans="1:19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</row>
    <row r="2599" spans="1:19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</row>
    <row r="2600" spans="1:19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</row>
    <row r="2601" spans="1:19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</row>
    <row r="2602" spans="1:19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</row>
    <row r="2603" spans="1:19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</row>
    <row r="2604" spans="1:19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</row>
    <row r="2605" spans="1:19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</row>
    <row r="2606" spans="1:19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</row>
    <row r="2607" spans="1:19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</row>
    <row r="2608" spans="1:19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</row>
    <row r="2609" spans="1:19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</row>
    <row r="2610" spans="1:19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</row>
    <row r="2611" spans="1:19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</row>
    <row r="2612" spans="1:19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</row>
    <row r="2613" spans="1:19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</row>
    <row r="2614" spans="1:19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</row>
    <row r="2615" spans="1:19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</row>
    <row r="2616" spans="1:19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</row>
    <row r="2617" spans="1:19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</row>
    <row r="2618" spans="1:19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</row>
    <row r="2619" spans="1:19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</row>
    <row r="2620" spans="1:19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</row>
    <row r="2621" spans="1:19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</row>
    <row r="2622" spans="1:19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</row>
    <row r="2623" spans="1:19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</row>
    <row r="2624" spans="1:19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</row>
    <row r="2625" spans="1:19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</row>
    <row r="2626" spans="1:19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</row>
    <row r="2627" spans="1:19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</row>
    <row r="2628" spans="1:19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</row>
    <row r="2629" spans="1:19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</row>
    <row r="2630" spans="1:19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</row>
    <row r="2631" spans="1:19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</row>
    <row r="2632" spans="1:19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</row>
    <row r="2633" spans="1:19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</row>
    <row r="2634" spans="1:19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</row>
    <row r="2635" spans="1:19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</row>
    <row r="2636" spans="1:19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</row>
    <row r="2637" spans="1:19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</row>
    <row r="2638" spans="1:19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</row>
    <row r="2639" spans="1:19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</row>
    <row r="2640" spans="1:19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</row>
    <row r="2641" spans="1:19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</row>
    <row r="2642" spans="1:19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</row>
    <row r="2643" spans="1:19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</row>
    <row r="2644" spans="1:19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</row>
    <row r="2645" spans="1:19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</row>
    <row r="2646" spans="1:19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</row>
    <row r="2647" spans="1:19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</row>
    <row r="2648" spans="1:19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</row>
    <row r="2649" spans="1:19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</row>
    <row r="2650" spans="1:19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</row>
    <row r="2651" spans="1:19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</row>
    <row r="2652" spans="1:19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</row>
    <row r="2653" spans="1:19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</row>
    <row r="2654" spans="1:19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</row>
    <row r="2655" spans="1:19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</row>
    <row r="2656" spans="1:19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</row>
    <row r="2657" spans="1:19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</row>
    <row r="2658" spans="1:19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</row>
    <row r="2659" spans="1:19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</row>
    <row r="2660" spans="1:19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</row>
    <row r="2661" spans="1:19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</row>
    <row r="2662" spans="1:19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</row>
    <row r="2663" spans="1:19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</row>
    <row r="2664" spans="1:19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</row>
    <row r="2665" spans="1:19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</row>
    <row r="2666" spans="1:19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</row>
    <row r="2667" spans="1:19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</row>
    <row r="2668" spans="1:19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</row>
    <row r="2669" spans="1:19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</row>
    <row r="2670" spans="1:19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</row>
    <row r="2671" spans="1:19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</row>
    <row r="2672" spans="1:19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</row>
    <row r="2673" spans="1:19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</row>
    <row r="2674" spans="1:19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</row>
    <row r="2675" spans="1:19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</row>
    <row r="2676" spans="1:19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</row>
    <row r="2677" spans="1:19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</row>
    <row r="2678" spans="1:19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</row>
    <row r="2679" spans="1:19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</row>
    <row r="2680" spans="1:19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</row>
    <row r="2681" spans="1:19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</row>
    <row r="2682" spans="1:19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</row>
    <row r="2683" spans="1:19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</row>
    <row r="2684" spans="1:19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</row>
    <row r="2685" spans="1:19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</row>
    <row r="2686" spans="1:19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</row>
    <row r="2687" spans="1:19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</row>
    <row r="2688" spans="1:19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</row>
    <row r="2689" spans="1:19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</row>
    <row r="2690" spans="1:19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</row>
    <row r="2691" spans="1:19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</row>
    <row r="2692" spans="1:19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</row>
    <row r="2693" spans="1:19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</row>
    <row r="2694" spans="1:19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</row>
    <row r="2695" spans="1:19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</row>
    <row r="2696" spans="1:19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</row>
    <row r="2697" spans="1:19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</row>
    <row r="2698" spans="1:19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</row>
    <row r="2699" spans="1:19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</row>
    <row r="2700" spans="1:19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</row>
    <row r="2701" spans="1:19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</row>
    <row r="2702" spans="1:19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</row>
    <row r="2703" spans="1:19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</row>
    <row r="2704" spans="1:19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</row>
    <row r="2705" spans="1:19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</row>
    <row r="2706" spans="1:19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</row>
    <row r="2707" spans="1:19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</row>
    <row r="2708" spans="1:19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</row>
    <row r="2709" spans="1:19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</row>
    <row r="2710" spans="1:19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</row>
    <row r="2711" spans="1:19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</row>
    <row r="2712" spans="1:19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</row>
    <row r="2713" spans="1:19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</row>
    <row r="2714" spans="1:19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</row>
    <row r="2715" spans="1:19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</row>
    <row r="2716" spans="1:19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</row>
    <row r="2717" spans="1:19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</row>
    <row r="2718" spans="1:19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</row>
    <row r="2719" spans="1:19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</row>
    <row r="2720" spans="1:19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</row>
    <row r="2721" spans="1:19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</row>
    <row r="2722" spans="1:19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</row>
    <row r="2723" spans="1:19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</row>
    <row r="2724" spans="1:19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</row>
    <row r="2725" spans="1:19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</row>
    <row r="2726" spans="1:19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</row>
    <row r="2727" spans="1:19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</row>
    <row r="2728" spans="1:19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</row>
    <row r="2729" spans="1:19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</row>
    <row r="2730" spans="1:19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</row>
    <row r="2731" spans="1:19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</row>
    <row r="2732" spans="1:19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</row>
    <row r="2733" spans="1:19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</row>
    <row r="2734" spans="1:19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</row>
    <row r="2735" spans="1:19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</row>
    <row r="2736" spans="1:19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</row>
    <row r="2737" spans="1:19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</row>
    <row r="2738" spans="1:19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</row>
    <row r="2739" spans="1:19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</row>
    <row r="2740" spans="1:19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</row>
    <row r="2741" spans="1:19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</row>
    <row r="2742" spans="1:19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</row>
    <row r="2743" spans="1:19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</row>
    <row r="2744" spans="1:19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</row>
    <row r="2745" spans="1:19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</row>
    <row r="2746" spans="1:19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</row>
    <row r="2747" spans="1:19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</row>
    <row r="2748" spans="1:19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</row>
    <row r="2749" spans="1:19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</row>
    <row r="2750" spans="1:19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</row>
    <row r="2751" spans="1:19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</row>
    <row r="2752" spans="1:19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</row>
    <row r="2753" spans="1:19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</row>
    <row r="2754" spans="1:19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</row>
    <row r="2755" spans="1:19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</row>
    <row r="2756" spans="1:19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</row>
    <row r="2757" spans="1:19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</row>
    <row r="2758" spans="1:19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</row>
    <row r="2759" spans="1:19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</row>
    <row r="2760" spans="1:19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</row>
    <row r="2761" spans="1:19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</row>
    <row r="2762" spans="1:19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</row>
    <row r="2763" spans="1:19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</row>
    <row r="2764" spans="1:19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</row>
    <row r="2765" spans="1:19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</row>
    <row r="2766" spans="1:19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</row>
    <row r="2767" spans="1:19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</row>
    <row r="2768" spans="1:19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</row>
    <row r="2769" spans="1:19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</row>
    <row r="2770" spans="1:19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</row>
    <row r="2771" spans="1:19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</row>
    <row r="2772" spans="1:19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</row>
    <row r="2773" spans="1:19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</row>
    <row r="2774" spans="1:19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</row>
    <row r="2775" spans="1:19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</row>
    <row r="2776" spans="1:19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</row>
    <row r="2777" spans="1:19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</row>
    <row r="2778" spans="1:19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</row>
    <row r="2779" spans="1:19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</row>
    <row r="2780" spans="1:19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</row>
    <row r="2781" spans="1:19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</row>
    <row r="2782" spans="1:19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</row>
    <row r="2783" spans="1:19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</row>
    <row r="2784" spans="1:19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</row>
    <row r="2785" spans="1:19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</row>
    <row r="2786" spans="1:19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</row>
    <row r="2787" spans="1:19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</row>
    <row r="2788" spans="1:19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</row>
    <row r="2789" spans="1:19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</row>
    <row r="2790" spans="1:19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</row>
    <row r="2791" spans="1:19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</row>
    <row r="2792" spans="1:19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</row>
    <row r="2793" spans="1:19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</row>
    <row r="2794" spans="1:19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</row>
    <row r="2795" spans="1:19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</row>
    <row r="2796" spans="1:19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</row>
    <row r="2797" spans="1:19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</row>
    <row r="2798" spans="1:19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</row>
    <row r="2799" spans="1:19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</row>
    <row r="2800" spans="1:19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</row>
    <row r="2801" spans="1:19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</row>
    <row r="2802" spans="1:19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</row>
    <row r="2803" spans="1:19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</row>
    <row r="2804" spans="1:19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</row>
    <row r="2805" spans="1:19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</row>
    <row r="2806" spans="1:19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</row>
    <row r="2807" spans="1:19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</row>
    <row r="2808" spans="1:19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</row>
    <row r="2809" spans="1:19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</row>
    <row r="2810" spans="1:19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</row>
    <row r="2811" spans="1:19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</row>
    <row r="2812" spans="1:19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</row>
    <row r="2813" spans="1:19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</row>
    <row r="2814" spans="1:19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</row>
    <row r="2815" spans="1:19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</row>
    <row r="2816" spans="1:19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</row>
    <row r="2817" spans="1:19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</row>
    <row r="2818" spans="1:19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</row>
    <row r="2819" spans="1:19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</row>
    <row r="2820" spans="1:19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</row>
    <row r="2821" spans="1:19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</row>
    <row r="2822" spans="1:19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</row>
    <row r="2823" spans="1:19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</row>
    <row r="2824" spans="1:19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</row>
    <row r="2825" spans="1:19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</row>
    <row r="2826" spans="1:19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</row>
    <row r="2827" spans="1:19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</row>
    <row r="2828" spans="1:19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</row>
    <row r="2829" spans="1:19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</row>
    <row r="2830" spans="1:19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</row>
    <row r="2831" spans="1:19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</row>
    <row r="2832" spans="1:19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</row>
    <row r="2833" spans="1:19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</row>
    <row r="2834" spans="1:19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</row>
    <row r="2835" spans="1:19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</row>
    <row r="2836" spans="1:19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</row>
    <row r="2837" spans="1:19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</row>
    <row r="2838" spans="1:19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</row>
    <row r="2839" spans="1:19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</row>
    <row r="2840" spans="1:19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</row>
    <row r="2841" spans="1:19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</row>
    <row r="2842" spans="1:19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</row>
    <row r="2843" spans="1:19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</row>
    <row r="2844" spans="1:19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</row>
    <row r="2845" spans="1:19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</row>
    <row r="2846" spans="1:19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</row>
    <row r="2847" spans="1:19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</row>
    <row r="2848" spans="1:19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</row>
    <row r="2849" spans="1:19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</row>
    <row r="2850" spans="1:19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</row>
    <row r="2851" spans="1:19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</row>
    <row r="2852" spans="1:19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</row>
    <row r="2853" spans="1:19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</row>
    <row r="2854" spans="1:19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</row>
    <row r="2855" spans="1:19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</row>
    <row r="2856" spans="1:19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</row>
    <row r="2857" spans="1:19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</row>
    <row r="2858" spans="1:19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</row>
    <row r="2859" spans="1:19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</row>
    <row r="2860" spans="1:19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</row>
    <row r="2861" spans="1:19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</row>
    <row r="2862" spans="1:19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</row>
    <row r="2863" spans="1:19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</row>
    <row r="2864" spans="1:19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</row>
    <row r="2865" spans="1:19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</row>
    <row r="2866" spans="1:19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</row>
    <row r="2867" spans="1:19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</row>
    <row r="2868" spans="1:19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</row>
    <row r="2869" spans="1:19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</row>
    <row r="2870" spans="1:19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</row>
    <row r="2871" spans="1:19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</row>
    <row r="2872" spans="1:19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</row>
    <row r="2873" spans="1:19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</row>
    <row r="2874" spans="1:19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</row>
    <row r="2875" spans="1:19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</row>
    <row r="2876" spans="1:19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</row>
    <row r="2877" spans="1:19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</row>
    <row r="2878" spans="1:19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</row>
    <row r="2879" spans="1:19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</row>
    <row r="2880" spans="1:19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</row>
    <row r="2881" spans="1:19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</row>
    <row r="2882" spans="1:19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</row>
    <row r="2883" spans="1:19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</row>
    <row r="2884" spans="1:19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</row>
    <row r="2885" spans="1:19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</row>
    <row r="2886" spans="1:19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</row>
    <row r="2887" spans="1:19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</row>
    <row r="2888" spans="1:19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</row>
    <row r="2889" spans="1:19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</row>
    <row r="2890" spans="1:19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</row>
    <row r="2891" spans="1:19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</row>
    <row r="2892" spans="1:19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</row>
    <row r="2893" spans="1:19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</row>
    <row r="2894" spans="1:19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</row>
    <row r="2895" spans="1:19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</row>
    <row r="2896" spans="1:19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</row>
    <row r="2897" spans="1:19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</row>
    <row r="2898" spans="1:19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</row>
    <row r="2899" spans="1:19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</row>
    <row r="2900" spans="1:19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</row>
    <row r="2901" spans="1:19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</row>
    <row r="2902" spans="1:19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</row>
    <row r="2903" spans="1:19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</row>
    <row r="2904" spans="1:19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</row>
    <row r="2905" spans="1:19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</row>
    <row r="2906" spans="1:19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</row>
    <row r="2907" spans="1:19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</row>
    <row r="2908" spans="1:19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</row>
    <row r="2909" spans="1:19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</row>
    <row r="2910" spans="1:19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</row>
    <row r="2911" spans="1:19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</row>
    <row r="2912" spans="1:19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</row>
    <row r="2913" spans="1:19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</row>
    <row r="2914" spans="1:19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</row>
    <row r="2915" spans="1:19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</row>
    <row r="2916" spans="1:19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</row>
    <row r="2917" spans="1:19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</row>
    <row r="2918" spans="1:19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</row>
    <row r="2919" spans="1:19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</row>
    <row r="2920" spans="1:19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</row>
    <row r="2921" spans="1:19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</row>
    <row r="2922" spans="1:19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</row>
    <row r="2923" spans="1:19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</row>
    <row r="2924" spans="1:19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</row>
    <row r="2925" spans="1:19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</row>
    <row r="2926" spans="1:19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</row>
    <row r="2927" spans="1:19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</row>
    <row r="2928" spans="1:19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</row>
    <row r="2929" spans="1:19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</row>
    <row r="2930" spans="1:19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</row>
    <row r="2931" spans="1:19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</row>
    <row r="2932" spans="1:19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</row>
    <row r="2933" spans="1:19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</row>
    <row r="2934" spans="1:19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</row>
    <row r="2935" spans="1:19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</row>
    <row r="2936" spans="1:19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</row>
    <row r="2937" spans="1:19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</row>
    <row r="2938" spans="1:19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</row>
    <row r="2939" spans="1:19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</row>
    <row r="2940" spans="1:19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</row>
    <row r="2941" spans="1:19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</row>
    <row r="2942" spans="1:19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</row>
    <row r="2943" spans="1:19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</row>
    <row r="2944" spans="1:19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</row>
    <row r="2945" spans="1:19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</row>
    <row r="2946" spans="1:19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</row>
    <row r="2947" spans="1:19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</row>
    <row r="2948" spans="1:19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</row>
    <row r="2949" spans="1:19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</row>
    <row r="2950" spans="1:19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</row>
    <row r="2951" spans="1:19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</row>
    <row r="2952" spans="1:19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</row>
    <row r="2953" spans="1:19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</row>
    <row r="2954" spans="1:19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</row>
    <row r="2955" spans="1:19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</row>
    <row r="2956" spans="1:19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</row>
    <row r="2957" spans="1:19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</row>
    <row r="2958" spans="1:19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</row>
    <row r="2959" spans="1:19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</row>
    <row r="2960" spans="1:19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</row>
    <row r="2961" spans="1:19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</row>
    <row r="2962" spans="1:19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</row>
    <row r="2963" spans="1:19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</row>
    <row r="2964" spans="1:19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</row>
    <row r="2965" spans="1:19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</row>
    <row r="2966" spans="1:19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</row>
    <row r="2967" spans="1:19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</row>
    <row r="2968" spans="1:19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</row>
    <row r="2969" spans="1:19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</row>
    <row r="2970" spans="1:19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</row>
    <row r="2971" spans="1:19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</row>
    <row r="2972" spans="1:19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</row>
    <row r="2973" spans="1:19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</row>
    <row r="2974" spans="1:19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</row>
    <row r="2975" spans="1:19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</row>
    <row r="2976" spans="1:19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</row>
    <row r="2977" spans="1:19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</row>
    <row r="2978" spans="1:19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</row>
    <row r="2979" spans="1:19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</row>
    <row r="2980" spans="1:19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</row>
    <row r="2981" spans="1:19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</row>
    <row r="2982" spans="1:19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</row>
    <row r="2983" spans="1:19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</row>
    <row r="2984" spans="1:19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</row>
    <row r="2985" spans="1:19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</row>
    <row r="2986" spans="1:19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</row>
    <row r="2987" spans="1:19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</row>
    <row r="2988" spans="1:19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</row>
    <row r="2989" spans="1:19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</row>
    <row r="2990" spans="1:19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</row>
    <row r="2991" spans="1:19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</row>
    <row r="2992" spans="1:19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</row>
    <row r="2993" spans="1:19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</row>
    <row r="2994" spans="1:19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</row>
    <row r="2995" spans="1:19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</row>
    <row r="2996" spans="1:19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</row>
    <row r="2997" spans="1:19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</row>
    <row r="2998" spans="1:19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</row>
    <row r="2999" spans="1:19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</row>
    <row r="3000" spans="1:19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</row>
    <row r="3001" spans="1:19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</row>
    <row r="3002" spans="1:19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</row>
    <row r="3003" spans="1:19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</row>
    <row r="3004" spans="1:19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</row>
    <row r="3005" spans="1:19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</row>
    <row r="3006" spans="1:19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</row>
    <row r="3007" spans="1:19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</row>
    <row r="3008" spans="1:19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</row>
    <row r="3009" spans="1:19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</row>
    <row r="3010" spans="1:19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</row>
    <row r="3011" spans="1:19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</row>
    <row r="3012" spans="1:19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</row>
    <row r="3013" spans="1:19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</row>
    <row r="3014" spans="1:19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</row>
    <row r="3015" spans="1:19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</row>
    <row r="3016" spans="1:19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</row>
    <row r="3017" spans="1:19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</row>
    <row r="3018" spans="1:19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</row>
    <row r="3019" spans="1:19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</row>
    <row r="3020" spans="1:19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</row>
    <row r="3021" spans="1:19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</row>
    <row r="3022" spans="1:19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</row>
    <row r="3023" spans="1:19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</row>
    <row r="3024" spans="1:19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</row>
    <row r="3025" spans="1:19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</row>
    <row r="3026" spans="1:19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</row>
    <row r="3027" spans="1:19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</row>
    <row r="3028" spans="1:19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</row>
    <row r="3029" spans="1:19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</row>
    <row r="3030" spans="1:19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</row>
    <row r="3031" spans="1:19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</row>
    <row r="3032" spans="1:19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</row>
    <row r="3033" spans="1:19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</row>
    <row r="3034" spans="1:19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</row>
    <row r="3035" spans="1:19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</row>
    <row r="3036" spans="1:19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</row>
    <row r="3037" spans="1:19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</row>
    <row r="3038" spans="1:19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</row>
    <row r="3039" spans="1:19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</row>
    <row r="3040" spans="1:19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</row>
    <row r="3041" spans="1:19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</row>
    <row r="3042" spans="1:19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</row>
    <row r="3043" spans="1:19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</row>
    <row r="3044" spans="1:19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</row>
    <row r="3045" spans="1:19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</row>
    <row r="3046" spans="1:19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</row>
    <row r="3047" spans="1:19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</row>
    <row r="3048" spans="1:19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</row>
    <row r="3049" spans="1:19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</row>
    <row r="3050" spans="1:19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</row>
    <row r="3051" spans="1:19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</row>
    <row r="3052" spans="1:19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</row>
    <row r="3053" spans="1:19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</row>
    <row r="3054" spans="1:19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</row>
    <row r="3055" spans="1:19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</row>
    <row r="3056" spans="1:19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</row>
    <row r="3057" spans="1:19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</row>
    <row r="3058" spans="1:19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</row>
    <row r="3059" spans="1:19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</row>
    <row r="3060" spans="1:19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</row>
    <row r="3061" spans="1:19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</row>
    <row r="3062" spans="1:19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</row>
    <row r="3063" spans="1:19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</row>
    <row r="3064" spans="1:19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</row>
    <row r="3065" spans="1:19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</row>
    <row r="3066" spans="1:19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</row>
    <row r="3067" spans="1:19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</row>
    <row r="3068" spans="1:19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</row>
    <row r="3069" spans="1:19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</row>
    <row r="3070" spans="1:19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</row>
    <row r="3071" spans="1:19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</row>
    <row r="3072" spans="1:19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</row>
    <row r="3073" spans="1:19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</row>
    <row r="3074" spans="1:19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</row>
    <row r="3075" spans="1:19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</row>
    <row r="3076" spans="1:19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</row>
    <row r="3077" spans="1:19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</row>
    <row r="3078" spans="1:19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</row>
    <row r="3079" spans="1:19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</row>
    <row r="3080" spans="1:19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</row>
    <row r="3081" spans="1:19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</row>
    <row r="3082" spans="1:19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</row>
    <row r="3083" spans="1:19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</row>
    <row r="3084" spans="1:19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</row>
    <row r="3085" spans="1:19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</row>
    <row r="3086" spans="1:19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</row>
    <row r="3087" spans="1:19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</row>
    <row r="3088" spans="1:19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</row>
    <row r="3089" spans="1:19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</row>
    <row r="3090" spans="1:19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</row>
    <row r="3091" spans="1:19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</row>
    <row r="3092" spans="1:19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</row>
    <row r="3093" spans="1:19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</row>
    <row r="3094" spans="1:19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</row>
    <row r="3095" spans="1:19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</row>
    <row r="3096" spans="1:19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</row>
    <row r="3097" spans="1:19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</row>
    <row r="3098" spans="1:19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</row>
    <row r="3099" spans="1:19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</row>
    <row r="3100" spans="1:19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</row>
    <row r="3101" spans="1:19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</row>
    <row r="3102" spans="1:19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</row>
    <row r="3103" spans="1:19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</row>
    <row r="3104" spans="1:19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</row>
    <row r="3105" spans="1:19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</row>
    <row r="3106" spans="1:19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</row>
    <row r="3107" spans="1:19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</row>
    <row r="3108" spans="1:19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</row>
    <row r="3109" spans="1:19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</row>
    <row r="3110" spans="1:19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</row>
    <row r="3111" spans="1:19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</row>
    <row r="3112" spans="1:19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</row>
    <row r="3113" spans="1:19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</row>
    <row r="3114" spans="1:19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</row>
    <row r="3115" spans="1:19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</row>
    <row r="3116" spans="1:19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</row>
    <row r="3117" spans="1:19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</row>
    <row r="3118" spans="1:19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</row>
    <row r="3119" spans="1:19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</row>
    <row r="3120" spans="1:19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</row>
    <row r="3121" spans="1:19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</row>
    <row r="3122" spans="1:19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</row>
    <row r="3123" spans="1:19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</row>
    <row r="3124" spans="1:19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</row>
    <row r="3125" spans="1:19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</row>
    <row r="3126" spans="1:19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</row>
    <row r="3127" spans="1:19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</row>
    <row r="3128" spans="1:19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</row>
    <row r="3129" spans="1:19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</row>
    <row r="3130" spans="1:19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</row>
    <row r="3131" spans="1:19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</row>
    <row r="3132" spans="1:19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</row>
    <row r="3133" spans="1:19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</row>
    <row r="3134" spans="1:19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</row>
    <row r="3135" spans="1:19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</row>
    <row r="3136" spans="1:19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</row>
    <row r="3137" spans="1:19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</row>
    <row r="3138" spans="1:19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</row>
    <row r="3139" spans="1:19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</row>
    <row r="3140" spans="1:19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</row>
    <row r="3141" spans="1:19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</row>
    <row r="3142" spans="1:19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</row>
    <row r="3143" spans="1:19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</row>
    <row r="3144" spans="1:19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</row>
    <row r="3145" spans="1:19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</row>
    <row r="3146" spans="1:19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</row>
    <row r="3147" spans="1:19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</row>
    <row r="3148" spans="1:19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</row>
    <row r="3149" spans="1:19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</row>
    <row r="3150" spans="1:19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</row>
    <row r="3151" spans="1:19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</row>
    <row r="3152" spans="1:19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</row>
    <row r="3153" spans="1:19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</row>
    <row r="3154" spans="1:19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</row>
    <row r="3155" spans="1:19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</row>
    <row r="3156" spans="1:19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</row>
    <row r="3157" spans="1:19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</row>
    <row r="3158" spans="1:19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</row>
    <row r="3159" spans="1:19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</row>
    <row r="3160" spans="1:19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</row>
    <row r="3161" spans="1:19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</row>
    <row r="3162" spans="1:19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</row>
    <row r="3163" spans="1:19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</row>
    <row r="3164" spans="1:19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</row>
    <row r="3165" spans="1:19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</row>
    <row r="3166" spans="1:19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</row>
    <row r="3167" spans="1:19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</row>
    <row r="3168" spans="1:19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</row>
    <row r="3169" spans="1:19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</row>
    <row r="3170" spans="1:19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</row>
    <row r="3171" spans="1:19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</row>
    <row r="3172" spans="1:19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</row>
    <row r="3173" spans="1:19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</row>
    <row r="3174" spans="1:19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</row>
    <row r="3175" spans="1:19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</row>
    <row r="3176" spans="1:19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</row>
    <row r="3177" spans="1:19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</row>
    <row r="3178" spans="1:19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</row>
    <row r="3179" spans="1:19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</row>
    <row r="3180" spans="1:19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</row>
    <row r="3181" spans="1:19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</row>
    <row r="3182" spans="1:19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</row>
    <row r="3183" spans="1:19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</row>
    <row r="3184" spans="1:19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</row>
    <row r="3185" spans="1:19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</row>
    <row r="3186" spans="1:19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</row>
    <row r="3187" spans="1:19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</row>
    <row r="3188" spans="1:19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</row>
    <row r="3189" spans="1:19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</row>
    <row r="3190" spans="1:19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</row>
    <row r="3191" spans="1:19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</row>
    <row r="3192" spans="1:19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</row>
    <row r="3193" spans="1:19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</row>
    <row r="3194" spans="1:19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</row>
    <row r="3195" spans="1:19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</row>
    <row r="3196" spans="1:19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</row>
    <row r="3197" spans="1:19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</row>
    <row r="3198" spans="1:19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</row>
    <row r="3199" spans="1:19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</row>
    <row r="3200" spans="1:19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</row>
    <row r="3201" spans="1:19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</row>
    <row r="3202" spans="1:19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</row>
    <row r="3203" spans="1:19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</row>
    <row r="3204" spans="1:19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</row>
    <row r="3205" spans="1:19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</row>
    <row r="3206" spans="1:19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</row>
    <row r="3207" spans="1:19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</row>
    <row r="3208" spans="1:19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</row>
    <row r="3209" spans="1:19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</row>
    <row r="3210" spans="1:19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</row>
    <row r="3211" spans="1:19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</row>
    <row r="3212" spans="1:19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</row>
    <row r="3213" spans="1:19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</row>
    <row r="3214" spans="1:19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</row>
    <row r="3215" spans="1:19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</row>
    <row r="3216" spans="1:19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</row>
    <row r="3217" spans="1:19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</row>
    <row r="3218" spans="1:19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</row>
    <row r="3219" spans="1:19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</row>
    <row r="3220" spans="1:19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</row>
    <row r="3221" spans="1:19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</row>
    <row r="3222" spans="1:19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</row>
    <row r="3223" spans="1:19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</row>
    <row r="3224" spans="1:19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</row>
    <row r="3225" spans="1:19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</row>
    <row r="3226" spans="1:19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</row>
    <row r="3227" spans="1:19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</row>
    <row r="3228" spans="1:19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</row>
    <row r="3229" spans="1:19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</row>
    <row r="3230" spans="1:19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</row>
    <row r="3231" spans="1:19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</row>
    <row r="3232" spans="1:19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</row>
    <row r="3233" spans="1:19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</row>
    <row r="3234" spans="1:19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</row>
    <row r="3235" spans="1:19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</row>
    <row r="3236" spans="1:19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</row>
    <row r="3237" spans="1:19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</row>
    <row r="3238" spans="1:19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</row>
    <row r="3239" spans="1:19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</row>
    <row r="3240" spans="1:19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</row>
    <row r="3241" spans="1:19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</row>
    <row r="3242" spans="1:19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</row>
    <row r="3243" spans="1:19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</row>
    <row r="3244" spans="1:19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</row>
    <row r="3245" spans="1:19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</row>
    <row r="3246" spans="1:19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</row>
    <row r="3247" spans="1:19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</row>
    <row r="3248" spans="1:19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</row>
    <row r="3249" spans="1:19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</row>
    <row r="3250" spans="1:19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</row>
    <row r="3251" spans="1:19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</row>
    <row r="3252" spans="1:19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</row>
    <row r="3253" spans="1:19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</row>
    <row r="3254" spans="1:19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</row>
    <row r="3255" spans="1:19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</row>
    <row r="3256" spans="1:19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</row>
    <row r="3257" spans="1:19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</row>
    <row r="3258" spans="1:19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</row>
    <row r="3259" spans="1:19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</row>
    <row r="3260" spans="1:19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</row>
    <row r="3261" spans="1:19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</row>
    <row r="3262" spans="1:19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</row>
    <row r="3263" spans="1:19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</row>
    <row r="3264" spans="1:19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</row>
    <row r="3265" spans="1:19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</row>
    <row r="3266" spans="1:19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</row>
    <row r="3267" spans="1:19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</row>
    <row r="3268" spans="1:19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</row>
    <row r="3269" spans="1:19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</row>
    <row r="3270" spans="1:19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</row>
    <row r="3271" spans="1:19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</row>
    <row r="3272" spans="1:19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</row>
    <row r="3273" spans="1:19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</row>
    <row r="3274" spans="1:19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</row>
    <row r="3275" spans="1:19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</row>
    <row r="3276" spans="1:19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</row>
    <row r="3277" spans="1:19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</row>
    <row r="3278" spans="1:19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</row>
    <row r="3279" spans="1:19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</row>
    <row r="3280" spans="1:19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</row>
    <row r="3281" spans="1:19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</row>
    <row r="3282" spans="1:19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</row>
    <row r="3283" spans="1:19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</row>
    <row r="3284" spans="1:19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</row>
    <row r="3285" spans="1:19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</row>
    <row r="3286" spans="1:19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</row>
    <row r="3287" spans="1:19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</row>
    <row r="3288" spans="1:19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</row>
    <row r="3289" spans="1:19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</row>
    <row r="3290" spans="1:19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</row>
    <row r="3291" spans="1:19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</row>
    <row r="3292" spans="1:19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</row>
    <row r="3293" spans="1:19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</row>
    <row r="3294" spans="1:19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</row>
    <row r="3295" spans="1:19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</row>
    <row r="3296" spans="1:19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</row>
    <row r="3297" spans="1:19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</row>
    <row r="3298" spans="1:19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</row>
    <row r="3299" spans="1:19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</row>
    <row r="3300" spans="1:19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</row>
    <row r="3301" spans="1:19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</row>
    <row r="3302" spans="1:19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</row>
    <row r="3303" spans="1:19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</row>
    <row r="3304" spans="1:19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</row>
    <row r="3305" spans="1:19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</row>
    <row r="3306" spans="1:19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</row>
    <row r="3307" spans="1:19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</row>
    <row r="3308" spans="1:19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</row>
    <row r="3309" spans="1:19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</row>
    <row r="3310" spans="1:19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</row>
    <row r="3311" spans="1:19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</row>
    <row r="3312" spans="1:19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</row>
    <row r="3313" spans="1:19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</row>
    <row r="3314" spans="1:19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</row>
    <row r="3315" spans="1:19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</row>
    <row r="3316" spans="1:19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</row>
    <row r="3317" spans="1:19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</row>
    <row r="3318" spans="1:19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</row>
    <row r="3319" spans="1:19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</row>
    <row r="3320" spans="1:19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</row>
    <row r="3321" spans="1:19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</row>
    <row r="3322" spans="1:19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</row>
    <row r="3323" spans="1:19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</row>
    <row r="3324" spans="1:19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</row>
    <row r="3325" spans="1:19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</row>
    <row r="3326" spans="1:19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</row>
    <row r="3327" spans="1:19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</row>
    <row r="3328" spans="1:19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</row>
    <row r="3329" spans="1:19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</row>
    <row r="3330" spans="1:19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</row>
    <row r="3331" spans="1:19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</row>
    <row r="3332" spans="1:19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</row>
    <row r="3333" spans="1:19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</row>
    <row r="3334" spans="1:19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</row>
    <row r="3335" spans="1:19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</row>
    <row r="3336" spans="1:19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</row>
    <row r="3337" spans="1:19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</row>
    <row r="3338" spans="1:19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</row>
    <row r="3339" spans="1:19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</row>
    <row r="3340" spans="1:19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</row>
    <row r="3341" spans="1:19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</row>
    <row r="3342" spans="1:19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</row>
    <row r="3343" spans="1:19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</row>
    <row r="3344" spans="1:19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</row>
    <row r="3345" spans="1:19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</row>
    <row r="3346" spans="1:19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</row>
    <row r="3347" spans="1:19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</row>
    <row r="3348" spans="1:19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</row>
    <row r="3349" spans="1:19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</row>
    <row r="3350" spans="1:19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</row>
    <row r="3351" spans="1:19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</row>
    <row r="3352" spans="1:19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</row>
    <row r="3353" spans="1:19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</row>
    <row r="3354" spans="1:19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</row>
    <row r="3355" spans="1:19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</row>
    <row r="3356" spans="1:19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</row>
    <row r="3357" spans="1:19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</row>
    <row r="3358" spans="1:19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</row>
    <row r="3359" spans="1:19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</row>
    <row r="3360" spans="1:19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</row>
    <row r="3361" spans="1:19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</row>
    <row r="3362" spans="1:19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</row>
    <row r="3363" spans="1:19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</row>
    <row r="3364" spans="1:19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</row>
    <row r="3365" spans="1:19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</row>
    <row r="3366" spans="1:19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</row>
    <row r="3367" spans="1:19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</row>
    <row r="3368" spans="1:19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</row>
    <row r="3369" spans="1:19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</row>
    <row r="3370" spans="1:19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</row>
    <row r="3371" spans="1:19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</row>
    <row r="3372" spans="1:19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</row>
    <row r="3373" spans="1:19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</row>
    <row r="3374" spans="1:19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</row>
    <row r="3375" spans="1:19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</row>
    <row r="3376" spans="1:19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</row>
    <row r="3377" spans="1:19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</row>
    <row r="3378" spans="1:19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</row>
    <row r="3379" spans="1:19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</row>
    <row r="3380" spans="1:19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</row>
    <row r="3381" spans="1:19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</row>
    <row r="3382" spans="1:19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</row>
    <row r="3383" spans="1:19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</row>
    <row r="3384" spans="1:19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</row>
    <row r="3385" spans="1:19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</row>
    <row r="3386" spans="1:19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</row>
    <row r="3387" spans="1:19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</row>
    <row r="3388" spans="1:19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</row>
    <row r="3389" spans="1:19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</row>
    <row r="3390" spans="1:19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</row>
    <row r="3391" spans="1:19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</row>
    <row r="3392" spans="1:19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</row>
    <row r="3393" spans="1:19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</row>
    <row r="3394" spans="1:19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</row>
    <row r="3395" spans="1:19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</row>
    <row r="3396" spans="1:19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</row>
    <row r="3397" spans="1:19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</row>
    <row r="3398" spans="1:19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</row>
    <row r="3399" spans="1:19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</row>
    <row r="3400" spans="1:19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</row>
    <row r="3401" spans="1:19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</row>
    <row r="3402" spans="1:19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</row>
    <row r="3403" spans="1:19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</row>
    <row r="3404" spans="1:19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</row>
    <row r="3405" spans="1:19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</row>
    <row r="3406" spans="1:19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</row>
    <row r="3407" spans="1:19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</row>
    <row r="3408" spans="1:19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</row>
    <row r="3409" spans="1:19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</row>
    <row r="3410" spans="1:19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</row>
    <row r="3411" spans="1:19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</row>
    <row r="3412" spans="1:19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</row>
    <row r="3413" spans="1:19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</row>
    <row r="3414" spans="1:19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</row>
    <row r="3415" spans="1:19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</row>
    <row r="3416" spans="1:19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</row>
    <row r="3417" spans="1:19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</row>
    <row r="3418" spans="1:19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</row>
    <row r="3419" spans="1:19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</row>
    <row r="3420" spans="1:19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</row>
    <row r="3421" spans="1:19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</row>
    <row r="3422" spans="1:19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</row>
    <row r="3423" spans="1:19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</row>
    <row r="3424" spans="1:19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</row>
    <row r="3425" spans="1:19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</row>
    <row r="3426" spans="1:19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</row>
    <row r="3427" spans="1:19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</row>
    <row r="3428" spans="1:19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</row>
    <row r="3429" spans="1:19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</row>
    <row r="3430" spans="1:19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</row>
    <row r="3431" spans="1:19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</row>
    <row r="3432" spans="1:19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</row>
    <row r="3433" spans="1:19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</row>
    <row r="3434" spans="1:19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</row>
    <row r="3435" spans="1:19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</row>
    <row r="3436" spans="1:19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</row>
    <row r="3437" spans="1:19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</row>
    <row r="3438" spans="1:19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</row>
    <row r="3439" spans="1:19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</row>
    <row r="3440" spans="1:19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</row>
    <row r="3441" spans="1:19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</row>
    <row r="3442" spans="1:19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</row>
    <row r="3443" spans="1:19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</row>
    <row r="3444" spans="1:19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</row>
    <row r="3445" spans="1:19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</row>
    <row r="3446" spans="1:19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</row>
    <row r="3447" spans="1:19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</row>
    <row r="3448" spans="1:19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</row>
    <row r="3449" spans="1:19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</row>
    <row r="3450" spans="1:19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</row>
    <row r="3451" spans="1:19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</row>
    <row r="3452" spans="1:19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</row>
    <row r="3453" spans="1:19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</row>
    <row r="3454" spans="1:19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</row>
    <row r="3455" spans="1:19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</row>
    <row r="3456" spans="1:19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</row>
    <row r="3457" spans="1:19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</row>
    <row r="3458" spans="1:19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</row>
    <row r="3459" spans="1:19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</row>
    <row r="3460" spans="1:19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</row>
    <row r="3461" spans="1:19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</row>
    <row r="3462" spans="1:19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</row>
    <row r="3463" spans="1:19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</row>
    <row r="3464" spans="1:19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</row>
    <row r="3465" spans="1:19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</row>
    <row r="3466" spans="1:19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</row>
    <row r="3467" spans="1:19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</row>
    <row r="3468" spans="1:19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</row>
    <row r="3469" spans="1:19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</row>
    <row r="3470" spans="1:19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</row>
    <row r="3471" spans="1:19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</row>
    <row r="3472" spans="1:19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</row>
    <row r="3473" spans="1:19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</row>
    <row r="3474" spans="1:19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</row>
    <row r="3475" spans="1:19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</row>
    <row r="3476" spans="1:19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</row>
    <row r="3477" spans="1:19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</row>
    <row r="3478" spans="1:19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</row>
    <row r="3479" spans="1:19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</row>
    <row r="3480" spans="1:19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</row>
    <row r="3481" spans="1:19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</row>
    <row r="3482" spans="1:19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</row>
    <row r="3483" spans="1:19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</row>
    <row r="3484" spans="1:19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</row>
    <row r="3485" spans="1:19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</row>
    <row r="3486" spans="1:19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</row>
    <row r="3487" spans="1:19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</row>
    <row r="3488" spans="1:19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</row>
    <row r="3489" spans="1:19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</row>
    <row r="3490" spans="1:19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</row>
    <row r="3491" spans="1:19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</row>
    <row r="3492" spans="1:19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</row>
    <row r="3493" spans="1:19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</row>
    <row r="3494" spans="1:19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</row>
    <row r="3495" spans="1:19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</row>
    <row r="3496" spans="1:19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</row>
    <row r="3497" spans="1:19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</row>
    <row r="3498" spans="1:19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</row>
    <row r="3499" spans="1:19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</row>
    <row r="3500" spans="1:19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</row>
    <row r="3501" spans="1:19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</row>
    <row r="3502" spans="1:19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</row>
    <row r="3503" spans="1:19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</row>
    <row r="3504" spans="1:19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</row>
    <row r="3505" spans="1:19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</row>
    <row r="3506" spans="1:19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</row>
    <row r="3507" spans="1:19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</row>
    <row r="3508" spans="1:19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</row>
    <row r="3509" spans="1:19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</row>
    <row r="3510" spans="1:19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</row>
    <row r="3511" spans="1:19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</row>
    <row r="3512" spans="1:19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</row>
    <row r="3513" spans="1:19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</row>
    <row r="3514" spans="1:19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</row>
    <row r="3515" spans="1:19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</row>
    <row r="3516" spans="1:19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</row>
    <row r="3517" spans="1:19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</row>
    <row r="3518" spans="1:19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</row>
    <row r="3519" spans="1:19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</row>
    <row r="3520" spans="1:19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</row>
    <row r="3521" spans="1:19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</row>
    <row r="3522" spans="1:19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</row>
    <row r="3523" spans="1:19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</row>
    <row r="3524" spans="1:19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</row>
    <row r="3525" spans="1:19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</row>
    <row r="3526" spans="1:19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</row>
    <row r="3527" spans="1:19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</row>
    <row r="3528" spans="1:19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</row>
    <row r="3529" spans="1:19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</row>
    <row r="3530" spans="1:19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</row>
    <row r="3531" spans="1:19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</row>
    <row r="3532" spans="1:19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</row>
    <row r="3533" spans="1:19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</row>
    <row r="3534" spans="1:19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</row>
    <row r="3535" spans="1:19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</row>
    <row r="3536" spans="1:19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</row>
    <row r="3537" spans="1:19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</row>
    <row r="3538" spans="1:19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</row>
    <row r="3539" spans="1:19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</row>
    <row r="3540" spans="1:19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</row>
    <row r="3541" spans="1:19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</row>
    <row r="3542" spans="1:19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</row>
    <row r="3543" spans="1:19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</row>
    <row r="3544" spans="1:19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</row>
    <row r="3545" spans="1:19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</row>
    <row r="3546" spans="1:19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</row>
    <row r="3547" spans="1:19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</row>
    <row r="3548" spans="1:19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</row>
    <row r="3549" spans="1:19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</row>
    <row r="3550" spans="1:19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</row>
    <row r="3551" spans="1:19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</row>
    <row r="3552" spans="1:19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</row>
    <row r="3553" spans="1:19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</row>
    <row r="3554" spans="1:19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</row>
    <row r="3555" spans="1:19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</row>
    <row r="3556" spans="1:19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</row>
    <row r="3557" spans="1:19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</row>
    <row r="3558" spans="1:19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</row>
    <row r="3559" spans="1:19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</row>
    <row r="3560" spans="1:19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</row>
    <row r="3561" spans="1:19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</row>
    <row r="3562" spans="1:19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</row>
    <row r="3563" spans="1:19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</row>
    <row r="3564" spans="1:19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</row>
    <row r="3565" spans="1:19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</row>
    <row r="3566" spans="1:19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</row>
    <row r="3567" spans="1:19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</row>
    <row r="3568" spans="1:19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</row>
    <row r="3569" spans="1:19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</row>
    <row r="3570" spans="1:19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</row>
    <row r="3571" spans="1:19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</row>
    <row r="3572" spans="1:19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</row>
    <row r="3573" spans="1:19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</row>
    <row r="3574" spans="1:19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</row>
    <row r="3575" spans="1:19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</row>
    <row r="3576" spans="1:19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</row>
    <row r="3577" spans="1:19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</row>
    <row r="3578" spans="1:19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</row>
    <row r="3579" spans="1:19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</row>
    <row r="3580" spans="1:19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</row>
    <row r="3581" spans="1:19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</row>
    <row r="3582" spans="1:19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</row>
    <row r="3583" spans="1:19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</row>
    <row r="3584" spans="1:19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</row>
    <row r="3585" spans="1:19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</row>
    <row r="3586" spans="1:19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</row>
    <row r="3587" spans="1:19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</row>
    <row r="3588" spans="1:19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</row>
    <row r="3589" spans="1:19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</row>
    <row r="3590" spans="1:19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</row>
    <row r="3591" spans="1:19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</row>
    <row r="3592" spans="1:19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</row>
    <row r="3593" spans="1:19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</row>
    <row r="3594" spans="1:19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</row>
    <row r="3595" spans="1:19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</row>
    <row r="3596" spans="1:19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</row>
    <row r="3597" spans="1:19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</row>
    <row r="3598" spans="1:19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</row>
    <row r="3599" spans="1:19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</row>
    <row r="3600" spans="1:19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</row>
    <row r="3601" spans="1:19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</row>
    <row r="3602" spans="1:19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</row>
    <row r="3603" spans="1:19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</row>
    <row r="3604" spans="1:19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</row>
    <row r="3605" spans="1:19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</row>
    <row r="3606" spans="1:19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</row>
    <row r="3607" spans="1:19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</row>
    <row r="3608" spans="1:19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</row>
    <row r="3609" spans="1:19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</row>
    <row r="3610" spans="1:19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</row>
    <row r="3611" spans="1:19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</row>
    <row r="3612" spans="1:19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</row>
    <row r="3613" spans="1:19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</row>
    <row r="3614" spans="1:19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</row>
    <row r="3615" spans="1:19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</row>
    <row r="3616" spans="1:19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</row>
    <row r="3617" spans="1:19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</row>
    <row r="3618" spans="1:19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</row>
    <row r="3619" spans="1:19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</row>
    <row r="3620" spans="1:19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</row>
    <row r="3621" spans="1:19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</row>
    <row r="3622" spans="1:19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</row>
    <row r="3623" spans="1:19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</row>
    <row r="3624" spans="1:19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</row>
    <row r="3625" spans="1:19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</row>
    <row r="3626" spans="1:19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</row>
    <row r="3627" spans="1:19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</row>
    <row r="3628" spans="1:19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</row>
    <row r="3629" spans="1:19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</row>
    <row r="3630" spans="1:19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</row>
    <row r="3631" spans="1:19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</row>
    <row r="3632" spans="1:19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</row>
    <row r="3633" spans="1:19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</row>
    <row r="3634" spans="1:19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</row>
    <row r="3635" spans="1:19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</row>
    <row r="3636" spans="1:19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</row>
    <row r="3637" spans="1:19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</row>
    <row r="3638" spans="1:19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</row>
    <row r="3639" spans="1:19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</row>
    <row r="3640" spans="1:19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</row>
    <row r="3641" spans="1:19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</row>
    <row r="3642" spans="1:19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</row>
    <row r="3643" spans="1:19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</row>
    <row r="3644" spans="1:19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</row>
    <row r="3645" spans="1:19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</row>
    <row r="3646" spans="1:19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</row>
    <row r="3647" spans="1:19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</row>
    <row r="3648" spans="1:19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</row>
    <row r="3649" spans="1:19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</row>
    <row r="3650" spans="1:19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</row>
    <row r="3651" spans="1:19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</row>
    <row r="3652" spans="1:19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</row>
    <row r="3653" spans="1:19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</row>
    <row r="3654" spans="1:19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</row>
    <row r="3655" spans="1:19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</row>
    <row r="3656" spans="1:19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</row>
    <row r="3657" spans="1:19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</row>
    <row r="3658" spans="1:19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</row>
    <row r="3659" spans="1:19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</row>
    <row r="3660" spans="1:19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</row>
    <row r="3661" spans="1:19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</row>
    <row r="3662" spans="1:19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</row>
    <row r="3663" spans="1:19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</row>
    <row r="3664" spans="1:19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</row>
    <row r="3665" spans="1:19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</row>
    <row r="3666" spans="1:19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</row>
    <row r="3667" spans="1:19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</row>
    <row r="3668" spans="1:19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</row>
    <row r="3669" spans="1:19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</row>
    <row r="3670" spans="1:19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</row>
    <row r="3671" spans="1:19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</row>
    <row r="3672" spans="1:19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</row>
    <row r="3673" spans="1:19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</row>
    <row r="3674" spans="1:19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</row>
    <row r="3675" spans="1:19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</row>
    <row r="3676" spans="1:19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</row>
    <row r="3677" spans="1:19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</row>
    <row r="3678" spans="1:19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</row>
    <row r="3679" spans="1:19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</row>
    <row r="3680" spans="1:19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</row>
    <row r="3681" spans="1:19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</row>
    <row r="3682" spans="1:19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</row>
    <row r="3683" spans="1:19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</row>
    <row r="3684" spans="1:19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</row>
    <row r="3685" spans="1:19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</row>
    <row r="3686" spans="1:19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</row>
    <row r="3687" spans="1:19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</row>
    <row r="3688" spans="1:19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</row>
    <row r="3689" spans="1:19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</row>
    <row r="3690" spans="1:19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</row>
    <row r="3691" spans="1:19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</row>
    <row r="3692" spans="1:19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</row>
    <row r="3693" spans="1:19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</row>
    <row r="3694" spans="1:19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</row>
    <row r="3695" spans="1:19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</row>
    <row r="3696" spans="1:19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</row>
    <row r="3697" spans="1:19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</row>
    <row r="3698" spans="1:19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</row>
    <row r="3699" spans="1:19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</row>
    <row r="3700" spans="1:19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</row>
    <row r="3701" spans="1:19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</row>
    <row r="3702" spans="1:19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</row>
    <row r="3703" spans="1:19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</row>
    <row r="3704" spans="1:19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</row>
    <row r="3705" spans="1:19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</row>
    <row r="3706" spans="1:19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</row>
    <row r="3707" spans="1:19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</row>
    <row r="3708" spans="1:19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</row>
    <row r="3709" spans="1:19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</row>
    <row r="3710" spans="1:19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</row>
    <row r="3711" spans="1:19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</row>
    <row r="3712" spans="1:19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</row>
    <row r="3713" spans="1:19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</row>
    <row r="3714" spans="1:19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</row>
    <row r="3715" spans="1:19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</row>
    <row r="3716" spans="1:19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</row>
    <row r="3717" spans="1:19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</row>
    <row r="3718" spans="1:19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</row>
    <row r="3719" spans="1:19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</row>
    <row r="3720" spans="1:19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</row>
    <row r="3721" spans="1:19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</row>
    <row r="3722" spans="1:19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</row>
    <row r="3723" spans="1:19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</row>
    <row r="3724" spans="1:19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</row>
    <row r="3725" spans="1:19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</row>
    <row r="3726" spans="1:19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</row>
    <row r="3727" spans="1:19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</row>
    <row r="3728" spans="1:19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</row>
    <row r="3729" spans="1:19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</row>
    <row r="3730" spans="1:19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</row>
    <row r="3731" spans="1:19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</row>
    <row r="3732" spans="1:19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</row>
    <row r="3733" spans="1:19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</row>
    <row r="3734" spans="1:19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</row>
    <row r="3735" spans="1:19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</row>
    <row r="3736" spans="1:19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</row>
    <row r="3737" spans="1:19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</row>
    <row r="3738" spans="1:19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</row>
    <row r="3739" spans="1:19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</row>
    <row r="3740" spans="1:19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</row>
    <row r="3741" spans="1:19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</row>
    <row r="3742" spans="1:19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</row>
    <row r="3743" spans="1:19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</row>
    <row r="3744" spans="1:19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</row>
    <row r="3745" spans="1:19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</row>
    <row r="3746" spans="1:19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</row>
    <row r="3747" spans="1:19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</row>
    <row r="3748" spans="1:19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</row>
    <row r="3749" spans="1:19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</row>
    <row r="3750" spans="1:19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</row>
    <row r="3751" spans="1:19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</row>
    <row r="3752" spans="1:19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</row>
    <row r="3753" spans="1:19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</row>
    <row r="3754" spans="1:19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</row>
    <row r="3755" spans="1:19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</row>
    <row r="3756" spans="1:19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</row>
    <row r="3757" spans="1:19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</row>
    <row r="3758" spans="1:19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</row>
    <row r="3759" spans="1:19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</row>
    <row r="3760" spans="1:19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</row>
    <row r="3761" spans="1:19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</row>
    <row r="3762" spans="1:19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</row>
    <row r="3763" spans="1:19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</row>
    <row r="3764" spans="1:19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</row>
    <row r="3765" spans="1:19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</row>
    <row r="3766" spans="1:19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</row>
    <row r="3767" spans="1:19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</row>
    <row r="3768" spans="1:19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</row>
    <row r="3769" spans="1:19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</row>
    <row r="3770" spans="1:19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</row>
    <row r="3771" spans="1:19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</row>
    <row r="3772" spans="1:19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</row>
    <row r="3773" spans="1:19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</row>
    <row r="3774" spans="1:19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</row>
    <row r="3775" spans="1:19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</row>
    <row r="3776" spans="1:19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</row>
    <row r="3777" spans="1:19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</row>
    <row r="3778" spans="1:19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</row>
    <row r="3779" spans="1:19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</row>
    <row r="3780" spans="1:19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</row>
    <row r="3781" spans="1:19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</row>
    <row r="3782" spans="1:19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</row>
    <row r="3783" spans="1:19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</row>
    <row r="3784" spans="1:19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</row>
    <row r="3785" spans="1:19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</row>
    <row r="3786" spans="1:19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</row>
    <row r="3787" spans="1:19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</row>
    <row r="3788" spans="1:19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</row>
    <row r="3789" spans="1:19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</row>
    <row r="3790" spans="1:19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</row>
    <row r="3791" spans="1:19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</row>
    <row r="3792" spans="1:19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</row>
    <row r="3793" spans="1:19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</row>
    <row r="3794" spans="1:19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</row>
    <row r="3795" spans="1:19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</row>
    <row r="3796" spans="1:19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</row>
    <row r="3797" spans="1:19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</row>
    <row r="3798" spans="1:19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</row>
    <row r="3799" spans="1:19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</row>
    <row r="3800" spans="1:19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</row>
    <row r="3801" spans="1:19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</row>
    <row r="3802" spans="1:19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</row>
    <row r="3803" spans="1:19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</row>
    <row r="3804" spans="1:19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</row>
    <row r="3805" spans="1:19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</row>
    <row r="3806" spans="1:19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</row>
    <row r="3807" spans="1:19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</row>
    <row r="3808" spans="1:19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</row>
    <row r="3809" spans="1:19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</row>
    <row r="3810" spans="1:19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</row>
    <row r="3811" spans="1:19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</row>
    <row r="3812" spans="1:19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</row>
    <row r="3813" spans="1:19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</row>
    <row r="3814" spans="1:19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</row>
    <row r="3815" spans="1:19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</row>
    <row r="3816" spans="1:19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</row>
    <row r="3817" spans="1:19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</row>
    <row r="3818" spans="1:19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</row>
    <row r="3819" spans="1:19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</row>
    <row r="3820" spans="1:19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</row>
    <row r="3821" spans="1:19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</row>
    <row r="3822" spans="1:19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</row>
    <row r="3823" spans="1:19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</row>
    <row r="3824" spans="1:19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</row>
    <row r="3825" spans="1:19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</row>
    <row r="3826" spans="1:19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</row>
    <row r="3827" spans="1:19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</row>
    <row r="3828" spans="1:19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</row>
    <row r="3829" spans="1:19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</row>
    <row r="3830" spans="1:19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</row>
    <row r="3831" spans="1:19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</row>
    <row r="3832" spans="1:19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</row>
    <row r="3833" spans="1:19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</row>
    <row r="3834" spans="1:19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</row>
    <row r="3835" spans="1:19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</row>
    <row r="3836" spans="1:19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</row>
    <row r="3837" spans="1:19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</row>
    <row r="3838" spans="1:19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</row>
    <row r="3839" spans="1:19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</row>
    <row r="3840" spans="1:19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</row>
    <row r="3841" spans="1:19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</row>
    <row r="3842" spans="1:19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</row>
    <row r="3843" spans="1:19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</row>
    <row r="3844" spans="1:19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</row>
    <row r="3845" spans="1:19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</row>
    <row r="3846" spans="1:19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</row>
    <row r="3847" spans="1:19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</row>
    <row r="3848" spans="1:19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</row>
    <row r="3849" spans="1:19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</row>
    <row r="3850" spans="1:19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</row>
    <row r="3851" spans="1:19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</row>
    <row r="3852" spans="1:19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</row>
    <row r="3853" spans="1:19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</row>
    <row r="3854" spans="1:19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</row>
    <row r="3855" spans="1:19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</row>
    <row r="3856" spans="1:19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</row>
    <row r="3857" spans="1:19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</row>
    <row r="3858" spans="1:19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</row>
    <row r="3859" spans="1:19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</row>
    <row r="3860" spans="1:19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</row>
    <row r="3861" spans="1:19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</row>
    <row r="3862" spans="1:19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</row>
    <row r="3863" spans="1:19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</row>
    <row r="3864" spans="1:19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</row>
    <row r="3865" spans="1:19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</row>
    <row r="3866" spans="1:19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</row>
    <row r="3867" spans="1:19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</row>
    <row r="3868" spans="1:19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</row>
    <row r="3869" spans="1:19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</row>
    <row r="3870" spans="1:19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</row>
    <row r="3871" spans="1:19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</row>
    <row r="3872" spans="1:19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</row>
    <row r="3873" spans="1:19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</row>
    <row r="3874" spans="1:19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</row>
    <row r="3875" spans="1:19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</row>
    <row r="3876" spans="1:19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</row>
    <row r="3877" spans="1:19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</row>
    <row r="3878" spans="1:19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</row>
    <row r="3879" spans="1:19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</row>
    <row r="3880" spans="1:19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</row>
    <row r="3881" spans="1:19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</row>
    <row r="3882" spans="1:19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</row>
    <row r="3883" spans="1:19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</row>
    <row r="3884" spans="1:19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</row>
    <row r="3885" spans="1:19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</row>
    <row r="3886" spans="1:19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</row>
    <row r="3887" spans="1:19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</row>
    <row r="3888" spans="1:19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</row>
    <row r="3889" spans="1:19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</row>
    <row r="3890" spans="1:19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</row>
    <row r="3891" spans="1:19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</row>
    <row r="3892" spans="1:19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</row>
    <row r="3893" spans="1:19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</row>
    <row r="3894" spans="1:19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</row>
    <row r="3895" spans="1:19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</row>
    <row r="3896" spans="1:19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</row>
    <row r="3897" spans="1:19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</row>
    <row r="3898" spans="1:19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</row>
    <row r="3899" spans="1:19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</row>
    <row r="3900" spans="1:19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</row>
    <row r="3901" spans="1:19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</row>
    <row r="3902" spans="1:19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</row>
    <row r="3903" spans="1:19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</row>
    <row r="3904" spans="1:19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</row>
    <row r="3905" spans="1:19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</row>
    <row r="3906" spans="1:19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</row>
    <row r="3907" spans="1:19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</row>
    <row r="3908" spans="1:19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</row>
    <row r="3909" spans="1:19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</row>
    <row r="3910" spans="1:19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</row>
    <row r="3911" spans="1:19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</row>
    <row r="3912" spans="1:19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</row>
    <row r="3913" spans="1:19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</row>
    <row r="3914" spans="1:19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</row>
    <row r="3915" spans="1:19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</row>
    <row r="3916" spans="1:19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</row>
    <row r="3917" spans="1:19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</row>
    <row r="3918" spans="1:19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</row>
    <row r="3919" spans="1:19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</row>
    <row r="3920" spans="1:19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</row>
    <row r="3921" spans="1:19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</row>
    <row r="3922" spans="1:19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</row>
    <row r="3923" spans="1:19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</row>
    <row r="3924" spans="1:19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</row>
    <row r="3925" spans="1:19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</row>
    <row r="3926" spans="1:19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</row>
    <row r="3927" spans="1:19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</row>
    <row r="3928" spans="1:19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</row>
    <row r="3929" spans="1:19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</row>
    <row r="3930" spans="1:19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</row>
    <row r="3931" spans="1:19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</row>
    <row r="3932" spans="1:19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</row>
    <row r="3933" spans="1:19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</row>
    <row r="3934" spans="1:19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</row>
    <row r="3935" spans="1:19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</row>
    <row r="3936" spans="1:19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</row>
    <row r="3937" spans="1:19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</row>
    <row r="3938" spans="1:19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</row>
    <row r="3939" spans="1:19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</row>
    <row r="3940" spans="1:19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</row>
    <row r="3941" spans="1:19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</row>
    <row r="3942" spans="1:19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</row>
    <row r="3943" spans="1:19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</row>
    <row r="3944" spans="1:19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</row>
    <row r="3945" spans="1:19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</row>
    <row r="3946" spans="1:19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</row>
    <row r="3947" spans="1:19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</row>
    <row r="3948" spans="1:19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</row>
    <row r="3949" spans="1:19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</row>
    <row r="3950" spans="1:19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</row>
    <row r="3951" spans="1:19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</row>
    <row r="3952" spans="1:19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</row>
    <row r="3953" spans="1:19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</row>
    <row r="3954" spans="1:19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</row>
    <row r="3955" spans="1:19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</row>
    <row r="3956" spans="1:19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</row>
    <row r="3957" spans="1:19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</row>
    <row r="3958" spans="1:19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</row>
    <row r="3959" spans="1:19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</row>
    <row r="3960" spans="1:19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</row>
    <row r="3961" spans="1:19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</row>
    <row r="3962" spans="1:19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</row>
    <row r="3963" spans="1:19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</row>
    <row r="3964" spans="1:19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</row>
    <row r="3965" spans="1:19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</row>
    <row r="3966" spans="1:19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</row>
    <row r="3967" spans="1:19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</row>
    <row r="3968" spans="1:19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</row>
    <row r="3969" spans="1:19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</row>
    <row r="3970" spans="1:19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</row>
    <row r="3971" spans="1:19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</row>
    <row r="3972" spans="1:19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</row>
    <row r="3973" spans="1:19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</row>
    <row r="3974" spans="1:19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</row>
    <row r="3975" spans="1:19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</row>
    <row r="3976" spans="1:19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</row>
    <row r="3977" spans="1:19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</row>
    <row r="3978" spans="1:19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</row>
    <row r="3979" spans="1:19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</row>
    <row r="3980" spans="1:19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</row>
    <row r="3981" spans="1:19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</row>
    <row r="3982" spans="1:19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</row>
    <row r="3983" spans="1:19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</row>
    <row r="3984" spans="1:19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</row>
    <row r="3985" spans="1:19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</row>
    <row r="3986" spans="1:19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</row>
    <row r="3987" spans="1:19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</row>
    <row r="3988" spans="1:19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</row>
    <row r="3989" spans="1:19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</row>
    <row r="3990" spans="1:19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</row>
    <row r="3991" spans="1:19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</row>
    <row r="3992" spans="1:19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</row>
    <row r="3993" spans="1:19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</row>
    <row r="3994" spans="1:19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</row>
    <row r="3995" spans="1:19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</row>
    <row r="3996" spans="1:19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</row>
    <row r="3997" spans="1:19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</row>
    <row r="3998" spans="1:19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</row>
    <row r="3999" spans="1:19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</row>
    <row r="4000" spans="1:19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</row>
    <row r="4001" spans="1:19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</row>
    <row r="4002" spans="1:19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</row>
    <row r="4003" spans="1:19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</row>
    <row r="4004" spans="1:19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</row>
    <row r="4005" spans="1:19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</row>
    <row r="4006" spans="1:19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</row>
    <row r="4007" spans="1:19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</row>
    <row r="4008" spans="1:19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</row>
    <row r="4009" spans="1:19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</row>
    <row r="4010" spans="1:19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</row>
    <row r="4011" spans="1:19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</row>
    <row r="4012" spans="1:19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</row>
    <row r="4013" spans="1:19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</row>
    <row r="4014" spans="1:19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</row>
    <row r="4015" spans="1:19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</row>
    <row r="4016" spans="1:19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</row>
    <row r="4017" spans="1:19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</row>
    <row r="4018" spans="1:19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</row>
    <row r="4019" spans="1:19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</row>
    <row r="4020" spans="1:19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</row>
    <row r="4021" spans="1:19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</row>
    <row r="4022" spans="1:19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</row>
    <row r="4023" spans="1:19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</row>
    <row r="4024" spans="1:19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</row>
    <row r="4025" spans="1:19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</row>
    <row r="4026" spans="1:19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</row>
    <row r="4027" spans="1:19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</row>
    <row r="4028" spans="1:19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</row>
    <row r="4029" spans="1:19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</row>
    <row r="4030" spans="1:19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</row>
    <row r="4031" spans="1:19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</row>
    <row r="4032" spans="1:19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</row>
    <row r="4033" spans="1:19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</row>
    <row r="4034" spans="1:19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</row>
    <row r="4035" spans="1:19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</row>
    <row r="4036" spans="1:19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</row>
    <row r="4037" spans="1:19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</row>
    <row r="4038" spans="1:19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</row>
    <row r="4039" spans="1:19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</row>
    <row r="4040" spans="1:19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</row>
    <row r="4041" spans="1:19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</row>
    <row r="4042" spans="1:19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</row>
    <row r="4043" spans="1:19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</row>
    <row r="4044" spans="1:19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</row>
    <row r="4045" spans="1:19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</row>
    <row r="4046" spans="1:19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</row>
    <row r="4047" spans="1:19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</row>
    <row r="4048" spans="1:19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</row>
    <row r="4049" spans="1:19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</row>
    <row r="4050" spans="1:19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</row>
    <row r="4051" spans="1:19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</row>
    <row r="4052" spans="1:19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</row>
    <row r="4053" spans="1:19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</row>
    <row r="4054" spans="1:19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</row>
    <row r="4055" spans="1:19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</row>
    <row r="4056" spans="1:19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</row>
    <row r="4057" spans="1:19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</row>
    <row r="4058" spans="1:19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</row>
    <row r="4059" spans="1:19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</row>
    <row r="4060" spans="1:19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</row>
    <row r="4061" spans="1:19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</row>
    <row r="4062" spans="1:19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</row>
    <row r="4063" spans="1:19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</row>
    <row r="4064" spans="1:19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</row>
    <row r="4065" spans="1:19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</row>
    <row r="4066" spans="1:19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</row>
    <row r="4067" spans="1:19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</row>
    <row r="4068" spans="1:19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</row>
    <row r="4069" spans="1:19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</row>
    <row r="4070" spans="1:19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</row>
    <row r="4071" spans="1:19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</row>
    <row r="4072" spans="1:19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</row>
    <row r="4073" spans="1:19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</row>
    <row r="4074" spans="1:19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</row>
    <row r="4075" spans="1:19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</row>
    <row r="4076" spans="1:19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</row>
    <row r="4077" spans="1:19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</row>
    <row r="4078" spans="1:19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</row>
    <row r="4079" spans="1:19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</row>
    <row r="4080" spans="1:19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</row>
    <row r="4081" spans="1:19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</row>
    <row r="4082" spans="1:19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</row>
    <row r="4083" spans="1:19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</row>
    <row r="4084" spans="1:19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</row>
    <row r="4085" spans="1:19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</row>
    <row r="4086" spans="1:19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</row>
    <row r="4087" spans="1:19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</row>
    <row r="4088" spans="1:19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</row>
    <row r="4089" spans="1:19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</row>
    <row r="4090" spans="1:19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</row>
    <row r="4091" spans="1:19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</row>
    <row r="4092" spans="1:19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</row>
    <row r="4093" spans="1:19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</row>
    <row r="4094" spans="1:19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</row>
    <row r="4095" spans="1:19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</row>
    <row r="4096" spans="1:19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</row>
    <row r="4097" spans="1:19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</row>
    <row r="4098" spans="1:19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</row>
    <row r="4099" spans="1:19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</row>
    <row r="4100" spans="1:19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</row>
    <row r="4101" spans="1:19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</row>
    <row r="4102" spans="1:19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</row>
    <row r="4103" spans="1:19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</row>
    <row r="4104" spans="1:19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</row>
    <row r="4105" spans="1:19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</row>
    <row r="4106" spans="1:19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</row>
    <row r="4107" spans="1:19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</row>
    <row r="4108" spans="1:19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</row>
    <row r="4109" spans="1:19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</row>
    <row r="4110" spans="1:19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</row>
    <row r="4111" spans="1:19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</row>
    <row r="4112" spans="1:19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</row>
    <row r="4113" spans="1:19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</row>
    <row r="4114" spans="1:19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</row>
    <row r="4115" spans="1:19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</row>
    <row r="4116" spans="1:19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</row>
    <row r="4117" spans="1:19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</row>
    <row r="4118" spans="1:19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</row>
    <row r="4119" spans="1:19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</row>
    <row r="4120" spans="1:19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</row>
    <row r="4121" spans="1:19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</row>
    <row r="4122" spans="1:19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</row>
    <row r="4123" spans="1:19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</row>
    <row r="4124" spans="1:19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</row>
    <row r="4125" spans="1:19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</row>
    <row r="4126" spans="1:19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</row>
    <row r="4127" spans="1:19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</row>
    <row r="4128" spans="1:19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</row>
    <row r="4129" spans="1:19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</row>
    <row r="4130" spans="1:19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</row>
    <row r="4131" spans="1:19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</row>
    <row r="4132" spans="1:19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</row>
    <row r="4133" spans="1:19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</row>
    <row r="4134" spans="1:19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</row>
    <row r="4135" spans="1:19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</row>
    <row r="4136" spans="1:19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</row>
    <row r="4137" spans="1:19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</row>
    <row r="4138" spans="1:19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</row>
    <row r="4139" spans="1:19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</row>
    <row r="4140" spans="1:19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</row>
    <row r="4141" spans="1:19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</row>
    <row r="4142" spans="1:19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</row>
    <row r="4143" spans="1:19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</row>
    <row r="4144" spans="1:19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</row>
    <row r="4145" spans="1:19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</row>
    <row r="4146" spans="1:19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</row>
    <row r="4147" spans="1:19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</row>
    <row r="4148" spans="1:19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</row>
    <row r="4149" spans="1:19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</row>
    <row r="4150" spans="1:19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</row>
    <row r="4151" spans="1:19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</row>
    <row r="4152" spans="1:19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</row>
    <row r="4153" spans="1:19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</row>
    <row r="4154" spans="1:19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</row>
    <row r="4155" spans="1:19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</row>
    <row r="4156" spans="1:19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</row>
    <row r="4157" spans="1:19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</row>
    <row r="4158" spans="1:19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</row>
    <row r="4159" spans="1:19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</row>
    <row r="4160" spans="1:19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</row>
    <row r="4161" spans="1:19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</row>
    <row r="4162" spans="1:19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</row>
    <row r="4163" spans="1:19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</row>
    <row r="4164" spans="1:19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</row>
    <row r="4165" spans="1:19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</row>
    <row r="4166" spans="1:19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</row>
    <row r="4167" spans="1:19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</row>
    <row r="4168" spans="1:19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</row>
    <row r="4169" spans="1:19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</row>
    <row r="4170" spans="1:19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</row>
    <row r="4171" spans="1:19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</row>
    <row r="4172" spans="1:19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</row>
    <row r="4173" spans="1:19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</row>
    <row r="4174" spans="1:19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</row>
    <row r="4175" spans="1:19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</row>
    <row r="4176" spans="1:19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</row>
    <row r="4177" spans="1:19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</row>
    <row r="4178" spans="1:19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</row>
    <row r="4179" spans="1:19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</row>
    <row r="4180" spans="1:19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</row>
    <row r="4181" spans="1:19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</row>
    <row r="4182" spans="1:19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</row>
    <row r="4183" spans="1:19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</row>
    <row r="4184" spans="1:19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</row>
    <row r="4185" spans="1:19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</row>
    <row r="4186" spans="1:19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</row>
    <row r="4187" spans="1:19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</row>
    <row r="4188" spans="1:19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</row>
    <row r="4189" spans="1:19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</row>
    <row r="4190" spans="1:19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</row>
    <row r="4191" spans="1:19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</row>
    <row r="4192" spans="1:19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</row>
    <row r="4193" spans="1:19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</row>
    <row r="4194" spans="1:19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</row>
    <row r="4195" spans="1:19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</row>
    <row r="4196" spans="1:19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</row>
    <row r="4197" spans="1:19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</row>
    <row r="4198" spans="1:19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</row>
    <row r="4199" spans="1:19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</row>
    <row r="4200" spans="1:19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</row>
    <row r="4201" spans="1:19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</row>
    <row r="4202" spans="1:19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</row>
    <row r="4203" spans="1:19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</row>
    <row r="4204" spans="1:19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</row>
    <row r="4205" spans="1:19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</row>
    <row r="4206" spans="1:19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</row>
    <row r="4207" spans="1:19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</row>
    <row r="4208" spans="1:19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</row>
    <row r="4209" spans="1:19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</row>
    <row r="4210" spans="1:19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</row>
    <row r="4211" spans="1:19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</row>
    <row r="4212" spans="1:19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</row>
    <row r="4213" spans="1:19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</row>
    <row r="4214" spans="1:19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</row>
    <row r="4215" spans="1:19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</row>
    <row r="4216" spans="1:19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</row>
    <row r="4217" spans="1:19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</row>
    <row r="4218" spans="1:19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</row>
    <row r="4219" spans="1:19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</row>
    <row r="4220" spans="1:19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</row>
    <row r="4221" spans="1:19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</row>
    <row r="4222" spans="1:19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</row>
    <row r="4223" spans="1:19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</row>
    <row r="4224" spans="1:19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</row>
    <row r="4225" spans="1:19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</row>
    <row r="4226" spans="1:19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</row>
    <row r="4227" spans="1:19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</row>
    <row r="4228" spans="1:19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</row>
    <row r="4229" spans="1:19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</row>
    <row r="4230" spans="1:19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</row>
    <row r="4231" spans="1:19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</row>
    <row r="4232" spans="1:19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</row>
    <row r="4233" spans="1:19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</row>
    <row r="4234" spans="1:19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</row>
    <row r="4235" spans="1:19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</row>
    <row r="4236" spans="1:19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</row>
    <row r="4237" spans="1:19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</row>
    <row r="4238" spans="1:19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</row>
    <row r="4239" spans="1:19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</row>
    <row r="4240" spans="1:19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</row>
    <row r="4241" spans="1:19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</row>
    <row r="4242" spans="1:19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</row>
    <row r="4243" spans="1:19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</row>
    <row r="4244" spans="1:19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</row>
    <row r="4245" spans="1:19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</row>
    <row r="4246" spans="1:19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</row>
    <row r="4247" spans="1:19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</row>
    <row r="4248" spans="1:19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</row>
    <row r="4249" spans="1:19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</row>
    <row r="4250" spans="1:19" x14ac:dyDescent="0.2">
      <c r="A4250" s="17"/>
      <c r="B4250" s="17"/>
      <c r="C4250" s="17"/>
      <c r="D4250" s="17"/>
      <c r="E4250" s="17"/>
      <c r="F4250" s="17"/>
      <c r="G4250" s="17"/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</row>
    <row r="4251" spans="1:19" x14ac:dyDescent="0.2">
      <c r="A4251" s="17"/>
      <c r="B4251" s="17"/>
      <c r="C4251" s="17"/>
      <c r="D4251" s="17"/>
      <c r="E4251" s="17"/>
      <c r="F4251" s="17"/>
      <c r="G4251" s="17"/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</row>
    <row r="4252" spans="1:19" x14ac:dyDescent="0.2">
      <c r="A4252" s="17"/>
      <c r="B4252" s="17"/>
      <c r="C4252" s="17"/>
      <c r="D4252" s="17"/>
      <c r="E4252" s="17"/>
      <c r="F4252" s="17"/>
      <c r="G4252" s="17"/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</row>
    <row r="4253" spans="1:19" x14ac:dyDescent="0.2">
      <c r="A4253" s="17"/>
      <c r="B4253" s="17"/>
      <c r="C4253" s="17"/>
      <c r="D4253" s="17"/>
      <c r="E4253" s="17"/>
      <c r="F4253" s="17"/>
      <c r="G4253" s="17"/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</row>
  </sheetData>
  <phoneticPr fontId="6" type="noConversion"/>
  <pageMargins left="0" right="0" top="0.7" bottom="0" header="0.25" footer="0"/>
  <pageSetup scale="72" orientation="landscape" horizontalDpi="300" r:id="rId1"/>
  <headerFooter alignWithMargins="0">
    <oddFooter>&amp;CPage &amp;P of &amp;N</oddFoot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20</vt:i4>
      </vt:variant>
    </vt:vector>
  </HeadingPairs>
  <TitlesOfParts>
    <vt:vector size="42" baseType="lpstr">
      <vt:lpstr>Summary &gt;&gt;&gt;</vt:lpstr>
      <vt:lpstr>Summary of Rates</vt:lpstr>
      <vt:lpstr>Summary of Revenue</vt:lpstr>
      <vt:lpstr>Summary of Stats</vt:lpstr>
      <vt:lpstr>Exhibits&gt;</vt:lpstr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Work Papers&gt;</vt:lpstr>
      <vt:lpstr>Rate Design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'Exhibits&gt;'!Print_Area</vt:lpstr>
      <vt:lpstr>'Gas Cost Worksheet'!Print_Area</vt:lpstr>
      <vt:lpstr>HDDs!Print_Area</vt:lpstr>
      <vt:lpstr>'Monthly Forecast'!Print_Area</vt:lpstr>
      <vt:lpstr>'Summary &gt;&gt;&gt;'!Print_Area</vt:lpstr>
      <vt:lpstr>'Summary of Rates'!Print_Area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'Work Papers&gt;'!Print_Area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Eric  Wilen</cp:lastModifiedBy>
  <cp:lastPrinted>2015-12-03T20:56:02Z</cp:lastPrinted>
  <dcterms:created xsi:type="dcterms:W3CDTF">2006-10-05T20:11:37Z</dcterms:created>
  <dcterms:modified xsi:type="dcterms:W3CDTF">2015-12-03T20:56:11Z</dcterms:modified>
</cp:coreProperties>
</file>