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285" windowWidth="15330" windowHeight="3735" firstSheet="2" activeTab="2"/>
  </bookViews>
  <sheets>
    <sheet name="TGTStorCost" sheetId="5" state="hidden" r:id="rId1"/>
    <sheet name="Hist" sheetId="6" state="hidden" r:id="rId2"/>
    <sheet name="TGP Plan" sheetId="12" r:id="rId3"/>
    <sheet name="TGT Data tab" sheetId="8" state="hidden" r:id="rId4"/>
    <sheet name="TGT Data tab (2)" sheetId="9" state="hidden" r:id="rId5"/>
    <sheet name="Normalized Sales 2014-15" sheetId="19" state="hidden" r:id="rId6"/>
    <sheet name="Fred short term" sheetId="20" state="hidden" r:id="rId7"/>
  </sheets>
  <externalReferences>
    <externalReference r:id="rId8"/>
  </externalReferences>
  <definedNames>
    <definedName name="DesDayHddMethod">#REF!</definedName>
    <definedName name="Forecast_Model_Used">#REF!</definedName>
    <definedName name="LoadStudyInfoLookup">'[1]Weather Station Information'!$C$3:$G$111</definedName>
    <definedName name="LoadStudyNameList">'[1]Weather Station Information'!$C$3:$C$111</definedName>
    <definedName name="Name_Of_Load_Study">#REF!</definedName>
    <definedName name="_xlnm.Print_Area" localSheetId="1">Hist!$A$1:$L$22</definedName>
    <definedName name="_xlnm.Print_Area" localSheetId="2">'TGP Plan'!$A$1:$Q$70</definedName>
    <definedName name="_xlnm.Print_Area" localSheetId="0">TGTStorCost!$1:$1048576</definedName>
    <definedName name="Print_Total">#REF!</definedName>
    <definedName name="Third_Party_Obligation">'[1]Weather Station Information'!$C$3:$F$111</definedName>
    <definedName name="Time_Period_Utilized">#REF!</definedName>
  </definedNames>
  <calcPr calcId="145621" iterate="1"/>
</workbook>
</file>

<file path=xl/calcChain.xml><?xml version="1.0" encoding="utf-8"?>
<calcChain xmlns="http://schemas.openxmlformats.org/spreadsheetml/2006/main">
  <c r="M17" i="12" l="1"/>
  <c r="K14" i="12" l="1"/>
  <c r="L27" i="12"/>
  <c r="K25" i="12"/>
  <c r="I62" i="12"/>
  <c r="J22" i="12" l="1"/>
  <c r="I17" i="12"/>
  <c r="O16" i="12" l="1"/>
  <c r="M16" i="12"/>
  <c r="K16" i="12"/>
  <c r="I25" i="12"/>
  <c r="I16" i="12"/>
  <c r="I14" i="12" l="1"/>
  <c r="I63" i="12"/>
  <c r="G25" i="12" l="1"/>
  <c r="G17" i="12" l="1"/>
  <c r="G16" i="12"/>
  <c r="G14" i="12"/>
  <c r="E16" i="12" l="1"/>
  <c r="E14" i="12"/>
  <c r="P67" i="12"/>
  <c r="N67" i="12"/>
  <c r="L67" i="12"/>
  <c r="J67" i="12"/>
  <c r="H67" i="12"/>
  <c r="F67" i="12"/>
  <c r="D67" i="12"/>
  <c r="Q56" i="12"/>
  <c r="O56" i="12"/>
  <c r="M56" i="12"/>
  <c r="K56" i="12"/>
  <c r="I56" i="12"/>
  <c r="G56" i="12"/>
  <c r="E56" i="12"/>
  <c r="P65" i="12"/>
  <c r="N65" i="12"/>
  <c r="L65" i="12"/>
  <c r="F65" i="12"/>
  <c r="P63" i="12"/>
  <c r="N63" i="12"/>
  <c r="E63" i="12"/>
  <c r="E62" i="12" s="1"/>
  <c r="Q54" i="12"/>
  <c r="O54" i="12"/>
  <c r="M54" i="12"/>
  <c r="K54" i="12"/>
  <c r="I54" i="12"/>
  <c r="G54" i="12"/>
  <c r="E54" i="12"/>
  <c r="G63" i="12" l="1"/>
  <c r="E65" i="12"/>
  <c r="E64" i="12" s="1"/>
  <c r="G65" i="12" l="1"/>
  <c r="G64" i="12" s="1"/>
  <c r="G62" i="12"/>
  <c r="H17" i="12"/>
  <c r="P17" i="12"/>
  <c r="F17" i="12"/>
  <c r="I65" i="12" l="1"/>
  <c r="I64" i="12" s="1"/>
  <c r="D17" i="12"/>
  <c r="K63" i="12" l="1"/>
  <c r="K65" i="12"/>
  <c r="K64" i="12" s="1"/>
  <c r="C16" i="12"/>
  <c r="C14" i="12"/>
  <c r="M63" i="12" l="1"/>
  <c r="O63" i="12" s="1"/>
  <c r="Q63" i="12" s="1"/>
  <c r="K62" i="12"/>
  <c r="M65" i="12"/>
  <c r="M64" i="12" s="1"/>
  <c r="P57" i="12"/>
  <c r="N57" i="12"/>
  <c r="L57" i="12"/>
  <c r="J57" i="12"/>
  <c r="H57" i="12"/>
  <c r="F57" i="12"/>
  <c r="D57" i="12"/>
  <c r="C57" i="12"/>
  <c r="C55" i="12"/>
  <c r="P55" i="12"/>
  <c r="N55" i="12"/>
  <c r="L55" i="12"/>
  <c r="J55" i="12"/>
  <c r="H55" i="12"/>
  <c r="F55" i="12"/>
  <c r="D55" i="12"/>
  <c r="M62" i="12" l="1"/>
  <c r="O62" i="12"/>
  <c r="O65" i="12"/>
  <c r="O64" i="12" s="1"/>
  <c r="D35" i="20"/>
  <c r="O17" i="12"/>
  <c r="J59" i="12"/>
  <c r="P59" i="12"/>
  <c r="N59" i="12"/>
  <c r="L59" i="12"/>
  <c r="K17" i="12" s="1"/>
  <c r="H59" i="12"/>
  <c r="F59" i="12"/>
  <c r="D59" i="12"/>
  <c r="E57" i="12"/>
  <c r="E55" i="12"/>
  <c r="Q65" i="12" l="1"/>
  <c r="Q64" i="12" s="1"/>
  <c r="Q62" i="12"/>
  <c r="G57" i="12"/>
  <c r="G55" i="12"/>
  <c r="I57" i="12" l="1"/>
  <c r="I55" i="12"/>
  <c r="O26" i="12"/>
  <c r="O25" i="12"/>
  <c r="M26" i="12"/>
  <c r="K26" i="12"/>
  <c r="M25" i="12"/>
  <c r="I26" i="12"/>
  <c r="G26" i="12"/>
  <c r="E26" i="12"/>
  <c r="E27" i="12" s="1"/>
  <c r="E25" i="12"/>
  <c r="C26" i="12"/>
  <c r="C25" i="12"/>
  <c r="K57" i="12" l="1"/>
  <c r="K55" i="12"/>
  <c r="Q21" i="12"/>
  <c r="O21" i="12"/>
  <c r="O20" i="12"/>
  <c r="M21" i="12"/>
  <c r="M20" i="12"/>
  <c r="K21" i="12"/>
  <c r="K20" i="12"/>
  <c r="I21" i="12"/>
  <c r="I20" i="12"/>
  <c r="G21" i="12"/>
  <c r="G20" i="12"/>
  <c r="E21" i="12"/>
  <c r="E20" i="12"/>
  <c r="D18" i="12"/>
  <c r="M57" i="12" l="1"/>
  <c r="M55" i="12"/>
  <c r="O57" i="12" l="1"/>
  <c r="O55" i="12"/>
  <c r="C35" i="12"/>
  <c r="C42" i="12"/>
  <c r="D42" i="12" s="1"/>
  <c r="D43" i="12"/>
  <c r="C19" i="9"/>
  <c r="C7" i="9" s="1"/>
  <c r="I7" i="9"/>
  <c r="I12" i="9" s="1"/>
  <c r="H19" i="9"/>
  <c r="H7" i="9"/>
  <c r="H16" i="9"/>
  <c r="G19" i="9"/>
  <c r="G7" i="9" s="1"/>
  <c r="F19" i="9"/>
  <c r="F7" i="9" s="1"/>
  <c r="F16" i="9"/>
  <c r="E19" i="9"/>
  <c r="E7" i="9"/>
  <c r="D19" i="9"/>
  <c r="D7" i="9"/>
  <c r="D16" i="9"/>
  <c r="I18" i="9"/>
  <c r="I38" i="9" s="1"/>
  <c r="H18" i="9"/>
  <c r="H38" i="9"/>
  <c r="G18" i="9"/>
  <c r="G38" i="9"/>
  <c r="F18" i="9"/>
  <c r="F38" i="9"/>
  <c r="E18" i="9"/>
  <c r="E38" i="9"/>
  <c r="D18" i="9"/>
  <c r="D38" i="9"/>
  <c r="C18" i="9"/>
  <c r="C38" i="9"/>
  <c r="K38" i="9" s="1"/>
  <c r="I17" i="9"/>
  <c r="I19" i="9"/>
  <c r="I31" i="9"/>
  <c r="H17" i="9"/>
  <c r="G17" i="9"/>
  <c r="F17" i="9"/>
  <c r="F31" i="9"/>
  <c r="E17" i="9"/>
  <c r="D17" i="9"/>
  <c r="C17" i="9"/>
  <c r="I16" i="9"/>
  <c r="G16" i="9"/>
  <c r="E16" i="9"/>
  <c r="C16" i="9"/>
  <c r="K16" i="9"/>
  <c r="L18" i="9" s="1"/>
  <c r="K17" i="9"/>
  <c r="K18" i="9"/>
  <c r="K22" i="9"/>
  <c r="D19" i="8"/>
  <c r="D7" i="8"/>
  <c r="D16" i="8"/>
  <c r="H19" i="8"/>
  <c r="H7" i="8" s="1"/>
  <c r="G19" i="8"/>
  <c r="G7" i="8" s="1"/>
  <c r="G8" i="8" s="1"/>
  <c r="F19" i="8"/>
  <c r="F7" i="8" s="1"/>
  <c r="E19" i="8"/>
  <c r="E7" i="8" s="1"/>
  <c r="E12" i="8" s="1"/>
  <c r="E37" i="8" s="1"/>
  <c r="E40" i="8" s="1"/>
  <c r="C19" i="8"/>
  <c r="C31" i="8" s="1"/>
  <c r="K31" i="8" s="1"/>
  <c r="I7" i="8"/>
  <c r="I11" i="8"/>
  <c r="I29" i="8" s="1"/>
  <c r="I30" i="8" s="1"/>
  <c r="E16" i="8"/>
  <c r="F16" i="8"/>
  <c r="G16" i="8"/>
  <c r="H16" i="8"/>
  <c r="I16" i="8"/>
  <c r="D17" i="8"/>
  <c r="E17" i="8"/>
  <c r="F17" i="8"/>
  <c r="G17" i="8"/>
  <c r="H17" i="8"/>
  <c r="I17" i="8"/>
  <c r="D18" i="8"/>
  <c r="D38" i="8" s="1"/>
  <c r="E18" i="8"/>
  <c r="E38" i="8" s="1"/>
  <c r="F18" i="8"/>
  <c r="F38" i="8" s="1"/>
  <c r="G18" i="8"/>
  <c r="G38" i="8" s="1"/>
  <c r="H18" i="8"/>
  <c r="I18" i="8"/>
  <c r="I38" i="8"/>
  <c r="C17" i="8"/>
  <c r="K17" i="8"/>
  <c r="C18" i="8"/>
  <c r="K18" i="8"/>
  <c r="C16" i="8"/>
  <c r="K16" i="8"/>
  <c r="L18" i="8" s="1"/>
  <c r="I19" i="8"/>
  <c r="I31" i="8" s="1"/>
  <c r="I33" i="8" s="1"/>
  <c r="H38" i="8"/>
  <c r="K22" i="8"/>
  <c r="G11" i="6"/>
  <c r="G12" i="6"/>
  <c r="G13" i="6"/>
  <c r="F11" i="6"/>
  <c r="F12" i="6"/>
  <c r="F13" i="6"/>
  <c r="F14" i="6"/>
  <c r="D11" i="6"/>
  <c r="D12" i="6"/>
  <c r="D13" i="6"/>
  <c r="C18" i="6"/>
  <c r="C21" i="6" s="1"/>
  <c r="C12" i="6"/>
  <c r="H20" i="6"/>
  <c r="H18" i="6"/>
  <c r="H19" i="6"/>
  <c r="C19" i="6"/>
  <c r="C20" i="6"/>
  <c r="D18" i="6"/>
  <c r="D19" i="6"/>
  <c r="D20" i="6"/>
  <c r="E18" i="6"/>
  <c r="E19" i="6"/>
  <c r="E20" i="6"/>
  <c r="E21" i="6" s="1"/>
  <c r="E5" i="6" s="1"/>
  <c r="F18" i="6"/>
  <c r="F19" i="6"/>
  <c r="F20" i="6"/>
  <c r="G18" i="6"/>
  <c r="G19" i="6"/>
  <c r="G20" i="6"/>
  <c r="G21" i="6" s="1"/>
  <c r="G5" i="6" s="1"/>
  <c r="I18" i="6"/>
  <c r="I19" i="6"/>
  <c r="I20" i="6"/>
  <c r="D22" i="6"/>
  <c r="G22" i="6"/>
  <c r="F22" i="6"/>
  <c r="I22" i="6"/>
  <c r="C22" i="6"/>
  <c r="J22" i="6" s="1"/>
  <c r="E22" i="6"/>
  <c r="H22" i="6"/>
  <c r="I13" i="6"/>
  <c r="E13" i="6"/>
  <c r="H13" i="6"/>
  <c r="C13" i="6"/>
  <c r="J13" i="6"/>
  <c r="I12" i="6"/>
  <c r="E12" i="6"/>
  <c r="H12" i="6"/>
  <c r="H14" i="6"/>
  <c r="C11" i="6"/>
  <c r="E11" i="6"/>
  <c r="H11" i="6"/>
  <c r="I11" i="6"/>
  <c r="I14" i="6" s="1"/>
  <c r="N5" i="6"/>
  <c r="O5" i="6" s="1"/>
  <c r="Q5" i="6" s="1"/>
  <c r="N6" i="6"/>
  <c r="O6" i="6"/>
  <c r="Q6" i="6" s="1"/>
  <c r="N7" i="6"/>
  <c r="O7" i="6"/>
  <c r="Q7" i="6" s="1"/>
  <c r="E14" i="6"/>
  <c r="P8" i="6"/>
  <c r="T6" i="6"/>
  <c r="T7" i="6"/>
  <c r="C7" i="6"/>
  <c r="D7" i="6"/>
  <c r="E7" i="6"/>
  <c r="F7" i="6"/>
  <c r="G7" i="6"/>
  <c r="H7" i="6"/>
  <c r="J7" i="6" s="1"/>
  <c r="I7" i="6"/>
  <c r="P11" i="6"/>
  <c r="N11" i="6"/>
  <c r="O11" i="6"/>
  <c r="N12" i="6"/>
  <c r="O12" i="6"/>
  <c r="Q12" i="6" s="1"/>
  <c r="N13" i="6"/>
  <c r="O13" i="6" s="1"/>
  <c r="Q13" i="6" s="1"/>
  <c r="N9" i="6"/>
  <c r="O9" i="6"/>
  <c r="Q9" i="6" s="1"/>
  <c r="C30" i="6"/>
  <c r="D30" i="6"/>
  <c r="E30" i="6"/>
  <c r="F30" i="6"/>
  <c r="G30" i="6"/>
  <c r="H30" i="6"/>
  <c r="I30" i="6"/>
  <c r="H7" i="5"/>
  <c r="G7" i="5"/>
  <c r="F7" i="5"/>
  <c r="E7" i="5"/>
  <c r="D7" i="5"/>
  <c r="C7" i="5"/>
  <c r="B7" i="5"/>
  <c r="H10" i="5"/>
  <c r="G10" i="5"/>
  <c r="F10" i="5"/>
  <c r="E10" i="5"/>
  <c r="D10" i="5"/>
  <c r="C10" i="5"/>
  <c r="C11" i="5" s="1"/>
  <c r="I11" i="5" s="1"/>
  <c r="B10" i="5"/>
  <c r="B11" i="5" s="1"/>
  <c r="I4" i="5"/>
  <c r="H21" i="6"/>
  <c r="H5" i="6"/>
  <c r="J12" i="6"/>
  <c r="D14" i="6"/>
  <c r="G31" i="8"/>
  <c r="Q11" i="6"/>
  <c r="C14" i="6"/>
  <c r="I21" i="6"/>
  <c r="I5" i="6" s="1"/>
  <c r="F21" i="6"/>
  <c r="F5" i="6" s="1"/>
  <c r="D21" i="6"/>
  <c r="D5" i="6" s="1"/>
  <c r="K19" i="9"/>
  <c r="T5" i="6"/>
  <c r="J11" i="6"/>
  <c r="J14" i="6" s="1"/>
  <c r="G14" i="6"/>
  <c r="I10" i="9"/>
  <c r="I21" i="9"/>
  <c r="I24" i="9" s="1"/>
  <c r="Q25" i="6"/>
  <c r="O26" i="6"/>
  <c r="S26" i="6"/>
  <c r="Q27" i="6"/>
  <c r="M26" i="6"/>
  <c r="N25" i="6"/>
  <c r="S25" i="6"/>
  <c r="R26" i="6"/>
  <c r="R27" i="6"/>
  <c r="O25" i="6"/>
  <c r="N26" i="6"/>
  <c r="N27" i="6"/>
  <c r="S27" i="6"/>
  <c r="P25" i="6"/>
  <c r="P26" i="6"/>
  <c r="O27" i="6"/>
  <c r="M27" i="6"/>
  <c r="R25" i="6"/>
  <c r="Q26" i="6"/>
  <c r="P27" i="6"/>
  <c r="M25" i="6"/>
  <c r="E31" i="9"/>
  <c r="F31" i="8"/>
  <c r="D31" i="8"/>
  <c r="K19" i="8"/>
  <c r="I12" i="8"/>
  <c r="I37" i="8" s="1"/>
  <c r="I40" i="8" s="1"/>
  <c r="C7" i="8"/>
  <c r="K7" i="8"/>
  <c r="I8" i="8"/>
  <c r="D11" i="5"/>
  <c r="F11" i="5"/>
  <c r="H11" i="5"/>
  <c r="E31" i="8"/>
  <c r="C31" i="9"/>
  <c r="K31" i="9" s="1"/>
  <c r="E11" i="5"/>
  <c r="G11" i="5"/>
  <c r="I7" i="5"/>
  <c r="H31" i="8"/>
  <c r="C38" i="8"/>
  <c r="G31" i="9"/>
  <c r="H31" i="9"/>
  <c r="I11" i="9"/>
  <c r="C10" i="8"/>
  <c r="C12" i="8"/>
  <c r="C8" i="8"/>
  <c r="K8" i="8" s="1"/>
  <c r="C11" i="8"/>
  <c r="I29" i="9"/>
  <c r="I30" i="9"/>
  <c r="K38" i="8"/>
  <c r="K10" i="8"/>
  <c r="C14" i="8"/>
  <c r="K14" i="8"/>
  <c r="C21" i="8"/>
  <c r="C29" i="8"/>
  <c r="K29" i="8" s="1"/>
  <c r="K11" i="8"/>
  <c r="C37" i="8"/>
  <c r="C40" i="8"/>
  <c r="K40" i="8" s="1"/>
  <c r="K12" i="8"/>
  <c r="K21" i="8"/>
  <c r="C24" i="8"/>
  <c r="K24" i="8" s="1"/>
  <c r="K37" i="8"/>
  <c r="I8" i="9"/>
  <c r="I33" i="9"/>
  <c r="D10" i="8"/>
  <c r="D8" i="8"/>
  <c r="D12" i="8"/>
  <c r="D37" i="8"/>
  <c r="D40" i="8" s="1"/>
  <c r="D11" i="8"/>
  <c r="D29" i="8" s="1"/>
  <c r="D30" i="8" s="1"/>
  <c r="D33" i="8" s="1"/>
  <c r="E10" i="9"/>
  <c r="E12" i="9"/>
  <c r="E37" i="9"/>
  <c r="E40" i="9" s="1"/>
  <c r="E11" i="9"/>
  <c r="E29" i="9" s="1"/>
  <c r="E30" i="9" s="1"/>
  <c r="E33" i="9" s="1"/>
  <c r="E8" i="9"/>
  <c r="C30" i="8"/>
  <c r="I12" i="5"/>
  <c r="I10" i="8"/>
  <c r="E8" i="8"/>
  <c r="E11" i="8"/>
  <c r="E29" i="8" s="1"/>
  <c r="E30" i="8" s="1"/>
  <c r="E33" i="8" s="1"/>
  <c r="E10" i="8"/>
  <c r="E21" i="8" s="1"/>
  <c r="G12" i="8"/>
  <c r="G37" i="8" s="1"/>
  <c r="G40" i="8" s="1"/>
  <c r="G11" i="8"/>
  <c r="G29" i="8" s="1"/>
  <c r="G30" i="8" s="1"/>
  <c r="G33" i="8" s="1"/>
  <c r="D11" i="9"/>
  <c r="D29" i="9" s="1"/>
  <c r="D30" i="9" s="1"/>
  <c r="D33" i="9" s="1"/>
  <c r="D10" i="9"/>
  <c r="D12" i="9"/>
  <c r="D37" i="9" s="1"/>
  <c r="D40" i="9" s="1"/>
  <c r="D8" i="9"/>
  <c r="F11" i="8"/>
  <c r="F29" i="8" s="1"/>
  <c r="F30" i="8" s="1"/>
  <c r="F33" i="8" s="1"/>
  <c r="F12" i="8"/>
  <c r="F37" i="8" s="1"/>
  <c r="F40" i="8" s="1"/>
  <c r="F10" i="8"/>
  <c r="F8" i="8"/>
  <c r="H12" i="8"/>
  <c r="H37" i="8"/>
  <c r="H40" i="8" s="1"/>
  <c r="H11" i="8"/>
  <c r="H29" i="8" s="1"/>
  <c r="H30" i="8" s="1"/>
  <c r="H33" i="8" s="1"/>
  <c r="H10" i="8"/>
  <c r="H21" i="8" s="1"/>
  <c r="H24" i="8" s="1"/>
  <c r="H8" i="8"/>
  <c r="E21" i="9"/>
  <c r="E24" i="9"/>
  <c r="E14" i="9"/>
  <c r="H11" i="9"/>
  <c r="H29" i="9"/>
  <c r="H30" i="9" s="1"/>
  <c r="H33" i="9" s="1"/>
  <c r="H8" i="9"/>
  <c r="H12" i="9"/>
  <c r="H37" i="9" s="1"/>
  <c r="H40" i="9" s="1"/>
  <c r="H10" i="9"/>
  <c r="C10" i="9"/>
  <c r="C14" i="9" s="1"/>
  <c r="K14" i="9" s="1"/>
  <c r="C8" i="9"/>
  <c r="K8" i="9"/>
  <c r="C12" i="9"/>
  <c r="K7" i="9"/>
  <c r="C11" i="9"/>
  <c r="D31" i="9"/>
  <c r="I21" i="8"/>
  <c r="I24" i="8" s="1"/>
  <c r="I14" i="8"/>
  <c r="C33" i="8"/>
  <c r="K33" i="8"/>
  <c r="K30" i="8"/>
  <c r="D14" i="8"/>
  <c r="D21" i="8"/>
  <c r="D24" i="8"/>
  <c r="K11" i="9"/>
  <c r="C29" i="9"/>
  <c r="K12" i="9"/>
  <c r="C37" i="9"/>
  <c r="C21" i="9"/>
  <c r="C24" i="9" s="1"/>
  <c r="K24" i="9" s="1"/>
  <c r="D21" i="9"/>
  <c r="D24" i="9" s="1"/>
  <c r="D14" i="9"/>
  <c r="E24" i="8"/>
  <c r="H21" i="9"/>
  <c r="H24" i="9" s="1"/>
  <c r="H14" i="9"/>
  <c r="F24" i="8"/>
  <c r="F21" i="8"/>
  <c r="F14" i="8"/>
  <c r="K21" i="9"/>
  <c r="C40" i="9"/>
  <c r="K40" i="9"/>
  <c r="K37" i="9"/>
  <c r="K29" i="9"/>
  <c r="C30" i="9"/>
  <c r="C33" i="9"/>
  <c r="K33" i="9" s="1"/>
  <c r="K30" i="9"/>
  <c r="Q57" i="12" l="1"/>
  <c r="Q55" i="12"/>
  <c r="C44" i="12"/>
  <c r="E44" i="12" s="1"/>
  <c r="N29" i="6"/>
  <c r="O29" i="6"/>
  <c r="P29" i="6"/>
  <c r="S29" i="6"/>
  <c r="R29" i="6"/>
  <c r="Q29" i="6"/>
  <c r="M29" i="6"/>
  <c r="F10" i="9"/>
  <c r="F12" i="9"/>
  <c r="F37" i="9" s="1"/>
  <c r="F40" i="9" s="1"/>
  <c r="F11" i="9"/>
  <c r="F29" i="9" s="1"/>
  <c r="F30" i="9" s="1"/>
  <c r="F33" i="9" s="1"/>
  <c r="F8" i="9"/>
  <c r="E14" i="8"/>
  <c r="K10" i="9"/>
  <c r="H14" i="8"/>
  <c r="G10" i="8"/>
  <c r="P28" i="6"/>
  <c r="M28" i="6"/>
  <c r="N28" i="6"/>
  <c r="S28" i="6"/>
  <c r="Q14" i="6"/>
  <c r="Q28" i="6"/>
  <c r="O28" i="6"/>
  <c r="R28" i="6"/>
  <c r="O20" i="6"/>
  <c r="M20" i="6"/>
  <c r="N20" i="6"/>
  <c r="R20" i="6"/>
  <c r="Q20" i="6"/>
  <c r="P20" i="6"/>
  <c r="S20" i="6"/>
  <c r="R7" i="6"/>
  <c r="Q19" i="6"/>
  <c r="R6" i="6"/>
  <c r="O19" i="6"/>
  <c r="S19" i="6"/>
  <c r="N19" i="6"/>
  <c r="M19" i="6"/>
  <c r="R19" i="6"/>
  <c r="P19" i="6"/>
  <c r="N18" i="6"/>
  <c r="N21" i="6" s="1"/>
  <c r="O18" i="6"/>
  <c r="O21" i="6" s="1"/>
  <c r="S18" i="6"/>
  <c r="S21" i="6" s="1"/>
  <c r="Q8" i="6"/>
  <c r="Q18" i="6"/>
  <c r="Q21" i="6" s="1"/>
  <c r="R5" i="6"/>
  <c r="P18" i="6"/>
  <c r="P21" i="6" s="1"/>
  <c r="R18" i="6"/>
  <c r="R21" i="6" s="1"/>
  <c r="M18" i="6"/>
  <c r="M21" i="6" s="1"/>
  <c r="J21" i="6"/>
  <c r="C5" i="6"/>
  <c r="G11" i="9"/>
  <c r="G29" i="9" s="1"/>
  <c r="G30" i="9" s="1"/>
  <c r="G33" i="9" s="1"/>
  <c r="G10" i="9"/>
  <c r="G8" i="9"/>
  <c r="G12" i="9"/>
  <c r="G37" i="9" s="1"/>
  <c r="G40" i="9" s="1"/>
  <c r="I37" i="9"/>
  <c r="I40" i="9" s="1"/>
  <c r="I14" i="9"/>
  <c r="D44" i="12"/>
  <c r="B47" i="12" s="1"/>
  <c r="B46" i="12" l="1"/>
  <c r="C46" i="12" s="1"/>
  <c r="C47" i="12"/>
  <c r="Q14" i="12"/>
  <c r="E6" i="6"/>
  <c r="H6" i="6"/>
  <c r="D6" i="6"/>
  <c r="G6" i="6"/>
  <c r="I6" i="6"/>
  <c r="F6" i="6"/>
  <c r="C6" i="6"/>
  <c r="F14" i="9"/>
  <c r="F24" i="9"/>
  <c r="F21" i="9"/>
  <c r="G21" i="9"/>
  <c r="G24" i="9" s="1"/>
  <c r="G14" i="9"/>
  <c r="C8" i="6"/>
  <c r="J5" i="6"/>
  <c r="G14" i="8"/>
  <c r="G21" i="8"/>
  <c r="G24" i="8" s="1"/>
  <c r="F15" i="6" l="1"/>
  <c r="F8" i="6"/>
  <c r="F9" i="6" s="1"/>
  <c r="G15" i="6"/>
  <c r="G8" i="6"/>
  <c r="G9" i="6" s="1"/>
  <c r="H15" i="6"/>
  <c r="H8" i="6"/>
  <c r="H9" i="6" s="1"/>
  <c r="C9" i="6"/>
  <c r="C15" i="6"/>
  <c r="J6" i="6"/>
  <c r="I15" i="6"/>
  <c r="I8" i="6"/>
  <c r="I9" i="6" s="1"/>
  <c r="D15" i="6"/>
  <c r="D8" i="6"/>
  <c r="D9" i="6" s="1"/>
  <c r="E15" i="6"/>
  <c r="E8" i="6"/>
  <c r="E9" i="6" s="1"/>
  <c r="C48" i="12"/>
  <c r="Q26" i="12" l="1"/>
  <c r="Q25" i="12"/>
  <c r="C27" i="12"/>
  <c r="J8" i="6"/>
  <c r="J15" i="6"/>
  <c r="J9" i="6"/>
  <c r="K27" i="12"/>
  <c r="O27" i="12"/>
  <c r="D27" i="12" l="1"/>
  <c r="P27" i="12"/>
  <c r="G27" i="12" l="1"/>
  <c r="H27" i="12" s="1"/>
  <c r="I27" i="12" l="1"/>
  <c r="J27" i="12" s="1"/>
  <c r="M18" i="12" l="1"/>
  <c r="G18" i="12"/>
  <c r="O18" i="12"/>
  <c r="K18" i="12"/>
  <c r="I18" i="12"/>
  <c r="J18" i="12" s="1"/>
  <c r="E18" i="12"/>
  <c r="I23" i="12" l="1"/>
  <c r="J23" i="12"/>
  <c r="I22" i="12" s="1"/>
  <c r="P18" i="12"/>
  <c r="P23" i="12" s="1"/>
  <c r="P22" i="12" s="1"/>
  <c r="O22" i="12" s="1"/>
  <c r="O23" i="12"/>
  <c r="F18" i="12"/>
  <c r="F23" i="12" s="1"/>
  <c r="F22" i="12" s="1"/>
  <c r="E22" i="12" s="1"/>
  <c r="E23" i="12"/>
  <c r="L18" i="12"/>
  <c r="L23" i="12" s="1"/>
  <c r="L22" i="12" s="1"/>
  <c r="K22" i="12" s="1"/>
  <c r="K23" i="12"/>
  <c r="G23" i="12"/>
  <c r="H18" i="12"/>
  <c r="H23" i="12" s="1"/>
  <c r="H22" i="12" s="1"/>
  <c r="G22" i="12" s="1"/>
  <c r="Q16" i="12"/>
  <c r="N18" i="12"/>
  <c r="N23" i="12" s="1"/>
  <c r="N22" i="12" s="1"/>
  <c r="M22" i="12" s="1"/>
  <c r="M23" i="12"/>
  <c r="M27" i="12"/>
  <c r="N27" i="12" s="1"/>
  <c r="Q22" i="12" l="1"/>
  <c r="Q17" i="12" l="1"/>
  <c r="C18" i="12"/>
  <c r="C20" i="12" s="1"/>
  <c r="D20" i="12" l="1"/>
  <c r="D23" i="12" s="1"/>
  <c r="C23" i="12"/>
  <c r="Q20" i="12"/>
  <c r="Q18" i="12"/>
  <c r="Q23" i="12" s="1"/>
  <c r="Q27" i="12"/>
  <c r="F27" i="12"/>
</calcChain>
</file>

<file path=xl/comments1.xml><?xml version="1.0" encoding="utf-8"?>
<comments xmlns="http://schemas.openxmlformats.org/spreadsheetml/2006/main">
  <authors>
    <author>Robert Waldman</author>
  </authors>
  <commentList>
    <comment ref="C18" authorId="0">
      <text>
        <r>
          <rPr>
            <b/>
            <sz val="8"/>
            <color indexed="81"/>
            <rFont val="Tahoma"/>
            <family val="2"/>
          </rPr>
          <t>Robert Waldman:</t>
        </r>
        <r>
          <rPr>
            <sz val="8"/>
            <color indexed="81"/>
            <rFont val="Tahoma"/>
            <family val="2"/>
          </rPr>
          <t xml:space="preserve">
The added number is just to bring it to a number evenly divisable.
</t>
        </r>
      </text>
    </comment>
  </commentList>
</comments>
</file>

<file path=xl/comments2.xml><?xml version="1.0" encoding="utf-8"?>
<comments xmlns="http://schemas.openxmlformats.org/spreadsheetml/2006/main">
  <authors>
    <author>Kimberly B Griffith</author>
  </authors>
  <commentList>
    <comment ref="I14" authorId="0">
      <text>
        <r>
          <rPr>
            <b/>
            <sz val="9"/>
            <color indexed="81"/>
            <rFont val="Tahoma"/>
            <family val="2"/>
          </rPr>
          <t>Kimberly B Griffith:</t>
        </r>
        <r>
          <rPr>
            <sz val="9"/>
            <color indexed="81"/>
            <rFont val="Tahoma"/>
            <family val="2"/>
          </rPr>
          <t xml:space="preserve">
used Fred's new normals
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Kimberly B Griffith:</t>
        </r>
        <r>
          <rPr>
            <sz val="9"/>
            <color indexed="81"/>
            <rFont val="Tahoma"/>
            <family val="2"/>
          </rPr>
          <t xml:space="preserve">
used short-term forecast; Fred normal 50,831 so very close.</t>
        </r>
      </text>
    </comment>
  </commentList>
</comments>
</file>

<file path=xl/comments3.xml><?xml version="1.0" encoding="utf-8"?>
<comments xmlns="http://schemas.openxmlformats.org/spreadsheetml/2006/main">
  <authors>
    <author>Atmos Energy</author>
    <author>kgriffit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Atmos Energy:</t>
        </r>
        <r>
          <rPr>
            <sz val="8"/>
            <color indexed="81"/>
            <rFont val="Tahoma"/>
            <family val="2"/>
          </rPr>
          <t xml:space="preserve">
Gary's budget minus TGP requirements plus planned injections
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>Atmos Energy:</t>
        </r>
        <r>
          <rPr>
            <sz val="8"/>
            <color indexed="81"/>
            <rFont val="Tahoma"/>
            <family val="2"/>
          </rPr>
          <t xml:space="preserve">
Gary's budget minus TGP requirements
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>Atmos Energy:</t>
        </r>
        <r>
          <rPr>
            <sz val="8"/>
            <color indexed="81"/>
            <rFont val="Tahoma"/>
            <family val="2"/>
          </rPr>
          <t xml:space="preserve">
Gary's budget minus TGP requirements
</t>
        </r>
      </text>
    </comment>
    <comment ref="F7" authorId="0">
      <text>
        <r>
          <rPr>
            <b/>
            <sz val="8"/>
            <color indexed="81"/>
            <rFont val="Tahoma"/>
            <family val="2"/>
          </rPr>
          <t>Atmos Energy:</t>
        </r>
        <r>
          <rPr>
            <sz val="8"/>
            <color indexed="81"/>
            <rFont val="Tahoma"/>
            <family val="2"/>
          </rPr>
          <t xml:space="preserve">
Gary's budget minus TGP requirements
</t>
        </r>
      </text>
    </comment>
    <comment ref="G7" authorId="0">
      <text>
        <r>
          <rPr>
            <b/>
            <sz val="8"/>
            <color indexed="81"/>
            <rFont val="Tahoma"/>
            <family val="2"/>
          </rPr>
          <t>Atmos Energy:</t>
        </r>
        <r>
          <rPr>
            <sz val="8"/>
            <color indexed="81"/>
            <rFont val="Tahoma"/>
            <family val="2"/>
          </rPr>
          <t xml:space="preserve">
Gary's budget minus TGP requirements
</t>
        </r>
      </text>
    </comment>
    <comment ref="H7" authorId="0">
      <text>
        <r>
          <rPr>
            <b/>
            <sz val="8"/>
            <color indexed="81"/>
            <rFont val="Tahoma"/>
            <family val="2"/>
          </rPr>
          <t>Atmos Energy:</t>
        </r>
        <r>
          <rPr>
            <sz val="8"/>
            <color indexed="81"/>
            <rFont val="Tahoma"/>
            <family val="2"/>
          </rPr>
          <t xml:space="preserve">
Gary's budget minus TGP requirements
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Atmos Energy:</t>
        </r>
        <r>
          <rPr>
            <sz val="8"/>
            <color indexed="81"/>
            <rFont val="Tahoma"/>
            <family val="2"/>
          </rPr>
          <t xml:space="preserve">
Gary's budget minus TGP requirements
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Atmos Energy:</t>
        </r>
        <r>
          <rPr>
            <sz val="8"/>
            <color indexed="81"/>
            <rFont val="Tahoma"/>
            <family val="2"/>
          </rPr>
          <t xml:space="preserve">
NNS volume from last year's plan
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>Atmos Energy:</t>
        </r>
        <r>
          <rPr>
            <sz val="8"/>
            <color indexed="81"/>
            <rFont val="Tahoma"/>
            <family val="2"/>
          </rPr>
          <t xml:space="preserve">
NNS volume from last year's plan
</t>
        </r>
      </text>
    </comment>
    <comment ref="B18" authorId="0">
      <text>
        <r>
          <rPr>
            <b/>
            <sz val="8"/>
            <color indexed="81"/>
            <rFont val="Tahoma"/>
            <family val="2"/>
          </rPr>
          <t>Atmos Energy:</t>
        </r>
        <r>
          <rPr>
            <sz val="8"/>
            <color indexed="81"/>
            <rFont val="Tahoma"/>
            <family val="2"/>
          </rPr>
          <t xml:space="preserve">
NNS volume from last year's plan
</t>
        </r>
      </text>
    </comment>
    <comment ref="B19" authorId="0">
      <text>
        <r>
          <rPr>
            <b/>
            <sz val="8"/>
            <color indexed="81"/>
            <rFont val="Tahoma"/>
            <family val="2"/>
          </rPr>
          <t>Atmos Energy:</t>
        </r>
        <r>
          <rPr>
            <sz val="8"/>
            <color indexed="81"/>
            <rFont val="Tahoma"/>
            <family val="2"/>
          </rPr>
          <t xml:space="preserve">
Co Owned volumes from Gary's budget
</t>
        </r>
      </text>
    </comment>
    <comment ref="A31" authorId="1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From last years plan
</t>
        </r>
      </text>
    </comment>
  </commentList>
</comments>
</file>

<file path=xl/comments4.xml><?xml version="1.0" encoding="utf-8"?>
<comments xmlns="http://schemas.openxmlformats.org/spreadsheetml/2006/main">
  <authors>
    <author>Atmos Energy</author>
    <author>kgriffit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Atmos Energy:</t>
        </r>
        <r>
          <rPr>
            <sz val="8"/>
            <color indexed="81"/>
            <rFont val="Tahoma"/>
            <family val="2"/>
          </rPr>
          <t xml:space="preserve">
volumes from prior summer plan and updated storage (planned injections)
</t>
        </r>
      </text>
    </comment>
    <comment ref="D7" authorId="1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+100,000 reasonable adjustment b/c May was quite a bit lower than June and July
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Atmos Energy:</t>
        </r>
        <r>
          <rPr>
            <sz val="8"/>
            <color indexed="81"/>
            <rFont val="Tahoma"/>
            <family val="2"/>
          </rPr>
          <t xml:space="preserve">
NNS volume from last year's plan
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>Atmos Energy:</t>
        </r>
        <r>
          <rPr>
            <sz val="8"/>
            <color indexed="81"/>
            <rFont val="Tahoma"/>
            <family val="2"/>
          </rPr>
          <t xml:space="preserve">
NNS volume from last year's plan
</t>
        </r>
      </text>
    </comment>
    <comment ref="B18" authorId="0">
      <text>
        <r>
          <rPr>
            <b/>
            <sz val="8"/>
            <color indexed="81"/>
            <rFont val="Tahoma"/>
            <family val="2"/>
          </rPr>
          <t>Atmos Energy:</t>
        </r>
        <r>
          <rPr>
            <sz val="8"/>
            <color indexed="81"/>
            <rFont val="Tahoma"/>
            <family val="2"/>
          </rPr>
          <t xml:space="preserve">
NNS volume from last year's plan
</t>
        </r>
      </text>
    </comment>
    <comment ref="B19" authorId="0">
      <text>
        <r>
          <rPr>
            <b/>
            <sz val="8"/>
            <color indexed="81"/>
            <rFont val="Tahoma"/>
            <family val="2"/>
          </rPr>
          <t>Atmos Energy:</t>
        </r>
        <r>
          <rPr>
            <sz val="8"/>
            <color indexed="81"/>
            <rFont val="Tahoma"/>
            <family val="2"/>
          </rPr>
          <t xml:space="preserve">
Co Owned volumes from Gary's budget
</t>
        </r>
      </text>
    </comment>
    <comment ref="A31" authorId="1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From last years plan
</t>
        </r>
      </text>
    </comment>
  </commentList>
</comments>
</file>

<file path=xl/sharedStrings.xml><?xml version="1.0" encoding="utf-8"?>
<sst xmlns="http://schemas.openxmlformats.org/spreadsheetml/2006/main" count="345" uniqueCount="203">
  <si>
    <t>Zone 2</t>
  </si>
  <si>
    <t>All Volumes MMBTU</t>
  </si>
  <si>
    <t>Monthly</t>
  </si>
  <si>
    <t>Daily</t>
  </si>
  <si>
    <t>Total</t>
  </si>
  <si>
    <t>Zone 3</t>
  </si>
  <si>
    <t>Zone 4</t>
  </si>
  <si>
    <t>Tennessee Gas</t>
  </si>
  <si>
    <t>Area</t>
  </si>
  <si>
    <t>GS-2</t>
  </si>
  <si>
    <t>Storage</t>
  </si>
  <si>
    <t>Z2</t>
  </si>
  <si>
    <t>Z3</t>
  </si>
  <si>
    <t>Z4</t>
  </si>
  <si>
    <t>Percentages</t>
  </si>
  <si>
    <t>NYMEX</t>
  </si>
  <si>
    <t>on 2/28/01</t>
  </si>
  <si>
    <t>WKG TXG NNS STORAGE COST - NYMEX ESTIMATE</t>
  </si>
  <si>
    <t>System Supply</t>
  </si>
  <si>
    <t>Txg Stor</t>
  </si>
  <si>
    <t>WKG Stor</t>
  </si>
  <si>
    <t>TXG</t>
  </si>
  <si>
    <t xml:space="preserve">TGPL </t>
  </si>
  <si>
    <t>Dan</t>
  </si>
  <si>
    <t>Har</t>
  </si>
  <si>
    <t>Cam</t>
  </si>
  <si>
    <t>Leb</t>
  </si>
  <si>
    <t>WKG</t>
  </si>
  <si>
    <t>TGPL</t>
  </si>
  <si>
    <t>End Bal.</t>
  </si>
  <si>
    <t>Feb 02</t>
  </si>
  <si>
    <t>Est. Mar</t>
  </si>
  <si>
    <t>Est End BA</t>
  </si>
  <si>
    <t>All</t>
  </si>
  <si>
    <t>Maximum</t>
  </si>
  <si>
    <t>Capacity</t>
  </si>
  <si>
    <t>Req</t>
  </si>
  <si>
    <t>Injection</t>
  </si>
  <si>
    <t>Gross Req.</t>
  </si>
  <si>
    <t>on 3/28/02</t>
  </si>
  <si>
    <t>THRUPUT VOLUMES FOR 2002</t>
  </si>
  <si>
    <t>NN Stor</t>
  </si>
  <si>
    <t>TOTAL PURCHASES</t>
  </si>
  <si>
    <t>TEXAS GAS TRANSMISSION</t>
  </si>
  <si>
    <t>TOTAL</t>
  </si>
  <si>
    <t>Budget volumes less TGP</t>
  </si>
  <si>
    <t>Requirements less storage</t>
  </si>
  <si>
    <t xml:space="preserve">Zone 2  </t>
  </si>
  <si>
    <t xml:space="preserve">Zone 3  </t>
  </si>
  <si>
    <t xml:space="preserve">Zone 4  </t>
  </si>
  <si>
    <t>STORAGE VOLUMES NNS ZONE 2</t>
  </si>
  <si>
    <t>NNS</t>
  </si>
  <si>
    <t>STORAGE VOLUMES NNS ZONE 3</t>
  </si>
  <si>
    <t>STORAGE VOLUMES NNS ZONE 4</t>
  </si>
  <si>
    <t>STORAGE VOLUMES (ALL ZN 3)</t>
  </si>
  <si>
    <t>Co. Owned</t>
  </si>
  <si>
    <t>REQUIREMENTS LESS NNS ZN 2</t>
  </si>
  <si>
    <t>Trunkline</t>
  </si>
  <si>
    <t>TOTAL TX GAS ZONE 2 PURCHASES</t>
  </si>
  <si>
    <t>TOTAL TX GAS ZONE 3 REQUIREMENTS</t>
  </si>
  <si>
    <t>REQUIREMENTS LESS NNS ZN 3</t>
  </si>
  <si>
    <t>CO. OWNED STORAGE</t>
  </si>
  <si>
    <t>TOTAL TX GAS ZONE 3 PURCHASES</t>
  </si>
  <si>
    <t>TOTAL TX GAS ZONE 4 REQUIREMENTS</t>
  </si>
  <si>
    <t>REQUIREMENTS LESS NNS ZN 4</t>
  </si>
  <si>
    <t>TOTAL TX GAS ZONE 4 PURCHASES</t>
  </si>
  <si>
    <t>Apr. 05</t>
  </si>
  <si>
    <t>May</t>
  </si>
  <si>
    <t>June</t>
  </si>
  <si>
    <t>July</t>
  </si>
  <si>
    <t>Apr. 06</t>
  </si>
  <si>
    <t>Prior Summer Plan Volumes</t>
  </si>
  <si>
    <t>Atmos Energy Corporation</t>
  </si>
  <si>
    <t xml:space="preserve">TGP-KY Gas Supply Plan </t>
  </si>
  <si>
    <t>FS-MA</t>
  </si>
  <si>
    <t>MS-PA</t>
  </si>
  <si>
    <t>1/7 of FS-MA MSQ</t>
  </si>
  <si>
    <t>1/7 of FS-PA MSQ</t>
  </si>
  <si>
    <t>inject 90% over 7 mos</t>
  </si>
  <si>
    <t>MSQ</t>
  </si>
  <si>
    <t/>
  </si>
  <si>
    <t>Business Unit</t>
  </si>
  <si>
    <t>Kentucky Mid-States</t>
  </si>
  <si>
    <t>Design Day Dth @ 95 % Confidence Level</t>
  </si>
  <si>
    <t>Time Period</t>
  </si>
  <si>
    <t>Design Day HDD</t>
  </si>
  <si>
    <t>Date</t>
  </si>
  <si>
    <t>Design Day Forecast DTH</t>
  </si>
  <si>
    <t>Load Study Name</t>
  </si>
  <si>
    <t>Regression R-squared</t>
  </si>
  <si>
    <t>Coldest Day On Record</t>
  </si>
  <si>
    <t>Weather Station</t>
  </si>
  <si>
    <t>LEX - Lexington, KY</t>
  </si>
  <si>
    <t>Standard Error</t>
  </si>
  <si>
    <t>Day Before Coldest Day</t>
  </si>
  <si>
    <t>Design Day HDD Method</t>
  </si>
  <si>
    <t>Coldest Day On Record &gt; 1970</t>
  </si>
  <si>
    <t>Std Error Adj @ 95%</t>
  </si>
  <si>
    <t>Dataset Peak HDD</t>
  </si>
  <si>
    <t>Peak DTH</t>
  </si>
  <si>
    <t>Design Day Forecast Model</t>
  </si>
  <si>
    <t>Atmos Winter Only Model</t>
  </si>
  <si>
    <t>Forecast DTH</t>
  </si>
  <si>
    <t>Dataset Actual Peak Day</t>
  </si>
  <si>
    <t>Firm Sales Only</t>
  </si>
  <si>
    <t>Time Period Utilized</t>
  </si>
  <si>
    <t>Stability Model</t>
  </si>
  <si>
    <t>Third Party Obligations DTH</t>
  </si>
  <si>
    <t>Dataset 3 Year Peak Day</t>
  </si>
  <si>
    <t>Normal Weather</t>
  </si>
  <si>
    <t>10% Colder Weather</t>
  </si>
  <si>
    <t>20% Colder Weather</t>
  </si>
  <si>
    <t>10% Warmer Weather</t>
  </si>
  <si>
    <t>20% Warmer Weather</t>
  </si>
  <si>
    <t>Total Forecast DTH</t>
  </si>
  <si>
    <t>Normal Volumes</t>
  </si>
  <si>
    <t>Firm Sales</t>
  </si>
  <si>
    <t>Int Sales</t>
  </si>
  <si>
    <t>Total Sales</t>
  </si>
  <si>
    <t>Month</t>
  </si>
  <si>
    <t>HDD</t>
  </si>
  <si>
    <t>DTH</t>
  </si>
  <si>
    <t>Reserve Margin</t>
  </si>
  <si>
    <t>Annual Requirements DTH</t>
  </si>
  <si>
    <t>January</t>
  </si>
  <si>
    <t>Final Delivery Capacity DTH</t>
  </si>
  <si>
    <t>Winter Requirements DTH</t>
  </si>
  <si>
    <t>February</t>
  </si>
  <si>
    <t>Reserve Capacity DTH</t>
  </si>
  <si>
    <t>March</t>
  </si>
  <si>
    <t>Reserve Capacity %</t>
  </si>
  <si>
    <t>April</t>
  </si>
  <si>
    <t>Summary of Final Delivery Capacity</t>
  </si>
  <si>
    <t>Pipeline</t>
  </si>
  <si>
    <t>Contract # &amp; Description</t>
  </si>
  <si>
    <t>MDQ Dth</t>
  </si>
  <si>
    <t>Notes</t>
  </si>
  <si>
    <t>August</t>
  </si>
  <si>
    <t>Tenn Gas</t>
  </si>
  <si>
    <t>FT-A 95033</t>
  </si>
  <si>
    <t>September</t>
  </si>
  <si>
    <t>FT-G 2546</t>
  </si>
  <si>
    <t>October</t>
  </si>
  <si>
    <t>November</t>
  </si>
  <si>
    <t>December</t>
  </si>
  <si>
    <t>Annual Firm Sales</t>
  </si>
  <si>
    <t>Winter Firm Sales</t>
  </si>
  <si>
    <t>Interruptible Sales Only</t>
  </si>
  <si>
    <t>Total Capacity</t>
  </si>
  <si>
    <t>Summary of Upstream and Storage Capacity</t>
  </si>
  <si>
    <t>Annual Int Sales</t>
  </si>
  <si>
    <t>Winter Int Sales</t>
  </si>
  <si>
    <t>Annual Total Sales</t>
  </si>
  <si>
    <t>Total Upstream and Storage Capacity</t>
  </si>
  <si>
    <t>Winter Total Sales</t>
  </si>
  <si>
    <t>FS-PA</t>
  </si>
  <si>
    <t>Summer</t>
  </si>
  <si>
    <t>Total Requirements</t>
  </si>
  <si>
    <t>FS-PA Storage inj.</t>
  </si>
  <si>
    <t>MDIQ</t>
  </si>
  <si>
    <t>Apr inj</t>
  </si>
  <si>
    <t>May inj</t>
  </si>
  <si>
    <t>Jun inj</t>
  </si>
  <si>
    <t>July inj</t>
  </si>
  <si>
    <t>Aug inj</t>
  </si>
  <si>
    <t>Sep inj</t>
  </si>
  <si>
    <t>Oct inj</t>
  </si>
  <si>
    <t>Inj Fuel</t>
  </si>
  <si>
    <t>TOTAL NET PURCH AT DELIVERY</t>
  </si>
  <si>
    <t>Total  Gross Injections</t>
  </si>
  <si>
    <t>2014 - 2015 Design Day and RFP Plan Summary</t>
  </si>
  <si>
    <t>2014 - 2015 Normalized Sales Requirements Summary Excluding Transportation</t>
  </si>
  <si>
    <t>File Last Updated:    July 15, 2014   4:31 PM</t>
  </si>
  <si>
    <t>Atmos Winter Only Model Used.  Data Sample: 03/02/2005 04/01/2005 10/31/2005 04/01/2006 10/31/2006 04/01/2007 10/31/2007 04/01/2008 10/31/2008 04/01/2009 10/31/2009 04/01/2010 10/31/2010 04/01/2011 10/31/2011 04/01/2012 10/31/2012 04/01/2013 10/31/2013 03/31/2014</t>
  </si>
  <si>
    <t>Tn Gas GS-2, KY</t>
  </si>
  <si>
    <t>Data Sample: 03/02/2005 04/01/2005 10/31/2005 04/01/2006 10/31/2006 04/01/2007 10/31/2007 04/01/2008 10/31/2008 04/01/2009 10/31/2009 04/01/2010 10/31/2010 04/01/2011 10/31/2011 04/01/2012 10/31/2012 04/01/2013 10/31/2013 03/31/2014</t>
  </si>
  <si>
    <t>Comments: 2013-2014 Des Day = 38,523 Stability; Ann Rqmts = 2,418,615 Dth; Wtr Rqmts = 1,854,559 Dth</t>
  </si>
  <si>
    <t>Expires 3/31/19</t>
  </si>
  <si>
    <t>FT-A 300264-KY</t>
  </si>
  <si>
    <t>Expires 3/31/17</t>
  </si>
  <si>
    <t>Projected Summer 2015</t>
  </si>
  <si>
    <t>Total Net Injections</t>
  </si>
  <si>
    <t xml:space="preserve"> Note:     Purchases reflect storage activities; Purchases are the delivered volumes net of transportation fuel.</t>
  </si>
  <si>
    <t>FS-MA Storage net injection fuel</t>
  </si>
  <si>
    <t>FS-PA Storage net injection fuel</t>
  </si>
  <si>
    <t>FT-G Zn 0-2</t>
  </si>
  <si>
    <t>FT-A Zn 1-2</t>
  </si>
  <si>
    <t>FT-A Zn 0-2</t>
  </si>
  <si>
    <t>FS-MA Storage inj. (projected)</t>
  </si>
  <si>
    <t>Beg Bal</t>
  </si>
  <si>
    <t>FS-MA Beg Apr 1 Bal  79%</t>
  </si>
  <si>
    <t>FS-PA Beg Apr 1 Bal  7%</t>
  </si>
  <si>
    <t>daily</t>
  </si>
  <si>
    <t>Fred forecast</t>
  </si>
  <si>
    <t>as of 3/16/2015</t>
  </si>
  <si>
    <t xml:space="preserve">             The FS-MA is used for balancing and the amounts shown are projected injections.  </t>
  </si>
  <si>
    <t>FS-MA Beg Apr 1 Bal</t>
  </si>
  <si>
    <t xml:space="preserve">FS-PA Beg Apr 1 Bal </t>
  </si>
  <si>
    <t>ACTUALS</t>
  </si>
  <si>
    <t>REVISED</t>
  </si>
  <si>
    <t>Jun Actual inj</t>
  </si>
  <si>
    <t>July Actual</t>
  </si>
  <si>
    <t>Aug inj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</si>
</sst>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&quot;$&quot;#,##0.000_);\(&quot;$&quot;#,##0.000\)"/>
    <numFmt numFmtId="166" formatCode="&quot;$&quot;#,##0.0000_);\(&quot;$&quot;#,##0.0000\)"/>
    <numFmt numFmtId="167" formatCode="[$-409]mmm\-yy;@"/>
    <numFmt numFmtId="168" formatCode="mm/dd/yyyy"/>
    <numFmt numFmtId="169" formatCode="0.00%;[Red]\(0.00%\)"/>
    <numFmt numFmtId="170" formatCode="0.00_)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b/>
      <sz val="12"/>
      <color rgb="FF0070C0"/>
      <name val="Arial"/>
      <family val="2"/>
    </font>
    <font>
      <sz val="10"/>
      <color rgb="FF00B0F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color theme="3" tint="0.39997558519241921"/>
      <name val="Arial"/>
      <family val="2"/>
    </font>
    <font>
      <b/>
      <sz val="10"/>
      <color rgb="FF00B0F0"/>
      <name val="Arial"/>
      <family val="2"/>
    </font>
    <font>
      <b/>
      <u/>
      <sz val="10"/>
      <name val="Arial"/>
      <family val="2"/>
    </font>
    <font>
      <b/>
      <sz val="12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9" fillId="2" borderId="0" applyNumberFormat="0" applyBorder="0" applyAlignment="0" applyProtection="0"/>
    <xf numFmtId="0" fontId="41" fillId="2" borderId="0" applyNumberFormat="0" applyBorder="0" applyAlignment="0" applyProtection="0"/>
    <xf numFmtId="0" fontId="19" fillId="3" borderId="0" applyNumberFormat="0" applyBorder="0" applyAlignment="0" applyProtection="0"/>
    <xf numFmtId="0" fontId="41" fillId="3" borderId="0" applyNumberFormat="0" applyBorder="0" applyAlignment="0" applyProtection="0"/>
    <xf numFmtId="0" fontId="19" fillId="4" borderId="0" applyNumberFormat="0" applyBorder="0" applyAlignment="0" applyProtection="0"/>
    <xf numFmtId="0" fontId="41" fillId="4" borderId="0" applyNumberFormat="0" applyBorder="0" applyAlignment="0" applyProtection="0"/>
    <xf numFmtId="0" fontId="19" fillId="5" borderId="0" applyNumberFormat="0" applyBorder="0" applyAlignment="0" applyProtection="0"/>
    <xf numFmtId="0" fontId="41" fillId="5" borderId="0" applyNumberFormat="0" applyBorder="0" applyAlignment="0" applyProtection="0"/>
    <xf numFmtId="0" fontId="19" fillId="6" borderId="0" applyNumberFormat="0" applyBorder="0" applyAlignment="0" applyProtection="0"/>
    <xf numFmtId="0" fontId="41" fillId="6" borderId="0" applyNumberFormat="0" applyBorder="0" applyAlignment="0" applyProtection="0"/>
    <xf numFmtId="0" fontId="19" fillId="7" borderId="0" applyNumberFormat="0" applyBorder="0" applyAlignment="0" applyProtection="0"/>
    <xf numFmtId="0" fontId="41" fillId="7" borderId="0" applyNumberFormat="0" applyBorder="0" applyAlignment="0" applyProtection="0"/>
    <xf numFmtId="0" fontId="19" fillId="8" borderId="0" applyNumberFormat="0" applyBorder="0" applyAlignment="0" applyProtection="0"/>
    <xf numFmtId="0" fontId="41" fillId="8" borderId="0" applyNumberFormat="0" applyBorder="0" applyAlignment="0" applyProtection="0"/>
    <xf numFmtId="0" fontId="19" fillId="9" borderId="0" applyNumberFormat="0" applyBorder="0" applyAlignment="0" applyProtection="0"/>
    <xf numFmtId="0" fontId="41" fillId="9" borderId="0" applyNumberFormat="0" applyBorder="0" applyAlignment="0" applyProtection="0"/>
    <xf numFmtId="0" fontId="19" fillId="10" borderId="0" applyNumberFormat="0" applyBorder="0" applyAlignment="0" applyProtection="0"/>
    <xf numFmtId="0" fontId="41" fillId="10" borderId="0" applyNumberFormat="0" applyBorder="0" applyAlignment="0" applyProtection="0"/>
    <xf numFmtId="0" fontId="19" fillId="5" borderId="0" applyNumberFormat="0" applyBorder="0" applyAlignment="0" applyProtection="0"/>
    <xf numFmtId="0" fontId="41" fillId="5" borderId="0" applyNumberFormat="0" applyBorder="0" applyAlignment="0" applyProtection="0"/>
    <xf numFmtId="0" fontId="19" fillId="8" borderId="0" applyNumberFormat="0" applyBorder="0" applyAlignment="0" applyProtection="0"/>
    <xf numFmtId="0" fontId="41" fillId="8" borderId="0" applyNumberFormat="0" applyBorder="0" applyAlignment="0" applyProtection="0"/>
    <xf numFmtId="0" fontId="19" fillId="11" borderId="0" applyNumberFormat="0" applyBorder="0" applyAlignment="0" applyProtection="0"/>
    <xf numFmtId="0" fontId="41" fillId="11" borderId="0" applyNumberFormat="0" applyBorder="0" applyAlignment="0" applyProtection="0"/>
    <xf numFmtId="0" fontId="20" fillId="12" borderId="0" applyNumberFormat="0" applyBorder="0" applyAlignment="0" applyProtection="0"/>
    <xf numFmtId="0" fontId="42" fillId="12" borderId="0" applyNumberFormat="0" applyBorder="0" applyAlignment="0" applyProtection="0"/>
    <xf numFmtId="0" fontId="20" fillId="9" borderId="0" applyNumberFormat="0" applyBorder="0" applyAlignment="0" applyProtection="0"/>
    <xf numFmtId="0" fontId="42" fillId="9" borderId="0" applyNumberFormat="0" applyBorder="0" applyAlignment="0" applyProtection="0"/>
    <xf numFmtId="0" fontId="20" fillId="10" borderId="0" applyNumberFormat="0" applyBorder="0" applyAlignment="0" applyProtection="0"/>
    <xf numFmtId="0" fontId="42" fillId="10" borderId="0" applyNumberFormat="0" applyBorder="0" applyAlignment="0" applyProtection="0"/>
    <xf numFmtId="0" fontId="20" fillId="13" borderId="0" applyNumberFormat="0" applyBorder="0" applyAlignment="0" applyProtection="0"/>
    <xf numFmtId="0" fontId="42" fillId="13" borderId="0" applyNumberFormat="0" applyBorder="0" applyAlignment="0" applyProtection="0"/>
    <xf numFmtId="0" fontId="20" fillId="14" borderId="0" applyNumberFormat="0" applyBorder="0" applyAlignment="0" applyProtection="0"/>
    <xf numFmtId="0" fontId="42" fillId="14" borderId="0" applyNumberFormat="0" applyBorder="0" applyAlignment="0" applyProtection="0"/>
    <xf numFmtId="0" fontId="20" fillId="15" borderId="0" applyNumberFormat="0" applyBorder="0" applyAlignment="0" applyProtection="0"/>
    <xf numFmtId="0" fontId="42" fillId="15" borderId="0" applyNumberFormat="0" applyBorder="0" applyAlignment="0" applyProtection="0"/>
    <xf numFmtId="0" fontId="20" fillId="16" borderId="0" applyNumberFormat="0" applyBorder="0" applyAlignment="0" applyProtection="0"/>
    <xf numFmtId="0" fontId="42" fillId="16" borderId="0" applyNumberFormat="0" applyBorder="0" applyAlignment="0" applyProtection="0"/>
    <xf numFmtId="0" fontId="20" fillId="17" borderId="0" applyNumberFormat="0" applyBorder="0" applyAlignment="0" applyProtection="0"/>
    <xf numFmtId="0" fontId="42" fillId="17" borderId="0" applyNumberFormat="0" applyBorder="0" applyAlignment="0" applyProtection="0"/>
    <xf numFmtId="0" fontId="20" fillId="18" borderId="0" applyNumberFormat="0" applyBorder="0" applyAlignment="0" applyProtection="0"/>
    <xf numFmtId="0" fontId="42" fillId="18" borderId="0" applyNumberFormat="0" applyBorder="0" applyAlignment="0" applyProtection="0"/>
    <xf numFmtId="0" fontId="20" fillId="13" borderId="0" applyNumberFormat="0" applyBorder="0" applyAlignment="0" applyProtection="0"/>
    <xf numFmtId="0" fontId="42" fillId="13" borderId="0" applyNumberFormat="0" applyBorder="0" applyAlignment="0" applyProtection="0"/>
    <xf numFmtId="0" fontId="20" fillId="14" borderId="0" applyNumberFormat="0" applyBorder="0" applyAlignment="0" applyProtection="0"/>
    <xf numFmtId="0" fontId="42" fillId="14" borderId="0" applyNumberFormat="0" applyBorder="0" applyAlignment="0" applyProtection="0"/>
    <xf numFmtId="0" fontId="20" fillId="19" borderId="0" applyNumberFormat="0" applyBorder="0" applyAlignment="0" applyProtection="0"/>
    <xf numFmtId="0" fontId="42" fillId="19" borderId="0" applyNumberFormat="0" applyBorder="0" applyAlignment="0" applyProtection="0"/>
    <xf numFmtId="0" fontId="21" fillId="3" borderId="0" applyNumberFormat="0" applyBorder="0" applyAlignment="0" applyProtection="0"/>
    <xf numFmtId="0" fontId="43" fillId="3" borderId="0" applyNumberFormat="0" applyBorder="0" applyAlignment="0" applyProtection="0"/>
    <xf numFmtId="0" fontId="22" fillId="20" borderId="1" applyNumberFormat="0" applyAlignment="0" applyProtection="0"/>
    <xf numFmtId="0" fontId="44" fillId="20" borderId="1" applyNumberFormat="0" applyAlignment="0" applyProtection="0"/>
    <xf numFmtId="0" fontId="23" fillId="21" borderId="2" applyNumberFormat="0" applyAlignment="0" applyProtection="0"/>
    <xf numFmtId="0" fontId="45" fillId="21" borderId="2" applyNumberFormat="0" applyAlignment="0" applyProtection="0"/>
    <xf numFmtId="43" fontId="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6" fillId="0" borderId="0">
      <alignment horizontal="left" vertical="center" indent="1"/>
    </xf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48" fillId="4" borderId="0" applyNumberFormat="0" applyBorder="0" applyAlignment="0" applyProtection="0"/>
    <xf numFmtId="0" fontId="26" fillId="0" borderId="3" applyNumberFormat="0" applyFill="0" applyAlignment="0" applyProtection="0"/>
    <xf numFmtId="0" fontId="49" fillId="0" borderId="3" applyNumberFormat="0" applyFill="0" applyAlignment="0" applyProtection="0"/>
    <xf numFmtId="0" fontId="27" fillId="0" borderId="4" applyNumberFormat="0" applyFill="0" applyAlignment="0" applyProtection="0"/>
    <xf numFmtId="0" fontId="50" fillId="0" borderId="4" applyNumberFormat="0" applyFill="0" applyAlignment="0" applyProtection="0"/>
    <xf numFmtId="0" fontId="28" fillId="0" borderId="5" applyNumberFormat="0" applyFill="0" applyAlignment="0" applyProtection="0"/>
    <xf numFmtId="0" fontId="51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9" fillId="7" borderId="1" applyNumberFormat="0" applyAlignment="0" applyProtection="0"/>
    <xf numFmtId="0" fontId="52" fillId="7" borderId="1" applyNumberFormat="0" applyAlignment="0" applyProtection="0"/>
    <xf numFmtId="0" fontId="30" fillId="0" borderId="6" applyNumberFormat="0" applyFill="0" applyAlignment="0" applyProtection="0"/>
    <xf numFmtId="0" fontId="53" fillId="0" borderId="6" applyNumberFormat="0" applyFill="0" applyAlignment="0" applyProtection="0"/>
    <xf numFmtId="0" fontId="31" fillId="22" borderId="0" applyNumberFormat="0" applyBorder="0" applyAlignment="0" applyProtection="0"/>
    <xf numFmtId="0" fontId="54" fillId="22" borderId="0" applyNumberFormat="0" applyBorder="0" applyAlignment="0" applyProtection="0"/>
    <xf numFmtId="170" fontId="55" fillId="0" borderId="0"/>
    <xf numFmtId="0" fontId="59" fillId="0" borderId="0"/>
    <xf numFmtId="0" fontId="60" fillId="0" borderId="0"/>
    <xf numFmtId="0" fontId="59" fillId="0" borderId="0"/>
    <xf numFmtId="0" fontId="15" fillId="0" borderId="0"/>
    <xf numFmtId="0" fontId="60" fillId="0" borderId="0"/>
    <xf numFmtId="0" fontId="41" fillId="0" borderId="0">
      <alignment vertical="top"/>
    </xf>
    <xf numFmtId="0" fontId="15" fillId="0" borderId="0"/>
    <xf numFmtId="0" fontId="41" fillId="0" borderId="0">
      <alignment vertical="top"/>
    </xf>
    <xf numFmtId="0" fontId="40" fillId="0" borderId="0"/>
    <xf numFmtId="0" fontId="41" fillId="0" borderId="0"/>
    <xf numFmtId="0" fontId="40" fillId="0" borderId="0"/>
    <xf numFmtId="0" fontId="41" fillId="0" borderId="0">
      <alignment vertical="top"/>
    </xf>
    <xf numFmtId="0" fontId="40" fillId="0" borderId="0"/>
    <xf numFmtId="0" fontId="56" fillId="0" borderId="0"/>
    <xf numFmtId="0" fontId="40" fillId="0" borderId="0"/>
    <xf numFmtId="0" fontId="56" fillId="0" borderId="0"/>
    <xf numFmtId="0" fontId="56" fillId="0" borderId="0"/>
    <xf numFmtId="0" fontId="15" fillId="23" borderId="7" applyNumberFormat="0" applyFont="0" applyAlignment="0" applyProtection="0"/>
    <xf numFmtId="0" fontId="32" fillId="20" borderId="8" applyNumberFormat="0" applyAlignment="0" applyProtection="0"/>
    <xf numFmtId="0" fontId="57" fillId="20" borderId="8" applyNumberFormat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58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/>
    <xf numFmtId="0" fontId="41" fillId="0" borderId="0">
      <alignment vertical="top"/>
    </xf>
    <xf numFmtId="0" fontId="56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32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6" xfId="0" applyFont="1" applyBorder="1"/>
    <xf numFmtId="0" fontId="4" fillId="0" borderId="16" xfId="0" applyFont="1" applyBorder="1"/>
    <xf numFmtId="0" fontId="0" fillId="0" borderId="11" xfId="0" applyBorder="1" applyAlignment="1">
      <alignment horizontal="left"/>
    </xf>
    <xf numFmtId="0" fontId="0" fillId="0" borderId="16" xfId="0" applyBorder="1" applyAlignment="1">
      <alignment horizontal="center"/>
    </xf>
    <xf numFmtId="37" fontId="0" fillId="0" borderId="0" xfId="0" applyNumberFormat="1"/>
    <xf numFmtId="0" fontId="7" fillId="0" borderId="15" xfId="0" applyFont="1" applyBorder="1"/>
    <xf numFmtId="0" fontId="7" fillId="0" borderId="0" xfId="0" applyFont="1"/>
    <xf numFmtId="37" fontId="0" fillId="0" borderId="12" xfId="0" applyNumberFormat="1" applyBorder="1" applyAlignment="1">
      <alignment horizontal="center"/>
    </xf>
    <xf numFmtId="37" fontId="0" fillId="0" borderId="10" xfId="0" applyNumberFormat="1" applyBorder="1" applyAlignment="1">
      <alignment horizontal="center"/>
    </xf>
    <xf numFmtId="37" fontId="0" fillId="0" borderId="16" xfId="0" applyNumberFormat="1" applyBorder="1"/>
    <xf numFmtId="37" fontId="0" fillId="0" borderId="0" xfId="0" applyNumberFormat="1" applyBorder="1"/>
    <xf numFmtId="37" fontId="7" fillId="0" borderId="0" xfId="0" applyNumberFormat="1" applyFont="1"/>
    <xf numFmtId="3" fontId="0" fillId="0" borderId="0" xfId="0" applyNumberFormat="1"/>
    <xf numFmtId="14" fontId="0" fillId="0" borderId="0" xfId="0" applyNumberFormat="1"/>
    <xf numFmtId="17" fontId="0" fillId="0" borderId="0" xfId="0" applyNumberFormat="1" applyBorder="1" applyAlignment="1">
      <alignment horizontal="center"/>
    </xf>
    <xf numFmtId="17" fontId="0" fillId="0" borderId="0" xfId="0" applyNumberFormat="1"/>
    <xf numFmtId="165" fontId="0" fillId="0" borderId="0" xfId="0" applyNumberFormat="1"/>
    <xf numFmtId="5" fontId="0" fillId="0" borderId="0" xfId="0" applyNumberFormat="1"/>
    <xf numFmtId="166" fontId="0" fillId="0" borderId="0" xfId="0" applyNumberFormat="1"/>
    <xf numFmtId="17" fontId="0" fillId="0" borderId="11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7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7" fillId="0" borderId="0" xfId="0" applyFont="1" applyAlignment="1">
      <alignment horizontal="center"/>
    </xf>
    <xf numFmtId="17" fontId="9" fillId="0" borderId="0" xfId="0" applyNumberFormat="1" applyFont="1"/>
    <xf numFmtId="37" fontId="9" fillId="0" borderId="0" xfId="0" applyNumberFormat="1" applyFont="1"/>
    <xf numFmtId="16" fontId="0" fillId="0" borderId="0" xfId="0" quotePrefix="1" applyNumberFormat="1"/>
    <xf numFmtId="10" fontId="0" fillId="0" borderId="0" xfId="0" applyNumberFormat="1"/>
    <xf numFmtId="0" fontId="0" fillId="0" borderId="0" xfId="0" applyBorder="1"/>
    <xf numFmtId="37" fontId="13" fillId="0" borderId="0" xfId="0" applyNumberFormat="1" applyFont="1"/>
    <xf numFmtId="0" fontId="0" fillId="0" borderId="0" xfId="0" applyAlignment="1">
      <alignment horizontal="center"/>
    </xf>
    <xf numFmtId="164" fontId="3" fillId="0" borderId="0" xfId="55" applyNumberFormat="1"/>
    <xf numFmtId="164" fontId="3" fillId="0" borderId="0" xfId="55" applyNumberFormat="1" applyAlignment="1">
      <alignment horizontal="center"/>
    </xf>
    <xf numFmtId="164" fontId="0" fillId="0" borderId="0" xfId="0" applyNumberFormat="1"/>
    <xf numFmtId="9" fontId="0" fillId="0" borderId="0" xfId="0" applyNumberFormat="1" applyAlignment="1">
      <alignment horizontal="center"/>
    </xf>
    <xf numFmtId="9" fontId="3" fillId="0" borderId="0" xfId="98"/>
    <xf numFmtId="164" fontId="0" fillId="0" borderId="0" xfId="0" applyNumberFormat="1" applyAlignment="1">
      <alignment horizontal="center"/>
    </xf>
    <xf numFmtId="164" fontId="16" fillId="0" borderId="0" xfId="55" applyNumberFormat="1" applyFont="1"/>
    <xf numFmtId="164" fontId="16" fillId="0" borderId="0" xfId="55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9" fontId="0" fillId="0" borderId="0" xfId="0" applyNumberFormat="1"/>
    <xf numFmtId="39" fontId="0" fillId="0" borderId="0" xfId="0" applyNumberFormat="1" applyAlignment="1"/>
    <xf numFmtId="164" fontId="16" fillId="0" borderId="0" xfId="0" applyNumberFormat="1" applyFont="1"/>
    <xf numFmtId="164" fontId="16" fillId="0" borderId="0" xfId="0" applyNumberFormat="1" applyFont="1" applyAlignment="1">
      <alignment horizontal="center"/>
    </xf>
    <xf numFmtId="2" fontId="0" fillId="0" borderId="0" xfId="0" applyNumberFormat="1"/>
    <xf numFmtId="164" fontId="14" fillId="0" borderId="0" xfId="0" applyNumberFormat="1" applyFont="1"/>
    <xf numFmtId="164" fontId="14" fillId="0" borderId="0" xfId="55" applyNumberFormat="1" applyFont="1" applyAlignment="1">
      <alignment horizontal="center"/>
    </xf>
    <xf numFmtId="164" fontId="14" fillId="0" borderId="0" xfId="55" applyNumberFormat="1" applyFont="1"/>
    <xf numFmtId="9" fontId="3" fillId="0" borderId="0" xfId="98" applyFont="1"/>
    <xf numFmtId="37" fontId="3" fillId="0" borderId="0" xfId="0" applyNumberFormat="1" applyFont="1" applyFill="1" applyBorder="1"/>
    <xf numFmtId="37" fontId="0" fillId="0" borderId="0" xfId="0" applyNumberFormat="1" applyFill="1"/>
    <xf numFmtId="37" fontId="7" fillId="0" borderId="0" xfId="0" applyNumberFormat="1" applyFont="1" applyFill="1" applyAlignment="1">
      <alignment horizontal="center"/>
    </xf>
    <xf numFmtId="0" fontId="17" fillId="0" borderId="0" xfId="0" applyFont="1" applyFill="1"/>
    <xf numFmtId="37" fontId="7" fillId="0" borderId="0" xfId="0" applyNumberFormat="1" applyFont="1" applyFill="1"/>
    <xf numFmtId="37" fontId="5" fillId="0" borderId="0" xfId="0" applyNumberFormat="1" applyFont="1" applyFill="1"/>
    <xf numFmtId="37" fontId="13" fillId="0" borderId="0" xfId="0" applyNumberFormat="1" applyFont="1" applyFill="1"/>
    <xf numFmtId="37" fontId="0" fillId="0" borderId="17" xfId="0" applyNumberFormat="1" applyFill="1" applyBorder="1"/>
    <xf numFmtId="37" fontId="0" fillId="0" borderId="12" xfId="0" applyNumberFormat="1" applyFill="1" applyBorder="1" applyAlignment="1">
      <alignment horizontal="center"/>
    </xf>
    <xf numFmtId="37" fontId="0" fillId="0" borderId="10" xfId="0" applyNumberFormat="1" applyFill="1" applyBorder="1" applyAlignment="1">
      <alignment horizontal="center"/>
    </xf>
    <xf numFmtId="37" fontId="0" fillId="0" borderId="0" xfId="0" applyNumberFormat="1" applyFill="1" applyBorder="1"/>
    <xf numFmtId="37" fontId="0" fillId="0" borderId="15" xfId="0" applyNumberFormat="1" applyFill="1" applyBorder="1" applyAlignment="1">
      <alignment horizontal="center"/>
    </xf>
    <xf numFmtId="37" fontId="0" fillId="0" borderId="13" xfId="0" applyNumberFormat="1" applyBorder="1" applyAlignment="1">
      <alignment horizontal="center"/>
    </xf>
    <xf numFmtId="37" fontId="0" fillId="0" borderId="15" xfId="0" applyNumberFormat="1" applyBorder="1" applyAlignment="1">
      <alignment horizontal="center"/>
    </xf>
    <xf numFmtId="37" fontId="0" fillId="0" borderId="0" xfId="0" applyNumberFormat="1" applyBorder="1" applyAlignment="1">
      <alignment horizontal="center"/>
    </xf>
    <xf numFmtId="164" fontId="0" fillId="0" borderId="0" xfId="0" applyNumberFormat="1" applyBorder="1"/>
    <xf numFmtId="37" fontId="16" fillId="0" borderId="0" xfId="0" quotePrefix="1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9" fontId="0" fillId="0" borderId="0" xfId="98" applyFont="1" applyFill="1" applyBorder="1"/>
    <xf numFmtId="0" fontId="6" fillId="0" borderId="0" xfId="0" applyFont="1" applyBorder="1" applyAlignment="1">
      <alignment horizontal="center"/>
    </xf>
    <xf numFmtId="0" fontId="7" fillId="0" borderId="21" xfId="0" applyFont="1" applyBorder="1"/>
    <xf numFmtId="37" fontId="7" fillId="0" borderId="22" xfId="0" applyNumberFormat="1" applyFont="1" applyFill="1" applyBorder="1"/>
    <xf numFmtId="37" fontId="0" fillId="0" borderId="14" xfId="0" applyNumberFormat="1" applyFill="1" applyBorder="1"/>
    <xf numFmtId="37" fontId="7" fillId="0" borderId="0" xfId="0" applyNumberFormat="1" applyFont="1" applyFill="1" applyBorder="1"/>
    <xf numFmtId="0" fontId="7" fillId="0" borderId="0" xfId="0" applyFont="1" applyBorder="1" applyAlignment="1">
      <alignment horizontal="left"/>
    </xf>
    <xf numFmtId="37" fontId="0" fillId="0" borderId="14" xfId="0" applyNumberFormat="1" applyFill="1" applyBorder="1" applyAlignment="1">
      <alignment horizontal="center"/>
    </xf>
    <xf numFmtId="37" fontId="7" fillId="0" borderId="14" xfId="0" applyNumberFormat="1" applyFont="1" applyFill="1" applyBorder="1"/>
    <xf numFmtId="164" fontId="3" fillId="0" borderId="0" xfId="55" applyNumberFormat="1" applyBorder="1"/>
    <xf numFmtId="0" fontId="6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16" xfId="98" applyFont="1" applyFill="1" applyBorder="1"/>
    <xf numFmtId="0" fontId="0" fillId="0" borderId="11" xfId="0" applyBorder="1" applyAlignment="1">
      <alignment horizontal="right"/>
    </xf>
    <xf numFmtId="0" fontId="7" fillId="0" borderId="11" xfId="0" applyFont="1" applyBorder="1"/>
    <xf numFmtId="37" fontId="7" fillId="0" borderId="0" xfId="0" applyNumberFormat="1" applyFont="1" applyBorder="1"/>
    <xf numFmtId="37" fontId="7" fillId="0" borderId="16" xfId="0" applyNumberFormat="1" applyFont="1" applyBorder="1"/>
    <xf numFmtId="9" fontId="7" fillId="0" borderId="11" xfId="98" applyFont="1" applyBorder="1"/>
    <xf numFmtId="0" fontId="0" fillId="0" borderId="13" xfId="0" applyBorder="1"/>
    <xf numFmtId="37" fontId="0" fillId="0" borderId="14" xfId="0" applyNumberFormat="1" applyBorder="1"/>
    <xf numFmtId="37" fontId="0" fillId="0" borderId="15" xfId="0" applyNumberFormat="1" applyBorder="1"/>
    <xf numFmtId="0" fontId="6" fillId="0" borderId="0" xfId="0" applyFont="1" applyBorder="1" applyAlignment="1">
      <alignment horizontal="left"/>
    </xf>
    <xf numFmtId="0" fontId="60" fillId="0" borderId="0" xfId="79"/>
    <xf numFmtId="37" fontId="0" fillId="0" borderId="16" xfId="0" applyNumberFormat="1" applyBorder="1" applyAlignment="1">
      <alignment horizontal="center"/>
    </xf>
    <xf numFmtId="37" fontId="0" fillId="0" borderId="13" xfId="0" applyNumberFormat="1" applyFill="1" applyBorder="1" applyAlignment="1">
      <alignment horizontal="center"/>
    </xf>
    <xf numFmtId="0" fontId="7" fillId="0" borderId="26" xfId="0" applyFont="1" applyBorder="1" applyAlignment="1">
      <alignment horizontal="left"/>
    </xf>
    <xf numFmtId="37" fontId="7" fillId="0" borderId="23" xfId="0" applyNumberFormat="1" applyFont="1" applyFill="1" applyBorder="1"/>
    <xf numFmtId="37" fontId="7" fillId="0" borderId="25" xfId="0" applyNumberFormat="1" applyFont="1" applyFill="1" applyBorder="1"/>
    <xf numFmtId="37" fontId="7" fillId="0" borderId="26" xfId="0" applyNumberFormat="1" applyFont="1" applyFill="1" applyBorder="1"/>
    <xf numFmtId="0" fontId="7" fillId="0" borderId="23" xfId="0" applyFont="1" applyBorder="1"/>
    <xf numFmtId="37" fontId="7" fillId="0" borderId="23" xfId="0" applyNumberFormat="1" applyFont="1" applyBorder="1"/>
    <xf numFmtId="37" fontId="7" fillId="0" borderId="25" xfId="0" applyNumberFormat="1" applyFont="1" applyBorder="1"/>
    <xf numFmtId="41" fontId="0" fillId="0" borderId="0" xfId="0" applyNumberFormat="1" applyBorder="1"/>
    <xf numFmtId="41" fontId="0" fillId="0" borderId="0" xfId="0" applyNumberFormat="1" applyFill="1" applyBorder="1"/>
    <xf numFmtId="0" fontId="15" fillId="0" borderId="0" xfId="0" applyFont="1" applyBorder="1" applyAlignment="1">
      <alignment horizontal="left"/>
    </xf>
    <xf numFmtId="14" fontId="6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10" fontId="62" fillId="0" borderId="0" xfId="98" applyNumberFormat="1" applyFont="1"/>
    <xf numFmtId="0" fontId="3" fillId="0" borderId="11" xfId="110" applyFont="1" applyBorder="1"/>
    <xf numFmtId="0" fontId="3" fillId="0" borderId="0" xfId="110" applyFont="1" applyBorder="1"/>
    <xf numFmtId="0" fontId="2" fillId="0" borderId="0" xfId="110"/>
    <xf numFmtId="0" fontId="3" fillId="0" borderId="16" xfId="110" applyFont="1" applyBorder="1"/>
    <xf numFmtId="0" fontId="2" fillId="0" borderId="13" xfId="110" applyBorder="1"/>
    <xf numFmtId="0" fontId="2" fillId="0" borderId="14" xfId="110" applyBorder="1"/>
    <xf numFmtId="49" fontId="7" fillId="0" borderId="13" xfId="110" applyNumberFormat="1" applyFont="1" applyFill="1" applyBorder="1" applyAlignment="1">
      <alignment horizontal="left" vertical="center"/>
    </xf>
    <xf numFmtId="49" fontId="7" fillId="0" borderId="14" xfId="110" applyNumberFormat="1" applyFont="1" applyFill="1" applyBorder="1" applyAlignment="1">
      <alignment horizontal="left" vertical="center"/>
    </xf>
    <xf numFmtId="49" fontId="7" fillId="0" borderId="15" xfId="110" applyNumberFormat="1" applyFont="1" applyFill="1" applyBorder="1" applyAlignment="1">
      <alignment horizontal="left" vertical="center"/>
    </xf>
    <xf numFmtId="0" fontId="7" fillId="24" borderId="18" xfId="110" applyFont="1" applyFill="1" applyBorder="1"/>
    <xf numFmtId="0" fontId="7" fillId="24" borderId="23" xfId="110" applyFont="1" applyFill="1" applyBorder="1" applyAlignment="1">
      <alignment horizontal="centerContinuous"/>
    </xf>
    <xf numFmtId="0" fontId="7" fillId="24" borderId="24" xfId="110" applyFont="1" applyFill="1" applyBorder="1" applyAlignment="1">
      <alignment horizontal="centerContinuous"/>
    </xf>
    <xf numFmtId="0" fontId="7" fillId="24" borderId="25" xfId="110" applyFont="1" applyFill="1" applyBorder="1" applyAlignment="1">
      <alignment horizontal="centerContinuous"/>
    </xf>
    <xf numFmtId="0" fontId="7" fillId="24" borderId="25" xfId="110" applyFont="1" applyFill="1" applyBorder="1" applyAlignment="1">
      <alignment horizontal="center"/>
    </xf>
    <xf numFmtId="0" fontId="7" fillId="24" borderId="26" xfId="110" applyFont="1" applyFill="1" applyBorder="1" applyAlignment="1">
      <alignment horizontal="center"/>
    </xf>
    <xf numFmtId="0" fontId="7" fillId="24" borderId="19" xfId="110" applyFont="1" applyFill="1" applyBorder="1"/>
    <xf numFmtId="0" fontId="7" fillId="24" borderId="10" xfId="110" applyFont="1" applyFill="1" applyBorder="1" applyAlignment="1">
      <alignment horizontal="left"/>
    </xf>
    <xf numFmtId="10" fontId="3" fillId="0" borderId="18" xfId="110" applyNumberFormat="1" applyFont="1" applyBorder="1" applyAlignment="1"/>
    <xf numFmtId="0" fontId="7" fillId="24" borderId="11" xfId="110" applyFont="1" applyFill="1" applyBorder="1"/>
    <xf numFmtId="0" fontId="7" fillId="24" borderId="16" xfId="110" applyFont="1" applyFill="1" applyBorder="1"/>
    <xf numFmtId="38" fontId="3" fillId="0" borderId="18" xfId="110" applyNumberFormat="1" applyFont="1" applyFill="1" applyBorder="1" applyAlignment="1">
      <alignment horizontal="center"/>
    </xf>
    <xf numFmtId="168" fontId="3" fillId="0" borderId="18" xfId="110" applyNumberFormat="1" applyFont="1" applyFill="1" applyBorder="1" applyAlignment="1">
      <alignment horizontal="center"/>
    </xf>
    <xf numFmtId="14" fontId="3" fillId="0" borderId="18" xfId="110" applyNumberFormat="1" applyFont="1" applyFill="1" applyBorder="1" applyAlignment="1">
      <alignment horizontal="center"/>
    </xf>
    <xf numFmtId="38" fontId="7" fillId="0" borderId="11" xfId="110" applyNumberFormat="1" applyFont="1" applyBorder="1" applyAlignment="1">
      <alignment horizontal="centerContinuous"/>
    </xf>
    <xf numFmtId="38" fontId="2" fillId="0" borderId="16" xfId="110" applyNumberFormat="1" applyBorder="1" applyAlignment="1">
      <alignment horizontal="centerContinuous"/>
    </xf>
    <xf numFmtId="0" fontId="7" fillId="24" borderId="11" xfId="110" applyFont="1" applyFill="1" applyBorder="1" applyAlignment="1">
      <alignment horizontal="left"/>
    </xf>
    <xf numFmtId="38" fontId="3" fillId="0" borderId="19" xfId="110" applyNumberFormat="1" applyFont="1" applyFill="1" applyBorder="1" applyAlignment="1">
      <alignment horizontal="right"/>
    </xf>
    <xf numFmtId="38" fontId="3" fillId="0" borderId="19" xfId="110" applyNumberFormat="1" applyFont="1" applyFill="1" applyBorder="1" applyAlignment="1">
      <alignment horizontal="center"/>
    </xf>
    <xf numFmtId="168" fontId="3" fillId="0" borderId="19" xfId="110" applyNumberFormat="1" applyFont="1" applyFill="1" applyBorder="1" applyAlignment="1">
      <alignment horizontal="center"/>
    </xf>
    <xf numFmtId="14" fontId="3" fillId="0" borderId="19" xfId="110" applyNumberFormat="1" applyFont="1" applyFill="1" applyBorder="1" applyAlignment="1">
      <alignment horizontal="center"/>
    </xf>
    <xf numFmtId="0" fontId="7" fillId="24" borderId="20" xfId="110" applyFont="1" applyFill="1" applyBorder="1"/>
    <xf numFmtId="168" fontId="7" fillId="24" borderId="26" xfId="110" applyNumberFormat="1" applyFont="1" applyFill="1" applyBorder="1" applyAlignment="1">
      <alignment horizontal="center"/>
    </xf>
    <xf numFmtId="0" fontId="6" fillId="0" borderId="11" xfId="110" applyFont="1" applyFill="1" applyBorder="1" applyAlignment="1">
      <alignment horizontal="center"/>
    </xf>
    <xf numFmtId="0" fontId="6" fillId="0" borderId="0" xfId="110" applyFont="1" applyFill="1" applyBorder="1" applyAlignment="1">
      <alignment horizontal="center"/>
    </xf>
    <xf numFmtId="0" fontId="6" fillId="0" borderId="16" xfId="110" applyFont="1" applyFill="1" applyBorder="1" applyAlignment="1">
      <alignment horizontal="center"/>
    </xf>
    <xf numFmtId="38" fontId="3" fillId="0" borderId="19" xfId="110" applyNumberFormat="1" applyFont="1" applyBorder="1"/>
    <xf numFmtId="168" fontId="2" fillId="0" borderId="18" xfId="110" applyNumberFormat="1" applyBorder="1" applyAlignment="1">
      <alignment horizontal="center"/>
    </xf>
    <xf numFmtId="38" fontId="3" fillId="0" borderId="18" xfId="111" applyNumberFormat="1" applyFont="1" applyBorder="1" applyAlignment="1"/>
    <xf numFmtId="0" fontId="7" fillId="24" borderId="13" xfId="110" applyFont="1" applyFill="1" applyBorder="1"/>
    <xf numFmtId="0" fontId="7" fillId="24" borderId="15" xfId="110" applyFont="1" applyFill="1" applyBorder="1"/>
    <xf numFmtId="38" fontId="3" fillId="0" borderId="20" xfId="110" applyNumberFormat="1" applyFont="1" applyFill="1" applyBorder="1" applyAlignment="1">
      <alignment horizontal="center"/>
    </xf>
    <xf numFmtId="168" fontId="2" fillId="0" borderId="20" xfId="110" applyNumberFormat="1" applyBorder="1" applyAlignment="1">
      <alignment horizontal="center"/>
    </xf>
    <xf numFmtId="38" fontId="3" fillId="0" borderId="20" xfId="111" applyNumberFormat="1" applyFont="1" applyBorder="1" applyAlignment="1"/>
    <xf numFmtId="0" fontId="38" fillId="24" borderId="18" xfId="110" applyFont="1" applyFill="1" applyBorder="1" applyAlignment="1">
      <alignment horizontal="centerContinuous" vertical="center"/>
    </xf>
    <xf numFmtId="0" fontId="7" fillId="24" borderId="23" xfId="110" applyFont="1" applyFill="1" applyBorder="1" applyAlignment="1">
      <alignment horizontal="centerContinuous" vertical="center"/>
    </xf>
    <xf numFmtId="0" fontId="7" fillId="24" borderId="24" xfId="110" applyFont="1" applyFill="1" applyBorder="1" applyAlignment="1">
      <alignment horizontal="centerContinuous" vertical="center"/>
    </xf>
    <xf numFmtId="0" fontId="7" fillId="24" borderId="25" xfId="110" applyFont="1" applyFill="1" applyBorder="1" applyAlignment="1">
      <alignment horizontal="centerContinuous" vertical="center"/>
    </xf>
    <xf numFmtId="0" fontId="7" fillId="24" borderId="0" xfId="110" applyFont="1" applyFill="1" applyBorder="1" applyAlignment="1">
      <alignment horizontal="left"/>
    </xf>
    <xf numFmtId="38" fontId="7" fillId="0" borderId="20" xfId="110" applyNumberFormat="1" applyFont="1" applyFill="1" applyBorder="1" applyAlignment="1">
      <alignment horizontal="right"/>
    </xf>
    <xf numFmtId="0" fontId="7" fillId="24" borderId="20" xfId="110" applyFont="1" applyFill="1" applyBorder="1" applyAlignment="1">
      <alignment horizontal="center"/>
    </xf>
    <xf numFmtId="38" fontId="3" fillId="24" borderId="25" xfId="110" applyNumberFormat="1" applyFont="1" applyFill="1" applyBorder="1" applyAlignment="1">
      <alignment horizontal="centerContinuous"/>
    </xf>
    <xf numFmtId="38" fontId="2" fillId="0" borderId="18" xfId="110" applyNumberFormat="1" applyBorder="1"/>
    <xf numFmtId="38" fontId="3" fillId="0" borderId="18" xfId="110" applyNumberFormat="1" applyFont="1" applyBorder="1"/>
    <xf numFmtId="38" fontId="3" fillId="0" borderId="18" xfId="110" applyNumberFormat="1" applyFont="1" applyFill="1" applyBorder="1" applyAlignment="1">
      <alignment horizontal="right"/>
    </xf>
    <xf numFmtId="0" fontId="7" fillId="24" borderId="18" xfId="110" applyFont="1" applyFill="1" applyBorder="1" applyAlignment="1">
      <alignment horizontal="left"/>
    </xf>
    <xf numFmtId="38" fontId="2" fillId="0" borderId="19" xfId="110" applyNumberFormat="1" applyBorder="1"/>
    <xf numFmtId="0" fontId="7" fillId="24" borderId="19" xfId="110" applyFont="1" applyFill="1" applyBorder="1" applyAlignment="1">
      <alignment horizontal="left"/>
    </xf>
    <xf numFmtId="169" fontId="7" fillId="0" borderId="19" xfId="110" applyNumberFormat="1" applyFont="1" applyBorder="1"/>
    <xf numFmtId="0" fontId="7" fillId="24" borderId="20" xfId="110" applyFont="1" applyFill="1" applyBorder="1" applyAlignment="1">
      <alignment horizontal="left"/>
    </xf>
    <xf numFmtId="169" fontId="3" fillId="0" borderId="20" xfId="110" applyNumberFormat="1" applyFont="1" applyBorder="1"/>
    <xf numFmtId="0" fontId="2" fillId="0" borderId="10" xfId="110" applyBorder="1"/>
    <xf numFmtId="0" fontId="2" fillId="0" borderId="17" xfId="110" applyBorder="1"/>
    <xf numFmtId="38" fontId="7" fillId="0" borderId="17" xfId="110" applyNumberFormat="1" applyFont="1" applyBorder="1"/>
    <xf numFmtId="0" fontId="7" fillId="0" borderId="17" xfId="110" applyFont="1" applyBorder="1"/>
    <xf numFmtId="0" fontId="2" fillId="0" borderId="12" xfId="110" applyBorder="1"/>
    <xf numFmtId="0" fontId="3" fillId="0" borderId="18" xfId="110" applyFont="1" applyBorder="1"/>
    <xf numFmtId="0" fontId="3" fillId="0" borderId="10" xfId="110" applyFont="1" applyBorder="1" applyAlignment="1">
      <alignment horizontal="left"/>
    </xf>
    <xf numFmtId="0" fontId="3" fillId="0" borderId="17" xfId="110" applyFont="1" applyBorder="1" applyAlignment="1">
      <alignment horizontal="left"/>
    </xf>
    <xf numFmtId="38" fontId="3" fillId="0" borderId="17" xfId="110" applyNumberFormat="1" applyFont="1" applyBorder="1"/>
    <xf numFmtId="0" fontId="3" fillId="0" borderId="0" xfId="110" applyFont="1" applyFill="1" applyBorder="1" applyAlignment="1">
      <alignment horizontal="left"/>
    </xf>
    <xf numFmtId="0" fontId="3" fillId="0" borderId="16" xfId="110" applyFont="1" applyFill="1" applyBorder="1" applyAlignment="1">
      <alignment horizontal="left"/>
    </xf>
    <xf numFmtId="0" fontId="3" fillId="0" borderId="19" xfId="110" applyFont="1" applyBorder="1"/>
    <xf numFmtId="0" fontId="3" fillId="0" borderId="11" xfId="110" applyFont="1" applyBorder="1" applyAlignment="1">
      <alignment horizontal="left"/>
    </xf>
    <xf numFmtId="0" fontId="3" fillId="0" borderId="0" xfId="110" applyFont="1" applyBorder="1" applyAlignment="1">
      <alignment horizontal="left"/>
    </xf>
    <xf numFmtId="38" fontId="3" fillId="0" borderId="0" xfId="110" applyNumberFormat="1" applyFont="1" applyBorder="1"/>
    <xf numFmtId="0" fontId="7" fillId="24" borderId="26" xfId="110" applyFont="1" applyFill="1" applyBorder="1" applyAlignment="1">
      <alignment horizontal="right"/>
    </xf>
    <xf numFmtId="41" fontId="7" fillId="24" borderId="26" xfId="110" applyNumberFormat="1" applyFont="1" applyFill="1" applyBorder="1"/>
    <xf numFmtId="0" fontId="7" fillId="0" borderId="10" xfId="110" applyFont="1" applyFill="1" applyBorder="1" applyAlignment="1">
      <alignment horizontal="right"/>
    </xf>
    <xf numFmtId="41" fontId="7" fillId="0" borderId="17" xfId="110" applyNumberFormat="1" applyFont="1" applyFill="1" applyBorder="1"/>
    <xf numFmtId="41" fontId="7" fillId="0" borderId="12" xfId="110" applyNumberFormat="1" applyFont="1" applyFill="1" applyBorder="1"/>
    <xf numFmtId="0" fontId="3" fillId="0" borderId="20" xfId="110" applyFont="1" applyBorder="1"/>
    <xf numFmtId="0" fontId="3" fillId="0" borderId="13" xfId="110" applyFont="1" applyBorder="1" applyAlignment="1">
      <alignment horizontal="left"/>
    </xf>
    <xf numFmtId="0" fontId="3" fillId="0" borderId="14" xfId="110" applyFont="1" applyBorder="1" applyAlignment="1">
      <alignment horizontal="left"/>
    </xf>
    <xf numFmtId="38" fontId="3" fillId="0" borderId="14" xfId="110" applyNumberFormat="1" applyFont="1" applyBorder="1"/>
    <xf numFmtId="38" fontId="3" fillId="0" borderId="20" xfId="110" applyNumberFormat="1" applyFont="1" applyFill="1" applyBorder="1" applyAlignment="1">
      <alignment horizontal="right"/>
    </xf>
    <xf numFmtId="0" fontId="7" fillId="24" borderId="23" xfId="110" applyFont="1" applyFill="1" applyBorder="1" applyAlignment="1">
      <alignment horizontal="right"/>
    </xf>
    <xf numFmtId="0" fontId="7" fillId="24" borderId="24" xfId="110" applyFont="1" applyFill="1" applyBorder="1" applyAlignment="1">
      <alignment horizontal="right"/>
    </xf>
    <xf numFmtId="38" fontId="7" fillId="24" borderId="26" xfId="110" applyNumberFormat="1" applyFont="1" applyFill="1" applyBorder="1" applyAlignment="1">
      <alignment horizontal="right"/>
    </xf>
    <xf numFmtId="0" fontId="2" fillId="24" borderId="24" xfId="110" applyFill="1" applyBorder="1" applyAlignment="1">
      <alignment horizontal="center"/>
    </xf>
    <xf numFmtId="0" fontId="2" fillId="24" borderId="25" xfId="110" applyFill="1" applyBorder="1" applyAlignment="1">
      <alignment horizontal="center"/>
    </xf>
    <xf numFmtId="0" fontId="7" fillId="25" borderId="11" xfId="110" applyFont="1" applyFill="1" applyBorder="1" applyAlignment="1">
      <alignment horizontal="right"/>
    </xf>
    <xf numFmtId="0" fontId="7" fillId="25" borderId="0" xfId="110" applyFont="1" applyFill="1" applyBorder="1" applyAlignment="1">
      <alignment horizontal="right"/>
    </xf>
    <xf numFmtId="38" fontId="7" fillId="25" borderId="0" xfId="110" applyNumberFormat="1" applyFont="1" applyFill="1" applyBorder="1"/>
    <xf numFmtId="0" fontId="7" fillId="25" borderId="0" xfId="110" applyFont="1" applyFill="1" applyBorder="1" applyAlignment="1">
      <alignment horizontal="center"/>
    </xf>
    <xf numFmtId="0" fontId="2" fillId="25" borderId="0" xfId="110" applyFill="1" applyBorder="1" applyAlignment="1">
      <alignment horizontal="center"/>
    </xf>
    <xf numFmtId="0" fontId="2" fillId="25" borderId="16" xfId="110" applyFill="1" applyBorder="1" applyAlignment="1">
      <alignment horizontal="center"/>
    </xf>
    <xf numFmtId="38" fontId="3" fillId="0" borderId="12" xfId="110" applyNumberFormat="1" applyFont="1" applyBorder="1"/>
    <xf numFmtId="0" fontId="3" fillId="0" borderId="17" xfId="110" applyFont="1" applyFill="1" applyBorder="1" applyAlignment="1">
      <alignment horizontal="left"/>
    </xf>
    <xf numFmtId="0" fontId="3" fillId="0" borderId="12" xfId="110" applyFont="1" applyFill="1" applyBorder="1" applyAlignment="1">
      <alignment horizontal="left"/>
    </xf>
    <xf numFmtId="38" fontId="3" fillId="0" borderId="16" xfId="110" applyNumberFormat="1" applyFont="1" applyBorder="1"/>
    <xf numFmtId="38" fontId="3" fillId="0" borderId="15" xfId="110" applyNumberFormat="1" applyFont="1" applyBorder="1"/>
    <xf numFmtId="0" fontId="3" fillId="0" borderId="0" xfId="79" applyFont="1"/>
    <xf numFmtId="37" fontId="7" fillId="0" borderId="24" xfId="0" applyNumberFormat="1" applyFont="1" applyBorder="1"/>
    <xf numFmtId="0" fontId="1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0" fillId="0" borderId="0" xfId="55" applyNumberFormat="1" applyFont="1" applyFill="1" applyBorder="1"/>
    <xf numFmtId="0" fontId="0" fillId="0" borderId="0" xfId="0" applyFill="1"/>
    <xf numFmtId="0" fontId="36" fillId="0" borderId="0" xfId="0" applyFont="1" applyFill="1"/>
    <xf numFmtId="37" fontId="63" fillId="0" borderId="25" xfId="0" applyNumberFormat="1" applyFont="1" applyFill="1" applyBorder="1"/>
    <xf numFmtId="37" fontId="64" fillId="0" borderId="0" xfId="0" applyNumberFormat="1" applyFont="1" applyFill="1" applyBorder="1"/>
    <xf numFmtId="37" fontId="63" fillId="0" borderId="25" xfId="0" applyNumberFormat="1" applyFont="1" applyBorder="1"/>
    <xf numFmtId="37" fontId="64" fillId="0" borderId="0" xfId="0" applyNumberFormat="1" applyFont="1"/>
    <xf numFmtId="0" fontId="4" fillId="0" borderId="0" xfId="0" applyFont="1"/>
    <xf numFmtId="0" fontId="4" fillId="0" borderId="0" xfId="0" applyFont="1" applyFill="1"/>
    <xf numFmtId="164" fontId="0" fillId="0" borderId="0" xfId="55" applyNumberFormat="1" applyFont="1"/>
    <xf numFmtId="164" fontId="39" fillId="0" borderId="0" xfId="55" applyNumberFormat="1" applyFont="1"/>
    <xf numFmtId="14" fontId="65" fillId="0" borderId="0" xfId="0" applyNumberFormat="1" applyFont="1" applyAlignment="1">
      <alignment horizontal="left"/>
    </xf>
    <xf numFmtId="37" fontId="7" fillId="27" borderId="22" xfId="0" applyNumberFormat="1" applyFont="1" applyFill="1" applyBorder="1"/>
    <xf numFmtId="0" fontId="0" fillId="0" borderId="10" xfId="0" applyBorder="1" applyAlignment="1">
      <alignment horizontal="right"/>
    </xf>
    <xf numFmtId="9" fontId="62" fillId="0" borderId="17" xfId="98" applyFont="1" applyFill="1" applyBorder="1"/>
    <xf numFmtId="37" fontId="39" fillId="0" borderId="17" xfId="0" applyNumberFormat="1" applyFont="1" applyFill="1" applyBorder="1"/>
    <xf numFmtId="37" fontId="39" fillId="0" borderId="17" xfId="0" applyNumberFormat="1" applyFont="1" applyBorder="1"/>
    <xf numFmtId="9" fontId="62" fillId="0" borderId="0" xfId="98" applyFont="1" applyFill="1" applyBorder="1"/>
    <xf numFmtId="0" fontId="0" fillId="0" borderId="13" xfId="0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10" xfId="0" applyFont="1" applyBorder="1" applyAlignment="1">
      <alignment horizontal="right"/>
    </xf>
    <xf numFmtId="9" fontId="66" fillId="0" borderId="17" xfId="98" applyFont="1" applyFill="1" applyBorder="1"/>
    <xf numFmtId="37" fontId="67" fillId="0" borderId="17" xfId="0" applyNumberFormat="1" applyFont="1" applyFill="1" applyBorder="1"/>
    <xf numFmtId="0" fontId="7" fillId="0" borderId="11" xfId="0" applyFont="1" applyBorder="1" applyAlignment="1">
      <alignment horizontal="right"/>
    </xf>
    <xf numFmtId="9" fontId="66" fillId="0" borderId="0" xfId="98" applyFont="1" applyFill="1" applyBorder="1"/>
    <xf numFmtId="0" fontId="7" fillId="0" borderId="13" xfId="0" applyFont="1" applyBorder="1" applyAlignment="1">
      <alignment horizontal="right"/>
    </xf>
    <xf numFmtId="37" fontId="3" fillId="0" borderId="14" xfId="0" applyNumberFormat="1" applyFont="1" applyFill="1" applyBorder="1"/>
    <xf numFmtId="37" fontId="3" fillId="0" borderId="14" xfId="0" applyNumberFormat="1" applyFont="1" applyBorder="1"/>
    <xf numFmtId="37" fontId="64" fillId="0" borderId="0" xfId="0" applyNumberFormat="1" applyFont="1" applyFill="1"/>
    <xf numFmtId="9" fontId="0" fillId="0" borderId="17" xfId="98" applyFont="1" applyFill="1" applyBorder="1" applyAlignment="1">
      <alignment horizontal="center"/>
    </xf>
    <xf numFmtId="9" fontId="0" fillId="0" borderId="12" xfId="98" applyFont="1" applyFill="1" applyBorder="1" applyAlignment="1">
      <alignment horizontal="center"/>
    </xf>
    <xf numFmtId="37" fontId="68" fillId="0" borderId="0" xfId="0" applyNumberFormat="1" applyFont="1" applyFill="1"/>
    <xf numFmtId="37" fontId="18" fillId="0" borderId="0" xfId="0" applyNumberFormat="1" applyFont="1" applyFill="1"/>
    <xf numFmtId="37" fontId="67" fillId="0" borderId="17" xfId="0" applyNumberFormat="1" applyFont="1" applyBorder="1"/>
    <xf numFmtId="37" fontId="3" fillId="0" borderId="0" xfId="0" applyNumberFormat="1" applyFont="1" applyFill="1"/>
    <xf numFmtId="37" fontId="3" fillId="0" borderId="0" xfId="0" applyNumberFormat="1" applyFont="1"/>
    <xf numFmtId="37" fontId="3" fillId="0" borderId="0" xfId="0" applyNumberFormat="1" applyFont="1" applyBorder="1"/>
    <xf numFmtId="9" fontId="3" fillId="0" borderId="0" xfId="98" applyFont="1" applyFill="1" applyBorder="1"/>
    <xf numFmtId="164" fontId="3" fillId="0" borderId="0" xfId="55" applyNumberFormat="1" applyFont="1" applyFill="1" applyBorder="1"/>
    <xf numFmtId="164" fontId="3" fillId="0" borderId="0" xfId="55" applyNumberFormat="1" applyFont="1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left"/>
    </xf>
    <xf numFmtId="17" fontId="0" fillId="0" borderId="0" xfId="0" applyNumberFormat="1" applyBorder="1" applyAlignment="1">
      <alignment horizontal="center"/>
    </xf>
    <xf numFmtId="17" fontId="0" fillId="0" borderId="16" xfId="0" applyNumberFormat="1" applyBorder="1" applyAlignment="1">
      <alignment horizontal="center"/>
    </xf>
    <xf numFmtId="17" fontId="15" fillId="0" borderId="0" xfId="0" applyNumberFormat="1" applyFont="1" applyFill="1" applyBorder="1" applyAlignment="1">
      <alignment horizontal="center"/>
    </xf>
    <xf numFmtId="17" fontId="0" fillId="0" borderId="16" xfId="0" applyNumberFormat="1" applyFill="1" applyBorder="1" applyAlignment="1">
      <alignment horizontal="center"/>
    </xf>
    <xf numFmtId="17" fontId="0" fillId="0" borderId="0" xfId="0" applyNumberFormat="1" applyFill="1" applyBorder="1" applyAlignment="1">
      <alignment horizontal="center"/>
    </xf>
    <xf numFmtId="0" fontId="36" fillId="0" borderId="10" xfId="110" applyFont="1" applyFill="1" applyBorder="1" applyAlignment="1">
      <alignment horizontal="center" vertical="center"/>
    </xf>
    <xf numFmtId="0" fontId="4" fillId="0" borderId="17" xfId="110" applyFont="1" applyBorder="1" applyAlignment="1">
      <alignment horizontal="center" vertical="center"/>
    </xf>
    <xf numFmtId="0" fontId="4" fillId="0" borderId="12" xfId="110" applyFont="1" applyBorder="1" applyAlignment="1">
      <alignment horizontal="center" vertical="center"/>
    </xf>
    <xf numFmtId="0" fontId="36" fillId="0" borderId="11" xfId="110" applyFont="1" applyFill="1" applyBorder="1" applyAlignment="1">
      <alignment horizontal="center" vertical="center"/>
    </xf>
    <xf numFmtId="0" fontId="36" fillId="0" borderId="0" xfId="110" applyFont="1" applyFill="1" applyBorder="1" applyAlignment="1">
      <alignment horizontal="center" vertical="center"/>
    </xf>
    <xf numFmtId="0" fontId="36" fillId="0" borderId="16" xfId="110" applyFont="1" applyFill="1" applyBorder="1" applyAlignment="1">
      <alignment horizontal="center" vertical="center"/>
    </xf>
    <xf numFmtId="0" fontId="7" fillId="0" borderId="0" xfId="110" applyFont="1" applyAlignment="1">
      <alignment horizontal="center"/>
    </xf>
    <xf numFmtId="0" fontId="7" fillId="0" borderId="14" xfId="110" applyFont="1" applyBorder="1" applyAlignment="1" applyProtection="1">
      <alignment horizontal="center"/>
    </xf>
    <xf numFmtId="0" fontId="7" fillId="0" borderId="15" xfId="110" applyFont="1" applyBorder="1" applyAlignment="1" applyProtection="1">
      <alignment horizontal="center"/>
    </xf>
    <xf numFmtId="0" fontId="7" fillId="0" borderId="10" xfId="110" applyFont="1" applyFill="1" applyBorder="1" applyAlignment="1">
      <alignment horizontal="center" vertical="center"/>
    </xf>
    <xf numFmtId="0" fontId="7" fillId="0" borderId="12" xfId="110" applyFont="1" applyFill="1" applyBorder="1" applyAlignment="1">
      <alignment horizontal="center" vertical="center"/>
    </xf>
    <xf numFmtId="0" fontId="7" fillId="0" borderId="10" xfId="110" applyFont="1" applyBorder="1" applyAlignment="1">
      <alignment horizontal="center" vertical="center"/>
    </xf>
    <xf numFmtId="0" fontId="7" fillId="0" borderId="12" xfId="110" applyFont="1" applyBorder="1" applyAlignment="1">
      <alignment horizontal="center" vertical="center"/>
    </xf>
    <xf numFmtId="38" fontId="7" fillId="0" borderId="10" xfId="110" applyNumberFormat="1" applyFont="1" applyBorder="1" applyAlignment="1">
      <alignment vertical="top" wrapText="1"/>
    </xf>
    <xf numFmtId="0" fontId="7" fillId="0" borderId="17" xfId="110" applyFont="1" applyBorder="1" applyAlignment="1">
      <alignment vertical="top" wrapText="1"/>
    </xf>
    <xf numFmtId="0" fontId="7" fillId="0" borderId="12" xfId="110" applyFont="1" applyBorder="1" applyAlignment="1">
      <alignment vertical="top" wrapText="1"/>
    </xf>
    <xf numFmtId="0" fontId="7" fillId="0" borderId="11" xfId="110" applyFont="1" applyBorder="1" applyAlignment="1">
      <alignment vertical="top" wrapText="1"/>
    </xf>
    <xf numFmtId="0" fontId="7" fillId="0" borderId="0" xfId="110" applyFont="1" applyBorder="1" applyAlignment="1">
      <alignment vertical="top" wrapText="1"/>
    </xf>
    <xf numFmtId="0" fontId="7" fillId="0" borderId="16" xfId="110" applyFont="1" applyBorder="1" applyAlignment="1">
      <alignment vertical="top" wrapText="1"/>
    </xf>
    <xf numFmtId="0" fontId="7" fillId="0" borderId="13" xfId="110" applyFont="1" applyBorder="1" applyAlignment="1">
      <alignment vertical="top" wrapText="1"/>
    </xf>
    <xf numFmtId="0" fontId="7" fillId="0" borderId="14" xfId="110" applyFont="1" applyBorder="1" applyAlignment="1">
      <alignment vertical="top" wrapText="1"/>
    </xf>
    <xf numFmtId="0" fontId="7" fillId="0" borderId="15" xfId="110" applyFont="1" applyBorder="1" applyAlignment="1">
      <alignment vertical="top" wrapText="1"/>
    </xf>
    <xf numFmtId="0" fontId="7" fillId="0" borderId="11" xfId="110" applyFont="1" applyFill="1" applyBorder="1" applyAlignment="1">
      <alignment horizontal="center" vertical="center"/>
    </xf>
    <xf numFmtId="0" fontId="7" fillId="0" borderId="16" xfId="110" applyFont="1" applyFill="1" applyBorder="1" applyAlignment="1">
      <alignment horizontal="center" vertical="center"/>
    </xf>
    <xf numFmtId="0" fontId="7" fillId="0" borderId="11" xfId="110" applyFont="1" applyBorder="1" applyAlignment="1">
      <alignment horizontal="center" vertical="center"/>
    </xf>
    <xf numFmtId="0" fontId="7" fillId="0" borderId="16" xfId="110" applyFont="1" applyBorder="1" applyAlignment="1">
      <alignment horizontal="center" vertical="center"/>
    </xf>
    <xf numFmtId="0" fontId="7" fillId="0" borderId="0" xfId="110" applyFont="1" applyBorder="1" applyAlignment="1">
      <alignment horizontal="center" vertical="center"/>
    </xf>
    <xf numFmtId="0" fontId="7" fillId="0" borderId="13" xfId="110" applyFont="1" applyBorder="1" applyAlignment="1">
      <alignment horizontal="center" vertical="center"/>
    </xf>
    <xf numFmtId="0" fontId="7" fillId="0" borderId="15" xfId="110" applyFont="1" applyBorder="1" applyAlignment="1">
      <alignment horizontal="center" vertical="center"/>
    </xf>
    <xf numFmtId="0" fontId="7" fillId="24" borderId="23" xfId="110" applyFont="1" applyFill="1" applyBorder="1" applyAlignment="1">
      <alignment horizontal="center"/>
    </xf>
    <xf numFmtId="0" fontId="2" fillId="0" borderId="24" xfId="110" applyBorder="1" applyAlignment="1">
      <alignment horizontal="center"/>
    </xf>
    <xf numFmtId="0" fontId="2" fillId="0" borderId="25" xfId="110" applyBorder="1" applyAlignment="1">
      <alignment horizontal="center"/>
    </xf>
    <xf numFmtId="0" fontId="7" fillId="24" borderId="24" xfId="110" applyFont="1" applyFill="1" applyBorder="1" applyAlignment="1">
      <alignment horizontal="center"/>
    </xf>
    <xf numFmtId="0" fontId="7" fillId="0" borderId="24" xfId="110" applyFont="1" applyBorder="1" applyAlignment="1">
      <alignment horizontal="center"/>
    </xf>
    <xf numFmtId="0" fontId="7" fillId="0" borderId="25" xfId="110" applyFont="1" applyBorder="1" applyAlignment="1">
      <alignment horizontal="center"/>
    </xf>
    <xf numFmtId="0" fontId="37" fillId="26" borderId="0" xfId="110" applyFont="1" applyFill="1" applyBorder="1" applyAlignment="1">
      <alignment horizontal="center" vertical="center"/>
    </xf>
    <xf numFmtId="0" fontId="37" fillId="26" borderId="16" xfId="110" applyFont="1" applyFill="1" applyBorder="1" applyAlignment="1">
      <alignment horizontal="center" vertical="center"/>
    </xf>
    <xf numFmtId="0" fontId="6" fillId="0" borderId="13" xfId="110" applyFont="1" applyFill="1" applyBorder="1" applyAlignment="1">
      <alignment horizontal="center" vertical="center"/>
    </xf>
    <xf numFmtId="0" fontId="6" fillId="0" borderId="14" xfId="110" applyFont="1" applyFill="1" applyBorder="1" applyAlignment="1">
      <alignment horizontal="center" vertical="center"/>
    </xf>
    <xf numFmtId="0" fontId="6" fillId="0" borderId="15" xfId="110" applyFont="1" applyFill="1" applyBorder="1" applyAlignment="1">
      <alignment horizontal="center" vertical="center"/>
    </xf>
    <xf numFmtId="0" fontId="7" fillId="0" borderId="10" xfId="110" applyFont="1" applyFill="1" applyBorder="1" applyAlignment="1">
      <alignment vertical="top" wrapText="1"/>
    </xf>
    <xf numFmtId="0" fontId="2" fillId="0" borderId="17" xfId="110" applyBorder="1" applyAlignment="1">
      <alignment vertical="top" wrapText="1"/>
    </xf>
    <xf numFmtId="0" fontId="2" fillId="0" borderId="12" xfId="110" applyBorder="1" applyAlignment="1">
      <alignment vertical="top" wrapText="1"/>
    </xf>
    <xf numFmtId="0" fontId="2" fillId="0" borderId="11" xfId="110" applyBorder="1" applyAlignment="1">
      <alignment vertical="top" wrapText="1"/>
    </xf>
    <xf numFmtId="0" fontId="2" fillId="0" borderId="0" xfId="110" applyBorder="1" applyAlignment="1">
      <alignment vertical="top" wrapText="1"/>
    </xf>
    <xf numFmtId="0" fontId="2" fillId="0" borderId="16" xfId="110" applyBorder="1" applyAlignment="1">
      <alignment vertical="top" wrapText="1"/>
    </xf>
    <xf numFmtId="0" fontId="2" fillId="0" borderId="13" xfId="110" applyBorder="1" applyAlignment="1">
      <alignment vertical="top" wrapText="1"/>
    </xf>
    <xf numFmtId="0" fontId="2" fillId="0" borderId="14" xfId="110" applyBorder="1" applyAlignment="1">
      <alignment vertical="top" wrapText="1"/>
    </xf>
    <xf numFmtId="0" fontId="2" fillId="0" borderId="15" xfId="110" applyBorder="1" applyAlignment="1">
      <alignment vertical="top" wrapText="1"/>
    </xf>
    <xf numFmtId="0" fontId="7" fillId="0" borderId="10" xfId="110" applyFont="1" applyBorder="1" applyAlignment="1">
      <alignment vertical="top" wrapText="1"/>
    </xf>
    <xf numFmtId="0" fontId="6" fillId="0" borderId="13" xfId="110" applyFont="1" applyFill="1" applyBorder="1" applyAlignment="1">
      <alignment horizontal="center"/>
    </xf>
    <xf numFmtId="0" fontId="6" fillId="0" borderId="14" xfId="110" applyFont="1" applyFill="1" applyBorder="1" applyAlignment="1">
      <alignment horizontal="center"/>
    </xf>
    <xf numFmtId="0" fontId="6" fillId="0" borderId="15" xfId="110" applyFont="1" applyFill="1" applyBorder="1" applyAlignment="1">
      <alignment horizontal="center"/>
    </xf>
  </cellXfs>
  <cellStyles count="115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55" builtinId="3"/>
    <cellStyle name="Comma 2" xfId="56"/>
    <cellStyle name="Comma 2 2" xfId="57"/>
    <cellStyle name="Comma 3" xfId="111"/>
    <cellStyle name="Comma 4" xfId="114"/>
    <cellStyle name="ContentsHyperlink" xfId="58"/>
    <cellStyle name="Explanatory Text" xfId="59" builtinId="53" customBuiltin="1"/>
    <cellStyle name="Explanatory Text 2" xfId="60"/>
    <cellStyle name="Good" xfId="61" builtinId="26" customBuiltin="1"/>
    <cellStyle name="Good 2" xfId="62"/>
    <cellStyle name="Heading 1" xfId="63" builtinId="16" customBuiltin="1"/>
    <cellStyle name="Heading 1 2" xfId="64"/>
    <cellStyle name="Heading 2" xfId="65" builtinId="17" customBuiltin="1"/>
    <cellStyle name="Heading 2 2" xfId="66"/>
    <cellStyle name="Heading 3" xfId="67" builtinId="18" customBuiltin="1"/>
    <cellStyle name="Heading 3 2" xfId="68"/>
    <cellStyle name="Heading 4" xfId="69" builtinId="19" customBuiltin="1"/>
    <cellStyle name="Heading 4 2" xfId="70"/>
    <cellStyle name="Input" xfId="71" builtinId="20" customBuiltin="1"/>
    <cellStyle name="Input 2" xfId="72"/>
    <cellStyle name="Linked Cell" xfId="73" builtinId="24" customBuiltin="1"/>
    <cellStyle name="Linked Cell 2" xfId="74"/>
    <cellStyle name="Neutral" xfId="75" builtinId="28" customBuiltin="1"/>
    <cellStyle name="Neutral 2" xfId="76"/>
    <cellStyle name="Normal" xfId="0" builtinId="0"/>
    <cellStyle name="Normal - Style1" xfId="77"/>
    <cellStyle name="Normal 10" xfId="78"/>
    <cellStyle name="Normal 10 2" xfId="108"/>
    <cellStyle name="Normal 11" xfId="109"/>
    <cellStyle name="Normal 12" xfId="107"/>
    <cellStyle name="Normal 13" xfId="110"/>
    <cellStyle name="Normal 14" xfId="112"/>
    <cellStyle name="Normal 2" xfId="79"/>
    <cellStyle name="Normal 2 2" xfId="80"/>
    <cellStyle name="Normal 2 2 2" xfId="81"/>
    <cellStyle name="Normal 3" xfId="82"/>
    <cellStyle name="Normal 3 2" xfId="83"/>
    <cellStyle name="Normal 3 3" xfId="113"/>
    <cellStyle name="Normal 4" xfId="84"/>
    <cellStyle name="Normal 4 2" xfId="85"/>
    <cellStyle name="Normal 5" xfId="86"/>
    <cellStyle name="Normal 5 2" xfId="87"/>
    <cellStyle name="Normal 6" xfId="88"/>
    <cellStyle name="Normal 6 2" xfId="89"/>
    <cellStyle name="Normal 7" xfId="90"/>
    <cellStyle name="Normal 7 2" xfId="91"/>
    <cellStyle name="Normal 8" xfId="92"/>
    <cellStyle name="Normal 8 2" xfId="93"/>
    <cellStyle name="Normal 9" xfId="94"/>
    <cellStyle name="Note" xfId="95" builtinId="10" customBuiltin="1"/>
    <cellStyle name="Output" xfId="96" builtinId="21" customBuiltin="1"/>
    <cellStyle name="Output 2" xfId="97"/>
    <cellStyle name="Percent" xfId="98" builtinId="5"/>
    <cellStyle name="Percent 2" xfId="99"/>
    <cellStyle name="Percent 3" xfId="100"/>
    <cellStyle name="Percent 4" xfId="101"/>
    <cellStyle name="Title" xfId="102" builtinId="15" customBuiltin="1"/>
    <cellStyle name="Total" xfId="103" builtinId="25" customBuiltin="1"/>
    <cellStyle name="Total 2" xfId="104"/>
    <cellStyle name="Warning Text" xfId="105" builtinId="11" customBuiltin="1"/>
    <cellStyle name="Warning Text 2" xfId="106"/>
  </cellStyles>
  <dxfs count="4"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w%20Orleans\Davidson\Final%20Load%20Studies\Final%20Load%20Studies\2014-2015%20Load%20Studies\Tennessee%20Virginia\2014-2015%20Blacksburg,%20VA%20(LA%20stability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Date Range"/>
      <sheetName val="Summer Date Range"/>
      <sheetName val="Winter Date Range"/>
      <sheetName val="Design Day Wind"/>
      <sheetName val="Weather Station Information"/>
      <sheetName val="RFP Firm Daily Calculations"/>
      <sheetName val="RFP Int Sales Daily Calc"/>
      <sheetName val="For Matt's Normals file"/>
      <sheetName val="Paste Data here uncorrected"/>
      <sheetName val="Paste Data here to begin Eviews"/>
      <sheetName val="Output Summary"/>
      <sheetName val="Stability Test"/>
      <sheetName val="Eviews Results"/>
      <sheetName val="All Data"/>
      <sheetName val="Stability"/>
      <sheetName val="3 Year Minimum"/>
      <sheetName val="Design Day Forecast Calculation"/>
      <sheetName val="Forecast vs Actual Comparison"/>
      <sheetName val="Annual DTH"/>
      <sheetName val="% of Normal"/>
      <sheetName val="Actual vs Normals Comparis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 t="str">
            <v>BV Correctional, CO</v>
          </cell>
          <cell r="D3" t="str">
            <v>GUC</v>
          </cell>
          <cell r="E3" t="str">
            <v>GUC - Gunnison, CO</v>
          </cell>
          <cell r="F3">
            <v>0</v>
          </cell>
          <cell r="G3" t="str">
            <v>Colorado Kansas</v>
          </cell>
        </row>
        <row r="4">
          <cell r="C4" t="str">
            <v>CIG Canon City, CO</v>
          </cell>
          <cell r="D4" t="str">
            <v>PUB</v>
          </cell>
          <cell r="E4" t="str">
            <v>PUB - Pueblo, CO</v>
          </cell>
          <cell r="F4">
            <v>0</v>
          </cell>
          <cell r="G4" t="str">
            <v>Colorado Kansas</v>
          </cell>
        </row>
        <row r="5">
          <cell r="C5" t="str">
            <v>CIG Lamar, CO</v>
          </cell>
          <cell r="D5" t="str">
            <v>LAA</v>
          </cell>
          <cell r="E5" t="str">
            <v>LAA - Lamar, CO</v>
          </cell>
          <cell r="F5">
            <v>0</v>
          </cell>
          <cell r="G5" t="str">
            <v>Colorado Kansas</v>
          </cell>
        </row>
        <row r="6">
          <cell r="C6" t="str">
            <v>Craig PSCO Questar, CO</v>
          </cell>
          <cell r="D6" t="str">
            <v>CAG</v>
          </cell>
          <cell r="E6" t="str">
            <v>CAG - Craig, CO</v>
          </cell>
          <cell r="F6">
            <v>0</v>
          </cell>
          <cell r="G6" t="str">
            <v>Colorado Kansas</v>
          </cell>
        </row>
        <row r="7">
          <cell r="C7" t="str">
            <v>KMIGT, CO</v>
          </cell>
          <cell r="D7" t="str">
            <v>GXY</v>
          </cell>
          <cell r="E7" t="str">
            <v>GXY - Greely, CO</v>
          </cell>
          <cell r="F7">
            <v>0</v>
          </cell>
          <cell r="G7" t="str">
            <v>Colorado Kansas</v>
          </cell>
        </row>
        <row r="8">
          <cell r="C8" t="str">
            <v>NWPL, CO</v>
          </cell>
          <cell r="D8" t="str">
            <v>DRO</v>
          </cell>
          <cell r="E8" t="str">
            <v>DRO - Durango, CO</v>
          </cell>
          <cell r="F8">
            <v>0</v>
          </cell>
          <cell r="G8" t="str">
            <v>Colorado Kansas</v>
          </cell>
        </row>
        <row r="9">
          <cell r="C9" t="str">
            <v>PSCO Front Range, CO</v>
          </cell>
          <cell r="D9" t="str">
            <v>GXY</v>
          </cell>
          <cell r="E9" t="str">
            <v>GXY - Greely, CO</v>
          </cell>
          <cell r="F9">
            <v>0</v>
          </cell>
          <cell r="G9" t="str">
            <v>Colorado Kansas</v>
          </cell>
        </row>
        <row r="10">
          <cell r="C10" t="str">
            <v>PSCO Southern Range, CO</v>
          </cell>
          <cell r="D10" t="str">
            <v>GUC</v>
          </cell>
          <cell r="E10" t="str">
            <v>GUC - Gunnison, CO</v>
          </cell>
          <cell r="F10">
            <v>0</v>
          </cell>
          <cell r="G10" t="str">
            <v>Colorado Kansas</v>
          </cell>
        </row>
        <row r="11">
          <cell r="C11" t="str">
            <v>PSCO Western Range, CO</v>
          </cell>
          <cell r="D11" t="str">
            <v>CAG</v>
          </cell>
          <cell r="E11" t="str">
            <v>CAG - Craig, CO</v>
          </cell>
          <cell r="F11">
            <v>0</v>
          </cell>
          <cell r="G11" t="str">
            <v>Colorado Kansas</v>
          </cell>
        </row>
        <row r="12">
          <cell r="C12" t="str">
            <v>Caldwell, KS</v>
          </cell>
          <cell r="D12" t="str">
            <v>CNU</v>
          </cell>
          <cell r="E12" t="str">
            <v>CNU - Chanute, KS</v>
          </cell>
          <cell r="F12">
            <v>0</v>
          </cell>
          <cell r="G12" t="str">
            <v>Colorado Kansas</v>
          </cell>
        </row>
        <row r="13">
          <cell r="C13" t="str">
            <v>Hazelton, KS</v>
          </cell>
          <cell r="D13" t="str">
            <v>CNU</v>
          </cell>
          <cell r="E13" t="str">
            <v>CNU - Chanute, KS</v>
          </cell>
          <cell r="F13">
            <v>0</v>
          </cell>
          <cell r="G13" t="str">
            <v>Colorado Kansas</v>
          </cell>
        </row>
        <row r="14">
          <cell r="C14" t="str">
            <v>KGS Marion County, KS</v>
          </cell>
          <cell r="D14" t="str">
            <v>MHK</v>
          </cell>
          <cell r="E14" t="str">
            <v>MHK - Manhattan, KS</v>
          </cell>
          <cell r="F14">
            <v>0</v>
          </cell>
          <cell r="G14" t="str">
            <v>Colorado Kansas</v>
          </cell>
        </row>
        <row r="15">
          <cell r="C15" t="str">
            <v>KGS Seaboard Morton County, KS</v>
          </cell>
          <cell r="D15" t="str">
            <v>HYS</v>
          </cell>
          <cell r="E15" t="str">
            <v>HYS - Hayes, KS</v>
          </cell>
          <cell r="F15">
            <v>0</v>
          </cell>
          <cell r="G15" t="str">
            <v>Colorado Kansas</v>
          </cell>
        </row>
        <row r="16">
          <cell r="C16" t="str">
            <v>KMIGT, KS</v>
          </cell>
          <cell r="D16" t="str">
            <v>HYS</v>
          </cell>
          <cell r="E16" t="str">
            <v>HYS - Hayes, KS</v>
          </cell>
          <cell r="F16">
            <v>0</v>
          </cell>
          <cell r="G16" t="str">
            <v>Colorado Kansas</v>
          </cell>
        </row>
        <row r="17">
          <cell r="C17" t="str">
            <v>New Strawn, KS</v>
          </cell>
          <cell r="D17" t="str">
            <v>CNU</v>
          </cell>
          <cell r="E17" t="str">
            <v>CNU - Chanute, KS</v>
          </cell>
          <cell r="F17">
            <v>0</v>
          </cell>
          <cell r="G17" t="str">
            <v>Colorado Kansas</v>
          </cell>
        </row>
        <row r="18">
          <cell r="C18" t="str">
            <v>SS-Central Kansas, Marion County, KS</v>
          </cell>
          <cell r="D18" t="str">
            <v>MHK</v>
          </cell>
          <cell r="E18" t="str">
            <v>MHK - Manhattan, KS</v>
          </cell>
          <cell r="F18">
            <v>0</v>
          </cell>
          <cell r="G18" t="str">
            <v>Colorado Kansas</v>
          </cell>
        </row>
        <row r="19">
          <cell r="C19" t="str">
            <v>SS-Lower Central, Anthony, KS</v>
          </cell>
          <cell r="D19" t="str">
            <v>CNU</v>
          </cell>
          <cell r="E19" t="str">
            <v>CNU - Chanute, KS</v>
          </cell>
          <cell r="F19">
            <v>0</v>
          </cell>
          <cell r="G19" t="str">
            <v>Colorado Kansas</v>
          </cell>
        </row>
        <row r="20">
          <cell r="C20" t="str">
            <v>SS-Northeast, KS</v>
          </cell>
          <cell r="D20" t="str">
            <v>MCI</v>
          </cell>
          <cell r="E20" t="str">
            <v>MCI - Kansas City, MO</v>
          </cell>
          <cell r="F20">
            <v>0</v>
          </cell>
          <cell r="G20" t="str">
            <v>Colorado Kansas</v>
          </cell>
        </row>
        <row r="21">
          <cell r="C21" t="str">
            <v>SS-Southeast, KS</v>
          </cell>
          <cell r="D21" t="str">
            <v>CNU</v>
          </cell>
          <cell r="E21" t="str">
            <v>CNU - Chanute, KS</v>
          </cell>
          <cell r="F21">
            <v>0</v>
          </cell>
          <cell r="G21" t="str">
            <v>Colorado Kansas</v>
          </cell>
        </row>
        <row r="22">
          <cell r="C22" t="str">
            <v>SW Kansas Lamar Area, KS</v>
          </cell>
          <cell r="D22" t="str">
            <v>LAA</v>
          </cell>
          <cell r="E22" t="str">
            <v>LAA - Lamar, CO</v>
          </cell>
          <cell r="F22">
            <v>0</v>
          </cell>
          <cell r="G22" t="str">
            <v>Colorado Kansas</v>
          </cell>
        </row>
        <row r="23">
          <cell r="C23" t="str">
            <v>Livermore, KY</v>
          </cell>
          <cell r="D23" t="str">
            <v>EVV</v>
          </cell>
          <cell r="E23" t="str">
            <v>EVV - Evansville, KY</v>
          </cell>
          <cell r="F23">
            <v>0</v>
          </cell>
          <cell r="G23" t="str">
            <v>Kentucky Mid-States</v>
          </cell>
        </row>
        <row r="24">
          <cell r="C24" t="str">
            <v>Tex Gas Zone 2, KY</v>
          </cell>
          <cell r="D24" t="str">
            <v>PAH</v>
          </cell>
          <cell r="E24" t="str">
            <v>PAH - Paducah, KY</v>
          </cell>
          <cell r="F24">
            <v>0</v>
          </cell>
          <cell r="G24" t="str">
            <v>Kentucky Mid-States</v>
          </cell>
        </row>
        <row r="25">
          <cell r="C25" t="str">
            <v>Tex Gas Zone 3 North, KY</v>
          </cell>
          <cell r="D25" t="str">
            <v>EVV</v>
          </cell>
          <cell r="E25" t="str">
            <v>EVV - Evansville, KY</v>
          </cell>
          <cell r="F25">
            <v>0</v>
          </cell>
          <cell r="G25" t="str">
            <v>Kentucky Mid-States</v>
          </cell>
        </row>
        <row r="26">
          <cell r="C26" t="str">
            <v>Tex Gas Zone 3 South, KY</v>
          </cell>
          <cell r="D26" t="str">
            <v>BWG</v>
          </cell>
          <cell r="E26" t="str">
            <v>BWG - Bowling Green, KY</v>
          </cell>
          <cell r="F26">
            <v>0</v>
          </cell>
          <cell r="G26" t="str">
            <v>Kentucky Mid-States</v>
          </cell>
        </row>
        <row r="27">
          <cell r="C27" t="str">
            <v>Tex Gas Zone 4, KY</v>
          </cell>
          <cell r="D27" t="str">
            <v>SDF</v>
          </cell>
          <cell r="E27" t="str">
            <v>SDF - Louisville, KY</v>
          </cell>
          <cell r="F27">
            <v>0</v>
          </cell>
          <cell r="G27" t="str">
            <v>Kentucky Mid-States</v>
          </cell>
        </row>
        <row r="28">
          <cell r="C28" t="str">
            <v>Tn Gas G-2, KY</v>
          </cell>
          <cell r="D28" t="str">
            <v>LEX</v>
          </cell>
          <cell r="E28" t="str">
            <v>LEX - Lexington, KY</v>
          </cell>
          <cell r="F28">
            <v>0</v>
          </cell>
          <cell r="G28" t="str">
            <v>Kentucky Mid-States</v>
          </cell>
        </row>
        <row r="29">
          <cell r="C29" t="str">
            <v>Tn Gas GS-2, KY</v>
          </cell>
          <cell r="D29" t="str">
            <v>LEX</v>
          </cell>
          <cell r="E29" t="str">
            <v>LEX - Lexington, KY</v>
          </cell>
          <cell r="F29">
            <v>0</v>
          </cell>
          <cell r="G29" t="str">
            <v>Kentucky Mid-States</v>
          </cell>
        </row>
        <row r="30">
          <cell r="C30" t="str">
            <v>Tennessee Gas, KY</v>
          </cell>
          <cell r="D30" t="str">
            <v>LEX</v>
          </cell>
          <cell r="E30" t="str">
            <v>LEX - Lexington, KY</v>
          </cell>
          <cell r="F30">
            <v>0</v>
          </cell>
          <cell r="G30" t="str">
            <v>Kentucky Mid-States</v>
          </cell>
        </row>
        <row r="31">
          <cell r="C31" t="str">
            <v>Bowling Green, MO</v>
          </cell>
          <cell r="D31" t="str">
            <v>UIN</v>
          </cell>
          <cell r="E31" t="str">
            <v>UIN - Quincy, IL</v>
          </cell>
          <cell r="F31">
            <v>0</v>
          </cell>
          <cell r="G31" t="str">
            <v>Kentucky Mid-States</v>
          </cell>
        </row>
        <row r="32">
          <cell r="C32" t="str">
            <v>Butler, MO</v>
          </cell>
          <cell r="D32" t="str">
            <v>MCI</v>
          </cell>
          <cell r="E32" t="str">
            <v>MCI - Kansas City, MO</v>
          </cell>
          <cell r="F32">
            <v>0</v>
          </cell>
          <cell r="G32" t="str">
            <v>Kentucky Mid-States</v>
          </cell>
        </row>
        <row r="33">
          <cell r="C33" t="str">
            <v>Hannibal, MO</v>
          </cell>
          <cell r="D33" t="str">
            <v>UIN</v>
          </cell>
          <cell r="E33" t="str">
            <v>UIN - Quincy, IL</v>
          </cell>
          <cell r="F33">
            <v>0</v>
          </cell>
          <cell r="G33" t="str">
            <v>Kentucky Mid-States</v>
          </cell>
        </row>
        <row r="34">
          <cell r="C34" t="str">
            <v>Jackson, MO</v>
          </cell>
          <cell r="D34" t="str">
            <v>POF</v>
          </cell>
          <cell r="E34" t="str">
            <v>POF - Poplar Bluff, MO</v>
          </cell>
          <cell r="F34">
            <v>0</v>
          </cell>
          <cell r="G34" t="str">
            <v>Kentucky Mid-States</v>
          </cell>
        </row>
        <row r="35">
          <cell r="C35" t="str">
            <v>Kirksville, MO</v>
          </cell>
          <cell r="D35" t="str">
            <v>IRK</v>
          </cell>
          <cell r="E35" t="str">
            <v>IRK - Kirksville, MO</v>
          </cell>
          <cell r="F35">
            <v>0</v>
          </cell>
          <cell r="G35" t="str">
            <v>Kentucky Mid-States</v>
          </cell>
        </row>
        <row r="36">
          <cell r="C36" t="str">
            <v>KS-MO Stateline, MO</v>
          </cell>
          <cell r="D36" t="str">
            <v>MCI</v>
          </cell>
          <cell r="E36" t="str">
            <v>MCI - Kansas City, MO</v>
          </cell>
          <cell r="F36">
            <v>0</v>
          </cell>
          <cell r="G36" t="str">
            <v>Kentucky Mid-States</v>
          </cell>
        </row>
        <row r="37">
          <cell r="C37" t="str">
            <v>Piedmont Arcadia, MO</v>
          </cell>
          <cell r="D37" t="str">
            <v>POF</v>
          </cell>
          <cell r="E37" t="str">
            <v>POF - Poplar Bluff, MO</v>
          </cell>
          <cell r="F37">
            <v>0</v>
          </cell>
          <cell r="G37" t="str">
            <v>Kentucky Mid-States</v>
          </cell>
        </row>
        <row r="38">
          <cell r="C38" t="str">
            <v>SEMO, MO</v>
          </cell>
          <cell r="D38" t="str">
            <v>PAH</v>
          </cell>
          <cell r="E38" t="str">
            <v>PAH - Paducah, KY</v>
          </cell>
          <cell r="F38">
            <v>0</v>
          </cell>
          <cell r="G38" t="str">
            <v>Kentucky Mid-States</v>
          </cell>
        </row>
        <row r="39">
          <cell r="C39" t="str">
            <v>Tetco Neelyville, MO</v>
          </cell>
          <cell r="D39" t="str">
            <v>POF</v>
          </cell>
          <cell r="E39" t="str">
            <v>POF - Poplar Bluff, MO</v>
          </cell>
          <cell r="F39">
            <v>0</v>
          </cell>
          <cell r="G39" t="str">
            <v>Kentucky Mid-States</v>
          </cell>
        </row>
        <row r="40">
          <cell r="C40" t="str">
            <v>Amory Line w Columbus, MS</v>
          </cell>
          <cell r="D40" t="str">
            <v>GTR</v>
          </cell>
          <cell r="E40" t="str">
            <v>GTR - Columbus, MS</v>
          </cell>
          <cell r="F40">
            <v>5476</v>
          </cell>
          <cell r="G40" t="str">
            <v>Mississippi</v>
          </cell>
        </row>
        <row r="41">
          <cell r="C41" t="str">
            <v>Carthage, MS</v>
          </cell>
          <cell r="D41" t="str">
            <v>GWO</v>
          </cell>
          <cell r="E41" t="str">
            <v>GWO - Greenwood, MS</v>
          </cell>
          <cell r="F41">
            <v>200</v>
          </cell>
          <cell r="G41" t="str">
            <v>Mississippi</v>
          </cell>
        </row>
        <row r="42">
          <cell r="C42" t="str">
            <v>Crenshaw, MS</v>
          </cell>
          <cell r="D42" t="str">
            <v>MEM</v>
          </cell>
          <cell r="E42" t="str">
            <v>MEM - Memphis(Southaven), MS</v>
          </cell>
          <cell r="F42">
            <v>0</v>
          </cell>
          <cell r="G42" t="str">
            <v>Mississippi</v>
          </cell>
        </row>
        <row r="43">
          <cell r="C43" t="str">
            <v>Deer Creek, MS</v>
          </cell>
          <cell r="D43" t="str">
            <v>GWO</v>
          </cell>
          <cell r="E43" t="str">
            <v>GWO - Greenwood, MS</v>
          </cell>
          <cell r="F43">
            <v>0</v>
          </cell>
          <cell r="G43" t="str">
            <v>Mississippi</v>
          </cell>
        </row>
        <row r="44">
          <cell r="C44" t="str">
            <v>Dekalb, MS</v>
          </cell>
          <cell r="D44" t="str">
            <v>MEI</v>
          </cell>
          <cell r="E44" t="str">
            <v>MEI - Meridian, MS</v>
          </cell>
          <cell r="F44">
            <v>0</v>
          </cell>
          <cell r="G44" t="str">
            <v>Mississippi</v>
          </cell>
        </row>
        <row r="45">
          <cell r="C45" t="str">
            <v>Gville, Greenwd-Grenada, MS</v>
          </cell>
          <cell r="D45" t="str">
            <v>GWO</v>
          </cell>
          <cell r="E45" t="str">
            <v>GWO - Greenwood, MS</v>
          </cell>
          <cell r="F45">
            <v>1730</v>
          </cell>
          <cell r="G45" t="str">
            <v>Mississippi</v>
          </cell>
        </row>
        <row r="46">
          <cell r="C46" t="str">
            <v>TGP Holcomb, MS</v>
          </cell>
          <cell r="D46" t="str">
            <v>GWO</v>
          </cell>
          <cell r="E46" t="str">
            <v>GWO - Greenwood, MS</v>
          </cell>
          <cell r="F46">
            <v>0</v>
          </cell>
          <cell r="G46" t="str">
            <v>Mississippi</v>
          </cell>
        </row>
        <row r="47">
          <cell r="C47" t="str">
            <v>Jackson Area, MS</v>
          </cell>
          <cell r="D47" t="str">
            <v>JAN</v>
          </cell>
          <cell r="E47" t="str">
            <v>JAN - Jackson, MS</v>
          </cell>
          <cell r="F47">
            <v>7387</v>
          </cell>
          <cell r="G47" t="str">
            <v>Mississippi</v>
          </cell>
        </row>
        <row r="48">
          <cell r="C48" t="str">
            <v>Kosciusko Area, MS</v>
          </cell>
          <cell r="D48" t="str">
            <v>GWO</v>
          </cell>
          <cell r="E48" t="str">
            <v>GWO - Greenwood, MS</v>
          </cell>
          <cell r="F48">
            <v>350</v>
          </cell>
          <cell r="G48" t="str">
            <v>Mississippi</v>
          </cell>
        </row>
        <row r="49">
          <cell r="C49" t="str">
            <v>Kosciusko, MS</v>
          </cell>
          <cell r="D49" t="str">
            <v>GWO</v>
          </cell>
          <cell r="E49" t="str">
            <v>GWO - Greenwood, MS</v>
          </cell>
          <cell r="F49">
            <v>150</v>
          </cell>
          <cell r="G49" t="str">
            <v>Mississippi</v>
          </cell>
        </row>
        <row r="50">
          <cell r="C50" t="str">
            <v>Lucedale, MS</v>
          </cell>
          <cell r="D50" t="str">
            <v>ASD</v>
          </cell>
          <cell r="E50" t="str">
            <v>ASD - Slidell, LA</v>
          </cell>
          <cell r="F50">
            <v>0</v>
          </cell>
          <cell r="G50" t="str">
            <v>Mississippi</v>
          </cell>
        </row>
        <row r="51">
          <cell r="C51" t="str">
            <v>Macon, MS</v>
          </cell>
          <cell r="D51" t="str">
            <v>GTR</v>
          </cell>
          <cell r="E51" t="str">
            <v>GTR - Columbus, MS</v>
          </cell>
          <cell r="F51">
            <v>0</v>
          </cell>
          <cell r="G51" t="str">
            <v>Mississippi</v>
          </cell>
        </row>
        <row r="52">
          <cell r="C52" t="str">
            <v>Meridian, MS</v>
          </cell>
          <cell r="D52" t="str">
            <v>MEI</v>
          </cell>
          <cell r="E52" t="str">
            <v>MEI - Meridian, MS</v>
          </cell>
          <cell r="F52">
            <v>2074</v>
          </cell>
          <cell r="G52" t="str">
            <v>Mississippi</v>
          </cell>
        </row>
        <row r="53">
          <cell r="C53" t="str">
            <v>Natchez, MS</v>
          </cell>
          <cell r="D53" t="str">
            <v>HEZ</v>
          </cell>
          <cell r="E53" t="str">
            <v>HEZ - Natchez, MS</v>
          </cell>
          <cell r="F53">
            <v>480</v>
          </cell>
          <cell r="G53" t="str">
            <v>Mississippi</v>
          </cell>
        </row>
        <row r="54">
          <cell r="C54" t="str">
            <v>North Central Gas Dist., MS</v>
          </cell>
          <cell r="D54" t="str">
            <v>GTR</v>
          </cell>
          <cell r="E54" t="str">
            <v>GTR - Columbus, MS</v>
          </cell>
          <cell r="F54">
            <v>705</v>
          </cell>
          <cell r="G54" t="str">
            <v>Mississippi</v>
          </cell>
        </row>
        <row r="55">
          <cell r="C55" t="str">
            <v>NorthWest, MS</v>
          </cell>
          <cell r="D55" t="str">
            <v>MEM</v>
          </cell>
          <cell r="E55" t="str">
            <v>MEM - Memphis(Southaven), MS</v>
          </cell>
          <cell r="F55">
            <v>1903</v>
          </cell>
          <cell r="G55" t="str">
            <v>Mississippi</v>
          </cell>
        </row>
        <row r="56">
          <cell r="C56" t="str">
            <v>Roxie, MS</v>
          </cell>
          <cell r="D56" t="str">
            <v>HEZ</v>
          </cell>
          <cell r="E56" t="str">
            <v>HEZ - Natchez, MS</v>
          </cell>
          <cell r="F56">
            <v>0</v>
          </cell>
          <cell r="G56" t="str">
            <v>Mississippi</v>
          </cell>
        </row>
        <row r="57">
          <cell r="C57" t="str">
            <v>Starkville, MS</v>
          </cell>
          <cell r="D57" t="str">
            <v>GTR</v>
          </cell>
          <cell r="E57" t="str">
            <v>GTR - Columbus, MS</v>
          </cell>
          <cell r="F57">
            <v>970</v>
          </cell>
          <cell r="G57" t="str">
            <v>Mississippi</v>
          </cell>
        </row>
        <row r="58">
          <cell r="C58" t="str">
            <v>Tetco Excl Maben Amory, MS</v>
          </cell>
          <cell r="D58" t="str">
            <v>JAN</v>
          </cell>
          <cell r="E58" t="str">
            <v>JAN - Jackson, MS</v>
          </cell>
          <cell r="F58">
            <v>0</v>
          </cell>
          <cell r="G58" t="str">
            <v>Mississippi</v>
          </cell>
        </row>
        <row r="59">
          <cell r="C59" t="str">
            <v>U.S.N.A.S., MS</v>
          </cell>
          <cell r="D59" t="str">
            <v>MEI</v>
          </cell>
          <cell r="E59" t="str">
            <v>MEI - Meridian, MS</v>
          </cell>
          <cell r="F59">
            <v>0</v>
          </cell>
          <cell r="G59" t="str">
            <v>Mississippi</v>
          </cell>
        </row>
        <row r="60">
          <cell r="C60" t="str">
            <v>Williamsville, MS</v>
          </cell>
          <cell r="D60" t="str">
            <v>GWO</v>
          </cell>
          <cell r="E60" t="str">
            <v>GWO - Greenwood, MS</v>
          </cell>
          <cell r="F60">
            <v>0</v>
          </cell>
          <cell r="G60" t="str">
            <v>Mississippi</v>
          </cell>
        </row>
        <row r="61">
          <cell r="C61" t="str">
            <v>Blacksburg, VA</v>
          </cell>
          <cell r="D61" t="str">
            <v>BCB</v>
          </cell>
          <cell r="E61" t="str">
            <v>BCB - Blacksburg, VA</v>
          </cell>
          <cell r="F61">
            <v>0</v>
          </cell>
          <cell r="G61" t="str">
            <v>Kentucky Mid-States</v>
          </cell>
        </row>
        <row r="62">
          <cell r="C62" t="str">
            <v>Bristol Abingdon, TN VA</v>
          </cell>
          <cell r="D62" t="str">
            <v>TRI</v>
          </cell>
          <cell r="E62" t="str">
            <v>TRI - Tri-City Airport, TN</v>
          </cell>
          <cell r="F62">
            <v>0</v>
          </cell>
          <cell r="G62" t="str">
            <v>Kentucky Mid-States</v>
          </cell>
        </row>
        <row r="63">
          <cell r="C63" t="str">
            <v>Columbia Franklin Mboro, TN</v>
          </cell>
          <cell r="D63" t="str">
            <v>BNA</v>
          </cell>
          <cell r="E63" t="str">
            <v>BNA - Nashville, TN</v>
          </cell>
          <cell r="F63">
            <v>0</v>
          </cell>
          <cell r="G63" t="str">
            <v>Kentucky Mid-States</v>
          </cell>
        </row>
        <row r="64">
          <cell r="C64" t="str">
            <v>Greeneville, TN</v>
          </cell>
          <cell r="D64" t="str">
            <v>TRI</v>
          </cell>
          <cell r="E64" t="str">
            <v>TRI - Tri-City Airport, TN</v>
          </cell>
          <cell r="F64">
            <v>0</v>
          </cell>
          <cell r="G64" t="str">
            <v>Kentucky Mid-States</v>
          </cell>
        </row>
        <row r="65">
          <cell r="C65" t="str">
            <v>Johnson City, TN</v>
          </cell>
          <cell r="D65" t="str">
            <v>TRI</v>
          </cell>
          <cell r="E65" t="str">
            <v>TRI - Tri-City Airport, TN</v>
          </cell>
          <cell r="F65">
            <v>0</v>
          </cell>
          <cell r="G65" t="str">
            <v>Kentucky Mid-States</v>
          </cell>
        </row>
        <row r="66">
          <cell r="C66" t="str">
            <v>Kingsport, TN</v>
          </cell>
          <cell r="D66" t="str">
            <v>TRI</v>
          </cell>
          <cell r="E66" t="str">
            <v>TRI - Tri-City Airport, TN</v>
          </cell>
          <cell r="F66">
            <v>0</v>
          </cell>
          <cell r="G66" t="str">
            <v>Kentucky Mid-States</v>
          </cell>
        </row>
        <row r="67">
          <cell r="C67" t="str">
            <v>Marion, VA</v>
          </cell>
          <cell r="D67" t="str">
            <v>BCB</v>
          </cell>
          <cell r="E67" t="str">
            <v>BCB - Blacksburg, VA</v>
          </cell>
          <cell r="F67">
            <v>0</v>
          </cell>
          <cell r="G67" t="str">
            <v>Kentucky Mid-States</v>
          </cell>
        </row>
        <row r="68">
          <cell r="C68" t="str">
            <v>Maryville, TN</v>
          </cell>
          <cell r="D68" t="str">
            <v>TYS</v>
          </cell>
          <cell r="E68" t="str">
            <v>TYS - Knoxville (McGhee Tyson), TN</v>
          </cell>
          <cell r="F68">
            <v>0</v>
          </cell>
          <cell r="G68" t="str">
            <v>Kentucky Mid-States</v>
          </cell>
        </row>
        <row r="69">
          <cell r="C69" t="str">
            <v>Morristown, TN</v>
          </cell>
          <cell r="D69" t="str">
            <v>TRI</v>
          </cell>
          <cell r="E69" t="str">
            <v>TRI - Tri-City Airport, TN</v>
          </cell>
          <cell r="F69">
            <v>0</v>
          </cell>
          <cell r="G69" t="str">
            <v>Kentucky Mid-States</v>
          </cell>
        </row>
        <row r="70">
          <cell r="C70" t="str">
            <v>Pulaski Dublin, VA</v>
          </cell>
          <cell r="D70" t="str">
            <v>BCB</v>
          </cell>
          <cell r="E70" t="str">
            <v>BCB - Blacksburg, VA</v>
          </cell>
          <cell r="F70">
            <v>0</v>
          </cell>
          <cell r="G70" t="str">
            <v>Kentucky Mid-States</v>
          </cell>
        </row>
        <row r="71">
          <cell r="C71" t="str">
            <v>Radford, VA</v>
          </cell>
          <cell r="D71" t="str">
            <v>BCB</v>
          </cell>
          <cell r="E71" t="str">
            <v>BCB - Blacksburg, VA</v>
          </cell>
          <cell r="F71">
            <v>0</v>
          </cell>
          <cell r="G71" t="str">
            <v>Kentucky Mid-States</v>
          </cell>
        </row>
        <row r="72">
          <cell r="C72" t="str">
            <v>Shelbyville, TN</v>
          </cell>
          <cell r="D72" t="str">
            <v>BNA</v>
          </cell>
          <cell r="E72" t="str">
            <v>BNA - Nashville, TN</v>
          </cell>
          <cell r="F72">
            <v>0</v>
          </cell>
          <cell r="G72" t="str">
            <v>Kentucky Mid-States</v>
          </cell>
        </row>
        <row r="73">
          <cell r="C73" t="str">
            <v>Union City, TN</v>
          </cell>
          <cell r="D73" t="str">
            <v>DYR</v>
          </cell>
          <cell r="E73" t="str">
            <v>DYR - Dyersburg, TN</v>
          </cell>
          <cell r="F73">
            <v>0</v>
          </cell>
          <cell r="G73" t="str">
            <v>Kentucky Mid-States</v>
          </cell>
        </row>
        <row r="74">
          <cell r="C74" t="str">
            <v>Wythville, VA</v>
          </cell>
          <cell r="D74" t="str">
            <v>BCB</v>
          </cell>
          <cell r="E74" t="str">
            <v>BCB - Blacksburg, VA</v>
          </cell>
          <cell r="F74">
            <v>0</v>
          </cell>
          <cell r="G74" t="str">
            <v>Kentucky Mid-States</v>
          </cell>
        </row>
        <row r="75">
          <cell r="C75" t="str">
            <v>LGS-Acadian</v>
          </cell>
          <cell r="D75" t="str">
            <v>MSY</v>
          </cell>
          <cell r="E75" t="str">
            <v>MSY - New Orleans, LA</v>
          </cell>
          <cell r="F75">
            <v>0</v>
          </cell>
          <cell r="G75" t="str">
            <v>Louisiana</v>
          </cell>
        </row>
        <row r="76">
          <cell r="C76" t="str">
            <v>LGS-American Midstream-Ferriday</v>
          </cell>
          <cell r="D76" t="str">
            <v>HEZ</v>
          </cell>
          <cell r="E76" t="str">
            <v>HEZ - Natchez, MS</v>
          </cell>
          <cell r="F76">
            <v>0</v>
          </cell>
          <cell r="G76" t="str">
            <v>Louisiana</v>
          </cell>
        </row>
        <row r="77">
          <cell r="C77" t="str">
            <v>LGS-American Midstream-NonFerriday</v>
          </cell>
          <cell r="D77" t="str">
            <v>AEX</v>
          </cell>
          <cell r="E77" t="str">
            <v>AEX - Pineville, LA</v>
          </cell>
          <cell r="F77">
            <v>0</v>
          </cell>
          <cell r="G77" t="str">
            <v>Louisiana</v>
          </cell>
        </row>
        <row r="78">
          <cell r="C78" t="str">
            <v>LGS-GulfSouth Area 1</v>
          </cell>
          <cell r="D78" t="str">
            <v>ASD</v>
          </cell>
          <cell r="E78" t="str">
            <v>ASD - Slidell, LA</v>
          </cell>
          <cell r="F78">
            <v>0</v>
          </cell>
          <cell r="G78" t="str">
            <v>Louisiana</v>
          </cell>
        </row>
        <row r="79">
          <cell r="C79" t="str">
            <v>LGS-GulfSouth Area 2</v>
          </cell>
          <cell r="D79" t="str">
            <v>ASD</v>
          </cell>
          <cell r="E79" t="str">
            <v>ASD - Slidell, LA</v>
          </cell>
          <cell r="F79">
            <v>0</v>
          </cell>
          <cell r="G79" t="str">
            <v>Louisiana</v>
          </cell>
        </row>
        <row r="80">
          <cell r="C80" t="str">
            <v>LGS-GulfSouth Area 3</v>
          </cell>
          <cell r="D80" t="str">
            <v>MSY</v>
          </cell>
          <cell r="E80" t="str">
            <v>MSY - New Orleans, LA</v>
          </cell>
          <cell r="F80">
            <v>0</v>
          </cell>
          <cell r="G80" t="str">
            <v>Louisiana</v>
          </cell>
        </row>
        <row r="81">
          <cell r="C81" t="str">
            <v>LGS-GulfSouth Area 4</v>
          </cell>
          <cell r="D81" t="str">
            <v>ASD</v>
          </cell>
          <cell r="E81" t="str">
            <v>ASD - Slidell, LA</v>
          </cell>
          <cell r="F81">
            <v>0</v>
          </cell>
          <cell r="G81" t="str">
            <v>Louisiana</v>
          </cell>
        </row>
        <row r="82">
          <cell r="C82" t="str">
            <v>LGS-GulfSouth Area 7</v>
          </cell>
          <cell r="D82" t="str">
            <v>MLU</v>
          </cell>
          <cell r="E82" t="str">
            <v>MLU - Monroe, LA</v>
          </cell>
          <cell r="F82">
            <v>0</v>
          </cell>
          <cell r="G82" t="str">
            <v>Louisiana</v>
          </cell>
        </row>
        <row r="83">
          <cell r="C83" t="str">
            <v>LGS-Monroe</v>
          </cell>
          <cell r="D83" t="str">
            <v>MLU</v>
          </cell>
          <cell r="E83" t="str">
            <v>MLU - Monroe, LA</v>
          </cell>
          <cell r="F83">
            <v>0</v>
          </cell>
          <cell r="G83" t="str">
            <v>Louisiana</v>
          </cell>
        </row>
        <row r="84">
          <cell r="C84" t="str">
            <v>LGS-SONAT</v>
          </cell>
          <cell r="D84" t="str">
            <v>MSY</v>
          </cell>
          <cell r="E84" t="str">
            <v>MSY - New Orleans, LA</v>
          </cell>
          <cell r="F84">
            <v>0</v>
          </cell>
          <cell r="G84" t="str">
            <v>Louisiana</v>
          </cell>
        </row>
        <row r="85">
          <cell r="C85" t="str">
            <v>LGS-Tennessee</v>
          </cell>
          <cell r="D85" t="str">
            <v>MLU</v>
          </cell>
          <cell r="E85" t="str">
            <v>MLU - Monroe, LA</v>
          </cell>
          <cell r="F85">
            <v>0</v>
          </cell>
          <cell r="G85" t="str">
            <v>Louisiana</v>
          </cell>
        </row>
        <row r="86">
          <cell r="C86" t="str">
            <v>LGS-Texas Gas</v>
          </cell>
          <cell r="D86" t="str">
            <v>MLU</v>
          </cell>
          <cell r="E86" t="str">
            <v>MLU - Monroe, LA</v>
          </cell>
          <cell r="F86">
            <v>0</v>
          </cell>
          <cell r="G86" t="str">
            <v>Louisiana</v>
          </cell>
        </row>
        <row r="87">
          <cell r="C87" t="str">
            <v>LGS-TLGP</v>
          </cell>
          <cell r="D87" t="str">
            <v>MSY</v>
          </cell>
          <cell r="E87" t="str">
            <v>MSY - New Orleans, LA</v>
          </cell>
          <cell r="F87">
            <v>0</v>
          </cell>
          <cell r="G87" t="str">
            <v>Louisiana</v>
          </cell>
        </row>
        <row r="88">
          <cell r="C88" t="str">
            <v>LGS-Trunkline</v>
          </cell>
          <cell r="D88" t="str">
            <v>MLU</v>
          </cell>
          <cell r="E88" t="str">
            <v>MLU - Monroe, LA</v>
          </cell>
          <cell r="F88">
            <v>0</v>
          </cell>
          <cell r="G88" t="str">
            <v>Louisiana</v>
          </cell>
        </row>
        <row r="89">
          <cell r="C89" t="str">
            <v>TransLA-Acadian</v>
          </cell>
          <cell r="D89" t="str">
            <v>MSY</v>
          </cell>
          <cell r="E89" t="str">
            <v>MSY - New Orleans, LA</v>
          </cell>
          <cell r="F89">
            <v>0</v>
          </cell>
          <cell r="G89" t="str">
            <v>Louisiana</v>
          </cell>
        </row>
        <row r="90">
          <cell r="C90" t="str">
            <v>TransLA-CrossTex</v>
          </cell>
          <cell r="D90" t="str">
            <v>LFT</v>
          </cell>
          <cell r="E90" t="str">
            <v>LFT - Lafayette, LA</v>
          </cell>
          <cell r="F90">
            <v>0</v>
          </cell>
          <cell r="G90" t="str">
            <v>Louisiana</v>
          </cell>
        </row>
        <row r="91">
          <cell r="C91" t="str">
            <v>TransLA-American Midstream</v>
          </cell>
          <cell r="D91" t="str">
            <v>AEX</v>
          </cell>
          <cell r="E91" t="str">
            <v>AEX - Pineville, LA</v>
          </cell>
          <cell r="F91">
            <v>0</v>
          </cell>
          <cell r="G91" t="str">
            <v>Louisiana</v>
          </cell>
        </row>
        <row r="92">
          <cell r="C92" t="str">
            <v>TransLA-GulfSouth-noMany</v>
          </cell>
          <cell r="D92" t="str">
            <v>LFT</v>
          </cell>
          <cell r="E92" t="str">
            <v>LFT - Lafayette, LA</v>
          </cell>
          <cell r="F92">
            <v>0</v>
          </cell>
          <cell r="G92" t="str">
            <v>Louisiana</v>
          </cell>
        </row>
        <row r="93">
          <cell r="C93" t="str">
            <v>TransLA-GulfSouth-Sabine</v>
          </cell>
          <cell r="D93" t="str">
            <v>POE</v>
          </cell>
          <cell r="E93" t="str">
            <v>POE - Natchitoches, LA</v>
          </cell>
          <cell r="F93">
            <v>0</v>
          </cell>
          <cell r="G93" t="str">
            <v>Louisiana</v>
          </cell>
        </row>
        <row r="94">
          <cell r="C94" t="str">
            <v>TransLA-SONAT</v>
          </cell>
          <cell r="D94" t="str">
            <v>LFT</v>
          </cell>
          <cell r="E94" t="str">
            <v>LFT - Lafayette, LA</v>
          </cell>
          <cell r="F94">
            <v>0</v>
          </cell>
          <cell r="G94" t="str">
            <v>Louisiana</v>
          </cell>
        </row>
        <row r="95">
          <cell r="C95" t="str">
            <v>TransLA-Tennessee-ZoneL</v>
          </cell>
          <cell r="D95" t="str">
            <v>AEX</v>
          </cell>
          <cell r="E95" t="str">
            <v>AEX - Pineville, LA</v>
          </cell>
          <cell r="F95">
            <v>0</v>
          </cell>
          <cell r="G95" t="str">
            <v>Louisiana</v>
          </cell>
        </row>
        <row r="96">
          <cell r="C96" t="str">
            <v>TransLA-Tennessee-ZoneO</v>
          </cell>
          <cell r="D96" t="str">
            <v>POE</v>
          </cell>
          <cell r="E96" t="str">
            <v>POE - Natchitoches, LA</v>
          </cell>
          <cell r="F96">
            <v>0</v>
          </cell>
          <cell r="G96" t="str">
            <v>Louisiana</v>
          </cell>
        </row>
        <row r="97">
          <cell r="C97" t="str">
            <v>TransLA-TexasGas</v>
          </cell>
          <cell r="D97" t="str">
            <v>MSY</v>
          </cell>
          <cell r="E97" t="str">
            <v>MSY - New Orleans, LA</v>
          </cell>
          <cell r="F97">
            <v>0</v>
          </cell>
          <cell r="G97" t="str">
            <v>Louisiana</v>
          </cell>
        </row>
        <row r="98">
          <cell r="C98" t="str">
            <v>Mid-Tex</v>
          </cell>
          <cell r="D98" t="str">
            <v>DFW</v>
          </cell>
          <cell r="E98" t="str">
            <v>DFW - Dallas, TX</v>
          </cell>
          <cell r="F98">
            <v>0</v>
          </cell>
          <cell r="G98" t="str">
            <v>Mid-Tex</v>
          </cell>
        </row>
        <row r="99">
          <cell r="C99" t="str">
            <v>Amarillo - Excl Sales, TX</v>
          </cell>
          <cell r="D99" t="str">
            <v>AMA</v>
          </cell>
          <cell r="E99" t="str">
            <v>AMA - Amarillo, TX</v>
          </cell>
          <cell r="F99">
            <v>0</v>
          </cell>
          <cell r="G99" t="str">
            <v>West Texas</v>
          </cell>
        </row>
        <row r="100">
          <cell r="C100" t="str">
            <v>Amarillo - Incl Sales, TX</v>
          </cell>
          <cell r="D100" t="str">
            <v>AMA</v>
          </cell>
          <cell r="E100" t="str">
            <v>AMA - Amarillo, TX</v>
          </cell>
          <cell r="F100">
            <v>0</v>
          </cell>
          <cell r="G100" t="str">
            <v>West Texas</v>
          </cell>
        </row>
        <row r="101">
          <cell r="C101" t="str">
            <v>City of Odessa, TX</v>
          </cell>
          <cell r="D101" t="str">
            <v>MAF</v>
          </cell>
          <cell r="E101" t="str">
            <v>MAF - Midland, TX</v>
          </cell>
          <cell r="F101">
            <v>0</v>
          </cell>
          <cell r="G101" t="str">
            <v>West Texas</v>
          </cell>
        </row>
        <row r="102">
          <cell r="C102" t="str">
            <v>El Paso Non Tri Non Bushland, TX</v>
          </cell>
          <cell r="D102" t="str">
            <v>LBB</v>
          </cell>
          <cell r="E102" t="str">
            <v>LBB - Lubbock, TX</v>
          </cell>
          <cell r="F102">
            <v>0</v>
          </cell>
          <cell r="G102" t="str">
            <v>West Texas</v>
          </cell>
        </row>
        <row r="103">
          <cell r="C103" t="str">
            <v>Lubbock - Excl Sales, TX</v>
          </cell>
          <cell r="D103" t="str">
            <v>LBB</v>
          </cell>
          <cell r="E103" t="str">
            <v>LBB - Lubbock, TX</v>
          </cell>
          <cell r="F103">
            <v>0</v>
          </cell>
          <cell r="G103" t="str">
            <v>West Texas</v>
          </cell>
        </row>
        <row r="104">
          <cell r="C104" t="str">
            <v>Lubbock - Incl Sales, TX</v>
          </cell>
          <cell r="D104" t="str">
            <v>LBB</v>
          </cell>
          <cell r="E104" t="str">
            <v>LBB - Lubbock, TX</v>
          </cell>
          <cell r="F104">
            <v>0</v>
          </cell>
          <cell r="G104" t="str">
            <v>West Texas</v>
          </cell>
        </row>
        <row r="105">
          <cell r="C105" t="str">
            <v>Midland, TX</v>
          </cell>
          <cell r="D105" t="str">
            <v>MAF</v>
          </cell>
          <cell r="E105" t="str">
            <v>MAF - Midland, TX</v>
          </cell>
          <cell r="F105">
            <v>0</v>
          </cell>
          <cell r="G105" t="str">
            <v>West Texas</v>
          </cell>
        </row>
        <row r="106">
          <cell r="C106" t="str">
            <v>Northern Natural, TX</v>
          </cell>
          <cell r="D106" t="str">
            <v>LBB</v>
          </cell>
          <cell r="E106" t="str">
            <v>LBB - Lubbock, TX</v>
          </cell>
          <cell r="F106">
            <v>0</v>
          </cell>
          <cell r="G106" t="str">
            <v>West Texas</v>
          </cell>
        </row>
        <row r="107">
          <cell r="C107" t="str">
            <v>NT Amarillo, TX</v>
          </cell>
          <cell r="D107" t="str">
            <v>AMA</v>
          </cell>
          <cell r="E107" t="str">
            <v>AMA - Amarillo, TX</v>
          </cell>
          <cell r="F107">
            <v>0</v>
          </cell>
          <cell r="G107" t="str">
            <v>West Texas</v>
          </cell>
        </row>
        <row r="108">
          <cell r="C108" t="str">
            <v>NT Lubbock, TX</v>
          </cell>
          <cell r="D108" t="str">
            <v>LBB</v>
          </cell>
          <cell r="E108" t="str">
            <v>LBB - Lubbock, TX</v>
          </cell>
          <cell r="F108">
            <v>0</v>
          </cell>
          <cell r="G108" t="str">
            <v>West Texas</v>
          </cell>
        </row>
        <row r="109">
          <cell r="C109" t="str">
            <v>NT Midland, TX</v>
          </cell>
          <cell r="D109" t="str">
            <v>MAF</v>
          </cell>
          <cell r="E109" t="str">
            <v>MAF - Midland, TX</v>
          </cell>
          <cell r="F109">
            <v>0</v>
          </cell>
          <cell r="G109" t="str">
            <v>West Texas</v>
          </cell>
        </row>
        <row r="110">
          <cell r="C110" t="str">
            <v>Triangle - Excl Sales, TX</v>
          </cell>
          <cell r="D110" t="str">
            <v>LBB</v>
          </cell>
          <cell r="E110" t="str">
            <v>LBB - Lubbock, TX</v>
          </cell>
          <cell r="F110">
            <v>0</v>
          </cell>
          <cell r="G110" t="str">
            <v>West Texas</v>
          </cell>
        </row>
        <row r="111">
          <cell r="C111" t="str">
            <v>Triangle - Incl Sales, TX</v>
          </cell>
          <cell r="D111" t="str">
            <v>LBB</v>
          </cell>
          <cell r="E111" t="str">
            <v>LBB - Lubbock, TX</v>
          </cell>
          <cell r="F111">
            <v>0</v>
          </cell>
          <cell r="G111" t="str">
            <v>West Texas</v>
          </cell>
        </row>
      </sheetData>
      <sheetData sheetId="5"/>
      <sheetData sheetId="6"/>
      <sheetData sheetId="7" refreshError="1"/>
      <sheetData sheetId="8" refreshError="1"/>
      <sheetData sheetId="9"/>
      <sheetData sheetId="10">
        <row r="3">
          <cell r="AG3" t="str">
            <v>ANR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4"/>
  <sheetViews>
    <sheetView workbookViewId="0">
      <selection activeCell="A28" sqref="A28"/>
    </sheetView>
  </sheetViews>
  <sheetFormatPr defaultRowHeight="12.75" x14ac:dyDescent="0.2"/>
  <cols>
    <col min="2" max="2" width="11.7109375" customWidth="1"/>
    <col min="3" max="3" width="11.42578125" customWidth="1"/>
    <col min="4" max="4" width="10.5703125" customWidth="1"/>
    <col min="5" max="5" width="10.42578125" customWidth="1"/>
    <col min="6" max="6" width="10.85546875" customWidth="1"/>
    <col min="7" max="7" width="10.42578125" customWidth="1"/>
    <col min="8" max="8" width="10.5703125" customWidth="1"/>
    <col min="9" max="9" width="11.42578125" customWidth="1"/>
  </cols>
  <sheetData>
    <row r="1" spans="1:9" ht="20.25" x14ac:dyDescent="0.3">
      <c r="B1" s="260" t="s">
        <v>17</v>
      </c>
      <c r="C1" s="260"/>
      <c r="D1" s="260"/>
      <c r="E1" s="260"/>
      <c r="F1" s="260"/>
      <c r="G1" s="260"/>
      <c r="H1" s="260"/>
      <c r="I1" s="260"/>
    </row>
    <row r="2" spans="1:9" ht="20.25" x14ac:dyDescent="0.3">
      <c r="B2" s="260"/>
      <c r="C2" s="260"/>
      <c r="D2" s="260"/>
      <c r="E2" s="260"/>
      <c r="F2" s="260"/>
      <c r="G2" s="260"/>
      <c r="H2" s="260"/>
      <c r="I2" s="260"/>
    </row>
    <row r="4" spans="1:9" x14ac:dyDescent="0.2">
      <c r="B4" s="1"/>
      <c r="C4" s="28"/>
      <c r="D4" s="27"/>
      <c r="E4" s="28"/>
      <c r="F4" s="28"/>
      <c r="G4" s="28"/>
      <c r="H4" s="28"/>
      <c r="I4" s="3">
        <f>SUM(C4:H4)</f>
        <v>0</v>
      </c>
    </row>
    <row r="5" spans="1:9" x14ac:dyDescent="0.2">
      <c r="B5" s="26">
        <v>36982</v>
      </c>
      <c r="C5" s="29">
        <v>37012</v>
      </c>
      <c r="D5" s="21">
        <v>37043</v>
      </c>
      <c r="E5" s="29">
        <v>37073</v>
      </c>
      <c r="F5" s="29">
        <v>37104</v>
      </c>
      <c r="G5" s="29">
        <v>37135</v>
      </c>
      <c r="H5" s="29">
        <v>37165</v>
      </c>
      <c r="I5" s="10" t="s">
        <v>4</v>
      </c>
    </row>
    <row r="6" spans="1:9" x14ac:dyDescent="0.2">
      <c r="B6" s="4" t="s">
        <v>2</v>
      </c>
      <c r="C6" s="30" t="s">
        <v>2</v>
      </c>
      <c r="D6" s="5" t="s">
        <v>2</v>
      </c>
      <c r="E6" s="30" t="s">
        <v>2</v>
      </c>
      <c r="F6" s="30" t="s">
        <v>2</v>
      </c>
      <c r="G6" s="30" t="s">
        <v>2</v>
      </c>
      <c r="H6" s="30" t="s">
        <v>2</v>
      </c>
      <c r="I6" s="6" t="s">
        <v>2</v>
      </c>
    </row>
    <row r="7" spans="1:9" x14ac:dyDescent="0.2">
      <c r="B7" s="19" t="e">
        <f>#REF!</f>
        <v>#REF!</v>
      </c>
      <c r="C7" s="19" t="e">
        <f>#REF!</f>
        <v>#REF!</v>
      </c>
      <c r="D7" s="19" t="e">
        <f>#REF!</f>
        <v>#REF!</v>
      </c>
      <c r="E7" s="19" t="e">
        <f>#REF!</f>
        <v>#REF!</v>
      </c>
      <c r="F7" s="19" t="e">
        <f>#REF!</f>
        <v>#REF!</v>
      </c>
      <c r="G7" s="19" t="e">
        <f>#REF!</f>
        <v>#REF!</v>
      </c>
      <c r="H7" s="19" t="e">
        <f>#REF!</f>
        <v>#REF!</v>
      </c>
      <c r="I7" s="19" t="e">
        <f>H7+G7+F7+E7+D7+C7+B7</f>
        <v>#REF!</v>
      </c>
    </row>
    <row r="9" spans="1:9" x14ac:dyDescent="0.2">
      <c r="A9" t="s">
        <v>15</v>
      </c>
    </row>
    <row r="10" spans="1:9" x14ac:dyDescent="0.2">
      <c r="A10" t="s">
        <v>39</v>
      </c>
      <c r="B10" s="23">
        <f>C18</f>
        <v>0</v>
      </c>
      <c r="C10" s="23">
        <f>C19</f>
        <v>0</v>
      </c>
      <c r="D10" s="23">
        <f>C20</f>
        <v>0</v>
      </c>
      <c r="E10" s="23">
        <f>C21</f>
        <v>0</v>
      </c>
      <c r="F10" s="23">
        <f>C22</f>
        <v>0</v>
      </c>
      <c r="G10" s="23">
        <f>C23</f>
        <v>0</v>
      </c>
      <c r="H10" s="23">
        <f>C24</f>
        <v>0</v>
      </c>
    </row>
    <row r="11" spans="1:9" x14ac:dyDescent="0.2">
      <c r="B11" s="24" t="e">
        <f t="shared" ref="B11:H11" si="0">B10*B7</f>
        <v>#REF!</v>
      </c>
      <c r="C11" s="24" t="e">
        <f t="shared" si="0"/>
        <v>#REF!</v>
      </c>
      <c r="D11" s="24" t="e">
        <f t="shared" si="0"/>
        <v>#REF!</v>
      </c>
      <c r="E11" s="24" t="e">
        <f t="shared" si="0"/>
        <v>#REF!</v>
      </c>
      <c r="F11" s="24" t="e">
        <f t="shared" si="0"/>
        <v>#REF!</v>
      </c>
      <c r="G11" s="24" t="e">
        <f t="shared" si="0"/>
        <v>#REF!</v>
      </c>
      <c r="H11" s="24" t="e">
        <f t="shared" si="0"/>
        <v>#REF!</v>
      </c>
      <c r="I11" s="24" t="e">
        <f>H11+G11+F11+E11+D11+C11+B11</f>
        <v>#REF!</v>
      </c>
    </row>
    <row r="12" spans="1:9" x14ac:dyDescent="0.2">
      <c r="I12" s="25" t="e">
        <f>I11/I7</f>
        <v>#REF!</v>
      </c>
    </row>
    <row r="17" spans="1:3" x14ac:dyDescent="0.2">
      <c r="A17" t="s">
        <v>15</v>
      </c>
    </row>
    <row r="18" spans="1:3" x14ac:dyDescent="0.2">
      <c r="A18" t="s">
        <v>16</v>
      </c>
      <c r="B18" s="22">
        <v>37347</v>
      </c>
      <c r="C18" s="23"/>
    </row>
    <row r="19" spans="1:3" x14ac:dyDescent="0.2">
      <c r="B19" s="22">
        <v>37377</v>
      </c>
      <c r="C19" s="23"/>
    </row>
    <row r="20" spans="1:3" x14ac:dyDescent="0.2">
      <c r="B20" s="22">
        <v>37408</v>
      </c>
      <c r="C20" s="23"/>
    </row>
    <row r="21" spans="1:3" x14ac:dyDescent="0.2">
      <c r="B21" s="22">
        <v>37438</v>
      </c>
      <c r="C21" s="23"/>
    </row>
    <row r="22" spans="1:3" x14ac:dyDescent="0.2">
      <c r="B22" s="22">
        <v>37469</v>
      </c>
      <c r="C22" s="23"/>
    </row>
    <row r="23" spans="1:3" x14ac:dyDescent="0.2">
      <c r="B23" s="22">
        <v>37500</v>
      </c>
      <c r="C23" s="23"/>
    </row>
    <row r="24" spans="1:3" x14ac:dyDescent="0.2">
      <c r="B24" s="22">
        <v>37530</v>
      </c>
      <c r="C24" s="23"/>
    </row>
  </sheetData>
  <mergeCells count="2">
    <mergeCell ref="B1:I1"/>
    <mergeCell ref="B2:I2"/>
  </mergeCells>
  <phoneticPr fontId="12" type="noConversion"/>
  <printOptions horizontalCentered="1"/>
  <pageMargins left="0.25" right="0.2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T30"/>
  <sheetViews>
    <sheetView workbookViewId="0">
      <selection activeCell="A28" sqref="A28"/>
    </sheetView>
  </sheetViews>
  <sheetFormatPr defaultRowHeight="12.75" x14ac:dyDescent="0.2"/>
  <cols>
    <col min="1" max="1" width="8.140625" customWidth="1"/>
    <col min="2" max="2" width="7" customWidth="1"/>
    <col min="3" max="7" width="9.42578125" bestFit="1" customWidth="1"/>
    <col min="8" max="8" width="9.28515625" customWidth="1"/>
    <col min="9" max="9" width="11" customWidth="1"/>
    <col min="10" max="10" width="10.42578125" bestFit="1" customWidth="1"/>
    <col min="11" max="11" width="7" customWidth="1"/>
    <col min="12" max="12" width="7.42578125" customWidth="1"/>
    <col min="13" max="13" width="10.42578125" bestFit="1" customWidth="1"/>
    <col min="15" max="15" width="10.42578125" customWidth="1"/>
    <col min="16" max="16" width="10.140625" customWidth="1"/>
    <col min="17" max="18" width="9.7109375" bestFit="1" customWidth="1"/>
    <col min="19" max="19" width="9.42578125" bestFit="1" customWidth="1"/>
  </cols>
  <sheetData>
    <row r="1" spans="1:20" x14ac:dyDescent="0.2">
      <c r="B1" s="261" t="s">
        <v>40</v>
      </c>
      <c r="C1" s="261"/>
      <c r="D1" s="261"/>
      <c r="E1" s="261"/>
      <c r="F1" s="261"/>
      <c r="G1" s="261"/>
      <c r="H1" s="261"/>
      <c r="I1" s="261"/>
    </row>
    <row r="2" spans="1:20" x14ac:dyDescent="0.2">
      <c r="K2" t="s">
        <v>10</v>
      </c>
    </row>
    <row r="3" spans="1:20" x14ac:dyDescent="0.2">
      <c r="M3" t="s">
        <v>29</v>
      </c>
      <c r="P3" t="s">
        <v>34</v>
      </c>
      <c r="Q3" t="s">
        <v>36</v>
      </c>
      <c r="T3" t="s">
        <v>41</v>
      </c>
    </row>
    <row r="4" spans="1:20" x14ac:dyDescent="0.2">
      <c r="A4" s="31" t="s">
        <v>21</v>
      </c>
      <c r="C4" s="32">
        <v>37347</v>
      </c>
      <c r="D4" s="32">
        <v>37377</v>
      </c>
      <c r="E4" s="32">
        <v>37408</v>
      </c>
      <c r="F4" s="32">
        <v>37438</v>
      </c>
      <c r="G4" s="32">
        <v>37469</v>
      </c>
      <c r="H4" s="32">
        <v>37500</v>
      </c>
      <c r="I4" s="32">
        <v>37530</v>
      </c>
      <c r="M4" s="34" t="s">
        <v>30</v>
      </c>
      <c r="N4" t="s">
        <v>31</v>
      </c>
      <c r="O4" t="s">
        <v>32</v>
      </c>
      <c r="P4" t="s">
        <v>35</v>
      </c>
      <c r="Q4" t="s">
        <v>37</v>
      </c>
      <c r="T4" t="s">
        <v>14</v>
      </c>
    </row>
    <row r="5" spans="1:20" x14ac:dyDescent="0.2">
      <c r="A5" t="s">
        <v>18</v>
      </c>
      <c r="C5" s="33">
        <f>C21</f>
        <v>1000500</v>
      </c>
      <c r="D5" s="33">
        <f t="shared" ref="D5:I5" si="0">D21</f>
        <v>635500</v>
      </c>
      <c r="E5" s="33">
        <f t="shared" si="0"/>
        <v>816000</v>
      </c>
      <c r="F5" s="33">
        <f t="shared" si="0"/>
        <v>1010500</v>
      </c>
      <c r="G5" s="33">
        <f t="shared" si="0"/>
        <v>455700</v>
      </c>
      <c r="H5" s="33">
        <f t="shared" si="0"/>
        <v>558000</v>
      </c>
      <c r="I5" s="33">
        <f t="shared" si="0"/>
        <v>644800</v>
      </c>
      <c r="J5" s="33">
        <f>SUM(C5:I5)</f>
        <v>5121000</v>
      </c>
      <c r="K5" t="s">
        <v>21</v>
      </c>
      <c r="L5" t="s">
        <v>11</v>
      </c>
      <c r="M5" s="33">
        <v>250000</v>
      </c>
      <c r="N5" s="33">
        <f>2530-208944-55000</f>
        <v>-261414</v>
      </c>
      <c r="O5" s="33">
        <f>M5+N5</f>
        <v>-11414</v>
      </c>
      <c r="P5" s="33">
        <v>1365000</v>
      </c>
      <c r="Q5" s="33">
        <f>P5-O5</f>
        <v>1376414</v>
      </c>
      <c r="R5" s="33">
        <f>Q5/7</f>
        <v>196630.57142857142</v>
      </c>
      <c r="S5" s="33">
        <v>4000000</v>
      </c>
      <c r="T5" s="35">
        <f>P5/P$8</f>
        <v>0.35536232638662901</v>
      </c>
    </row>
    <row r="6" spans="1:20" x14ac:dyDescent="0.2">
      <c r="A6" t="s">
        <v>19</v>
      </c>
      <c r="C6" s="33">
        <f>Q8/7</f>
        <v>524963.71428571432</v>
      </c>
      <c r="D6" s="33">
        <f t="shared" ref="D6:I6" si="1">$Q8/7</f>
        <v>524963.71428571432</v>
      </c>
      <c r="E6" s="33">
        <f t="shared" si="1"/>
        <v>524963.71428571432</v>
      </c>
      <c r="F6" s="33">
        <f t="shared" si="1"/>
        <v>524963.71428571432</v>
      </c>
      <c r="G6" s="33">
        <f t="shared" si="1"/>
        <v>524963.71428571432</v>
      </c>
      <c r="H6" s="33">
        <f t="shared" si="1"/>
        <v>524963.71428571432</v>
      </c>
      <c r="I6" s="33">
        <f t="shared" si="1"/>
        <v>524963.71428571432</v>
      </c>
      <c r="J6" s="33">
        <f>SUM(C6:I6)</f>
        <v>3674746.0000000009</v>
      </c>
      <c r="L6" t="s">
        <v>12</v>
      </c>
      <c r="M6" s="33">
        <v>300000</v>
      </c>
      <c r="N6" s="33">
        <f>13683-190129</f>
        <v>-176446</v>
      </c>
      <c r="O6" s="33">
        <f>M6+N6</f>
        <v>123554</v>
      </c>
      <c r="P6" s="33">
        <v>2100000</v>
      </c>
      <c r="Q6" s="33">
        <f>P6-O6</f>
        <v>1976446</v>
      </c>
      <c r="R6" s="33">
        <f>Q6/7</f>
        <v>282349.42857142858</v>
      </c>
      <c r="T6" s="35">
        <f>P6/P$8</f>
        <v>0.54671127136404463</v>
      </c>
    </row>
    <row r="7" spans="1:20" x14ac:dyDescent="0.2">
      <c r="A7" t="s">
        <v>20</v>
      </c>
      <c r="C7" s="33">
        <f>4000000/7</f>
        <v>571428.57142857148</v>
      </c>
      <c r="D7" s="33">
        <f t="shared" ref="D7:I7" si="2">4000000/7</f>
        <v>571428.57142857148</v>
      </c>
      <c r="E7" s="33">
        <f t="shared" si="2"/>
        <v>571428.57142857148</v>
      </c>
      <c r="F7" s="33">
        <f t="shared" si="2"/>
        <v>571428.57142857148</v>
      </c>
      <c r="G7" s="33">
        <f t="shared" si="2"/>
        <v>571428.57142857148</v>
      </c>
      <c r="H7" s="33">
        <f t="shared" si="2"/>
        <v>571428.57142857148</v>
      </c>
      <c r="I7" s="33">
        <f t="shared" si="2"/>
        <v>571428.57142857148</v>
      </c>
      <c r="J7" s="33">
        <f>SUM(C7:I7)</f>
        <v>4000000</v>
      </c>
      <c r="L7" t="s">
        <v>13</v>
      </c>
      <c r="M7" s="33">
        <v>200000</v>
      </c>
      <c r="N7" s="33">
        <f>6154-41890-110000</f>
        <v>-145736</v>
      </c>
      <c r="O7" s="33">
        <f>M7+N7</f>
        <v>54264</v>
      </c>
      <c r="P7" s="33">
        <v>376150</v>
      </c>
      <c r="Q7" s="33">
        <f>P7-O7</f>
        <v>321886</v>
      </c>
      <c r="R7" s="33">
        <f>Q7/7</f>
        <v>45983.714285714283</v>
      </c>
      <c r="T7" s="35">
        <f>P7/P$8</f>
        <v>9.7926402249326375E-2</v>
      </c>
    </row>
    <row r="8" spans="1:20" x14ac:dyDescent="0.2">
      <c r="A8" t="s">
        <v>38</v>
      </c>
      <c r="C8" s="33">
        <f>SUM(C5:C7)</f>
        <v>2096892.2857142859</v>
      </c>
      <c r="D8" s="33">
        <f t="shared" ref="D8:I8" si="3">SUM(D5:D7)</f>
        <v>1731892.2857142859</v>
      </c>
      <c r="E8" s="33">
        <f t="shared" si="3"/>
        <v>1912392.2857142859</v>
      </c>
      <c r="F8" s="33">
        <f t="shared" si="3"/>
        <v>2106892.2857142859</v>
      </c>
      <c r="G8" s="33">
        <f t="shared" si="3"/>
        <v>1552092.2857142859</v>
      </c>
      <c r="H8" s="33">
        <f t="shared" si="3"/>
        <v>1654392.2857142859</v>
      </c>
      <c r="I8" s="33">
        <f t="shared" si="3"/>
        <v>1741192.2857142859</v>
      </c>
      <c r="J8" s="33">
        <f>SUM(C8:I8)</f>
        <v>12795746</v>
      </c>
      <c r="P8" s="11">
        <f>SUM(P5:P7)</f>
        <v>3841150</v>
      </c>
      <c r="Q8" s="33">
        <f>SUM(Q5:Q7)</f>
        <v>3674746</v>
      </c>
    </row>
    <row r="9" spans="1:20" x14ac:dyDescent="0.2">
      <c r="C9" s="33">
        <f>ROUND(C8,-5)</f>
        <v>2100000</v>
      </c>
      <c r="D9" s="33">
        <f t="shared" ref="D9:I9" si="4">ROUND(D8,-5)</f>
        <v>1700000</v>
      </c>
      <c r="E9" s="33">
        <f t="shared" si="4"/>
        <v>1900000</v>
      </c>
      <c r="F9" s="33">
        <f t="shared" si="4"/>
        <v>2100000</v>
      </c>
      <c r="G9" s="33">
        <f t="shared" si="4"/>
        <v>1600000</v>
      </c>
      <c r="H9" s="33">
        <f t="shared" si="4"/>
        <v>1700000</v>
      </c>
      <c r="I9" s="33">
        <f t="shared" si="4"/>
        <v>1700000</v>
      </c>
      <c r="J9" s="33">
        <f>SUM(C9:I9)</f>
        <v>12800000</v>
      </c>
      <c r="K9" t="s">
        <v>27</v>
      </c>
      <c r="L9" t="s">
        <v>33</v>
      </c>
      <c r="M9" s="33">
        <v>9493000</v>
      </c>
      <c r="N9" s="33">
        <f>86903-222733</f>
        <v>-135830</v>
      </c>
      <c r="O9" s="33">
        <f>M9+N9</f>
        <v>9357170</v>
      </c>
      <c r="P9" s="33">
        <v>10764000</v>
      </c>
      <c r="Q9" s="33">
        <f>P9-O9</f>
        <v>1406830</v>
      </c>
    </row>
    <row r="10" spans="1:20" x14ac:dyDescent="0.2">
      <c r="A10" s="31" t="s">
        <v>21</v>
      </c>
      <c r="C10" s="33"/>
      <c r="D10" s="33"/>
      <c r="E10" s="33"/>
      <c r="F10" s="33"/>
      <c r="G10" s="33"/>
      <c r="H10" s="33"/>
      <c r="I10" s="33"/>
      <c r="J10" s="33"/>
    </row>
    <row r="11" spans="1:20" x14ac:dyDescent="0.2">
      <c r="A11" t="s">
        <v>41</v>
      </c>
      <c r="B11" t="s">
        <v>0</v>
      </c>
      <c r="C11" s="33">
        <f>30*6000</f>
        <v>180000</v>
      </c>
      <c r="D11" s="33">
        <f t="shared" ref="D11:I11" si="5">31*6000</f>
        <v>186000</v>
      </c>
      <c r="E11" s="33">
        <f>30*6000</f>
        <v>180000</v>
      </c>
      <c r="F11" s="33">
        <f t="shared" si="5"/>
        <v>186000</v>
      </c>
      <c r="G11" s="33">
        <f t="shared" si="5"/>
        <v>186000</v>
      </c>
      <c r="H11" s="33">
        <f t="shared" si="5"/>
        <v>186000</v>
      </c>
      <c r="I11" s="33">
        <f t="shared" si="5"/>
        <v>186000</v>
      </c>
      <c r="J11" s="33">
        <f>SUM(C11:I11)</f>
        <v>1290000</v>
      </c>
      <c r="K11" t="s">
        <v>28</v>
      </c>
      <c r="L11">
        <v>2383</v>
      </c>
      <c r="M11" s="33">
        <v>412549</v>
      </c>
      <c r="N11" s="33">
        <f>7533-8420+8342-5454+465-20773-10000</f>
        <v>-28307</v>
      </c>
      <c r="O11" s="33">
        <f>M11+N11</f>
        <v>384242</v>
      </c>
      <c r="P11" s="33">
        <f>903859-150000</f>
        <v>753859</v>
      </c>
      <c r="Q11" s="33">
        <f>P11-O11</f>
        <v>369617</v>
      </c>
    </row>
    <row r="12" spans="1:20" x14ac:dyDescent="0.2">
      <c r="A12" t="s">
        <v>41</v>
      </c>
      <c r="B12" t="s">
        <v>5</v>
      </c>
      <c r="C12" s="33">
        <f>30*9500</f>
        <v>285000</v>
      </c>
      <c r="D12" s="33">
        <f>31*9500</f>
        <v>294500</v>
      </c>
      <c r="E12" s="33">
        <f>30*9500</f>
        <v>285000</v>
      </c>
      <c r="F12" s="33">
        <f>31*9500</f>
        <v>294500</v>
      </c>
      <c r="G12" s="33">
        <f>31*9500</f>
        <v>294500</v>
      </c>
      <c r="H12" s="33">
        <f>30*9500</f>
        <v>285000</v>
      </c>
      <c r="I12" s="33">
        <f>31*9500</f>
        <v>294500</v>
      </c>
      <c r="J12" s="33">
        <f>SUM(C12:I12)</f>
        <v>2033000</v>
      </c>
      <c r="L12">
        <v>2384</v>
      </c>
      <c r="M12" s="33">
        <v>283235</v>
      </c>
      <c r="N12" s="33">
        <f>30543-9368+10000</f>
        <v>31175</v>
      </c>
      <c r="O12" s="33">
        <f>M12+N12</f>
        <v>314410</v>
      </c>
      <c r="P12" s="33">
        <v>409679</v>
      </c>
      <c r="Q12" s="33">
        <f>P12-O12</f>
        <v>95269</v>
      </c>
    </row>
    <row r="13" spans="1:20" x14ac:dyDescent="0.2">
      <c r="A13" t="s">
        <v>41</v>
      </c>
      <c r="B13" t="s">
        <v>6</v>
      </c>
      <c r="C13" s="33">
        <f>30*1600</f>
        <v>48000</v>
      </c>
      <c r="D13" s="33">
        <f>31*1500</f>
        <v>46500</v>
      </c>
      <c r="E13" s="33">
        <f>30*1600</f>
        <v>48000</v>
      </c>
      <c r="F13" s="33">
        <f>31*1500</f>
        <v>46500</v>
      </c>
      <c r="G13" s="33">
        <f>31*1500</f>
        <v>46500</v>
      </c>
      <c r="H13" s="33">
        <f>30*1600</f>
        <v>48000</v>
      </c>
      <c r="I13" s="33">
        <f>31*1500</f>
        <v>46500</v>
      </c>
      <c r="J13" s="33">
        <f>SUM(C13:I13)</f>
        <v>330000</v>
      </c>
      <c r="L13">
        <v>34006</v>
      </c>
      <c r="M13" s="33">
        <v>106516</v>
      </c>
      <c r="N13" s="33">
        <f>14492-5110+5000</f>
        <v>14382</v>
      </c>
      <c r="O13" s="33">
        <f>M13+N13</f>
        <v>120898</v>
      </c>
      <c r="P13" s="33">
        <v>150000</v>
      </c>
      <c r="Q13" s="33">
        <f>P13-O13</f>
        <v>29102</v>
      </c>
    </row>
    <row r="14" spans="1:20" x14ac:dyDescent="0.2">
      <c r="C14" s="33">
        <f t="shared" ref="C14:J14" si="6">SUM(C11:C13)</f>
        <v>513000</v>
      </c>
      <c r="D14" s="33">
        <f t="shared" si="6"/>
        <v>527000</v>
      </c>
      <c r="E14" s="33">
        <f t="shared" si="6"/>
        <v>513000</v>
      </c>
      <c r="F14" s="33">
        <f t="shared" si="6"/>
        <v>527000</v>
      </c>
      <c r="G14" s="33">
        <f t="shared" si="6"/>
        <v>527000</v>
      </c>
      <c r="H14" s="33">
        <f t="shared" si="6"/>
        <v>519000</v>
      </c>
      <c r="I14" s="33">
        <f t="shared" si="6"/>
        <v>527000</v>
      </c>
      <c r="J14" s="11">
        <f t="shared" si="6"/>
        <v>3653000</v>
      </c>
      <c r="Q14" s="33">
        <f>SUM(Q11:Q13)</f>
        <v>493988</v>
      </c>
    </row>
    <row r="15" spans="1:20" x14ac:dyDescent="0.2">
      <c r="C15" s="33">
        <f>C6</f>
        <v>524963.71428571432</v>
      </c>
      <c r="D15" s="33">
        <f t="shared" ref="D15:I15" si="7">D6</f>
        <v>524963.71428571432</v>
      </c>
      <c r="E15" s="33">
        <f t="shared" si="7"/>
        <v>524963.71428571432</v>
      </c>
      <c r="F15" s="33">
        <f t="shared" si="7"/>
        <v>524963.71428571432</v>
      </c>
      <c r="G15" s="33">
        <f t="shared" si="7"/>
        <v>524963.71428571432</v>
      </c>
      <c r="H15" s="33">
        <f t="shared" si="7"/>
        <v>524963.71428571432</v>
      </c>
      <c r="I15" s="33">
        <f t="shared" si="7"/>
        <v>524963.71428571432</v>
      </c>
      <c r="J15" s="33">
        <f>SUM(C15:I15)</f>
        <v>3674746.0000000009</v>
      </c>
    </row>
    <row r="16" spans="1:20" x14ac:dyDescent="0.2">
      <c r="A16" s="31" t="s">
        <v>21</v>
      </c>
      <c r="K16" s="31" t="s">
        <v>21</v>
      </c>
    </row>
    <row r="17" spans="1:19" x14ac:dyDescent="0.2">
      <c r="A17" t="s">
        <v>18</v>
      </c>
      <c r="K17" t="s">
        <v>18</v>
      </c>
      <c r="M17" s="32">
        <v>37347</v>
      </c>
      <c r="N17" s="32">
        <v>37377</v>
      </c>
      <c r="O17" s="32">
        <v>37408</v>
      </c>
      <c r="P17" s="32">
        <v>37438</v>
      </c>
      <c r="Q17" s="32">
        <v>37469</v>
      </c>
      <c r="R17" s="32">
        <v>37500</v>
      </c>
      <c r="S17" s="32">
        <v>37530</v>
      </c>
    </row>
    <row r="18" spans="1:19" x14ac:dyDescent="0.2">
      <c r="B18" t="s">
        <v>0</v>
      </c>
      <c r="C18" s="33">
        <f>122772+228</f>
        <v>123000</v>
      </c>
      <c r="D18" s="33">
        <f>61464+536</f>
        <v>62000</v>
      </c>
      <c r="E18" s="33">
        <f>22993+1007</f>
        <v>24000</v>
      </c>
      <c r="F18" s="33">
        <f>54984+816</f>
        <v>55800</v>
      </c>
      <c r="G18" s="33">
        <f>31487-487</f>
        <v>31000</v>
      </c>
      <c r="H18" s="33">
        <f>27818-818</f>
        <v>27000</v>
      </c>
      <c r="I18" s="33">
        <f>20091+4709</f>
        <v>24800</v>
      </c>
      <c r="J18" s="33"/>
      <c r="L18" t="s">
        <v>0</v>
      </c>
      <c r="M18" s="33">
        <f>C18+($Q5/7)</f>
        <v>319630.57142857142</v>
      </c>
      <c r="N18" s="33">
        <f t="shared" ref="N18:S20" si="8">D18+($Q5/7)</f>
        <v>258630.57142857142</v>
      </c>
      <c r="O18" s="33">
        <f t="shared" si="8"/>
        <v>220630.57142857142</v>
      </c>
      <c r="P18" s="33">
        <f t="shared" si="8"/>
        <v>252430.57142857142</v>
      </c>
      <c r="Q18" s="33">
        <f t="shared" si="8"/>
        <v>227630.57142857142</v>
      </c>
      <c r="R18" s="33">
        <f t="shared" si="8"/>
        <v>223630.57142857142</v>
      </c>
      <c r="S18" s="33">
        <f t="shared" si="8"/>
        <v>221430.57142857142</v>
      </c>
    </row>
    <row r="19" spans="1:19" x14ac:dyDescent="0.2">
      <c r="B19" t="s">
        <v>5</v>
      </c>
      <c r="C19" s="33">
        <f>774515+5485</f>
        <v>780000</v>
      </c>
      <c r="D19" s="33">
        <f>522913+4087</f>
        <v>527000</v>
      </c>
      <c r="E19" s="33">
        <f>775035-22990+12955</f>
        <v>765000</v>
      </c>
      <c r="F19" s="33">
        <f>901042+13371+15587</f>
        <v>930000</v>
      </c>
      <c r="G19" s="33">
        <f>393226+18+9756</f>
        <v>403000</v>
      </c>
      <c r="H19" s="33">
        <f>503275+329+6396</f>
        <v>510000</v>
      </c>
      <c r="I19" s="33">
        <f>557061+1701-762</f>
        <v>558000</v>
      </c>
      <c r="J19" s="33"/>
      <c r="L19" t="s">
        <v>5</v>
      </c>
      <c r="M19" s="33">
        <f>C19+($Q6/7)</f>
        <v>1062349.4285714286</v>
      </c>
      <c r="N19" s="33">
        <f t="shared" si="8"/>
        <v>809349.42857142864</v>
      </c>
      <c r="O19" s="33">
        <f t="shared" si="8"/>
        <v>1047349.4285714286</v>
      </c>
      <c r="P19" s="33">
        <f t="shared" si="8"/>
        <v>1212349.4285714286</v>
      </c>
      <c r="Q19" s="33">
        <f t="shared" si="8"/>
        <v>685349.42857142864</v>
      </c>
      <c r="R19" s="33">
        <f t="shared" si="8"/>
        <v>792349.42857142864</v>
      </c>
      <c r="S19" s="33">
        <f t="shared" si="8"/>
        <v>840349.42857142864</v>
      </c>
    </row>
    <row r="20" spans="1:19" x14ac:dyDescent="0.2">
      <c r="B20" t="s">
        <v>6</v>
      </c>
      <c r="C20" s="33">
        <f>96696+804</f>
        <v>97500</v>
      </c>
      <c r="D20" s="33">
        <f>44228+2272</f>
        <v>46500</v>
      </c>
      <c r="E20" s="33">
        <f>25566+1434</f>
        <v>27000</v>
      </c>
      <c r="F20" s="33">
        <f>24620+80</f>
        <v>24700</v>
      </c>
      <c r="G20" s="33">
        <f>19476+2224</f>
        <v>21700</v>
      </c>
      <c r="H20" s="33">
        <f>19593+1407</f>
        <v>21000</v>
      </c>
      <c r="I20" s="33">
        <f>61682+318</f>
        <v>62000</v>
      </c>
      <c r="J20" s="33"/>
      <c r="L20" t="s">
        <v>6</v>
      </c>
      <c r="M20" s="33">
        <f>C20+($Q7/7)</f>
        <v>143483.71428571429</v>
      </c>
      <c r="N20" s="33">
        <f t="shared" si="8"/>
        <v>92483.71428571429</v>
      </c>
      <c r="O20" s="33">
        <f t="shared" si="8"/>
        <v>72983.71428571429</v>
      </c>
      <c r="P20" s="33">
        <f t="shared" si="8"/>
        <v>70683.71428571429</v>
      </c>
      <c r="Q20" s="33">
        <f t="shared" si="8"/>
        <v>67683.71428571429</v>
      </c>
      <c r="R20" s="33">
        <f t="shared" si="8"/>
        <v>66983.71428571429</v>
      </c>
      <c r="S20" s="33">
        <f t="shared" si="8"/>
        <v>107983.71428571429</v>
      </c>
    </row>
    <row r="21" spans="1:19" x14ac:dyDescent="0.2">
      <c r="C21" s="33">
        <f>SUM(C18:C20)</f>
        <v>1000500</v>
      </c>
      <c r="D21" s="33">
        <f t="shared" ref="D21:I21" si="9">SUM(D18:D20)</f>
        <v>635500</v>
      </c>
      <c r="E21" s="33">
        <f t="shared" si="9"/>
        <v>816000</v>
      </c>
      <c r="F21" s="33">
        <f t="shared" si="9"/>
        <v>1010500</v>
      </c>
      <c r="G21" s="33">
        <f t="shared" si="9"/>
        <v>455700</v>
      </c>
      <c r="H21" s="33">
        <f t="shared" si="9"/>
        <v>558000</v>
      </c>
      <c r="I21" s="33">
        <f t="shared" si="9"/>
        <v>644800</v>
      </c>
      <c r="J21" s="33">
        <f>SUM(C21:I21)</f>
        <v>5121000</v>
      </c>
      <c r="M21" s="33">
        <f>SUM(M18:M20)</f>
        <v>1525463.7142857143</v>
      </c>
      <c r="N21" s="33">
        <f t="shared" ref="N21:S21" si="10">SUM(N18:N20)</f>
        <v>1160463.7142857143</v>
      </c>
      <c r="O21" s="33">
        <f t="shared" si="10"/>
        <v>1340963.7142857143</v>
      </c>
      <c r="P21" s="33">
        <f t="shared" si="10"/>
        <v>1535463.7142857143</v>
      </c>
      <c r="Q21" s="33">
        <f t="shared" si="10"/>
        <v>980663.71428571432</v>
      </c>
      <c r="R21" s="33">
        <f t="shared" si="10"/>
        <v>1082963.7142857143</v>
      </c>
      <c r="S21" s="33">
        <f t="shared" si="10"/>
        <v>1169763.7142857143</v>
      </c>
    </row>
    <row r="22" spans="1:19" x14ac:dyDescent="0.2">
      <c r="A22" s="261" t="s">
        <v>20</v>
      </c>
      <c r="B22" s="261"/>
      <c r="C22" s="33">
        <f>19000*30</f>
        <v>570000</v>
      </c>
      <c r="D22" s="33">
        <f>18500*31</f>
        <v>573500</v>
      </c>
      <c r="E22" s="33">
        <f>19000*30</f>
        <v>570000</v>
      </c>
      <c r="F22" s="33">
        <f>18500*31</f>
        <v>573500</v>
      </c>
      <c r="G22" s="33">
        <f>18500*31</f>
        <v>573500</v>
      </c>
      <c r="H22" s="33">
        <f>19000*30</f>
        <v>570000</v>
      </c>
      <c r="I22" s="33">
        <f>18500*31</f>
        <v>573500</v>
      </c>
      <c r="J22" s="33">
        <f>SUM(C22:I22)</f>
        <v>4004000</v>
      </c>
    </row>
    <row r="23" spans="1:19" x14ac:dyDescent="0.2">
      <c r="A23" s="31" t="s">
        <v>22</v>
      </c>
      <c r="C23" s="33"/>
      <c r="D23" s="33"/>
      <c r="E23" s="33"/>
      <c r="F23" s="33"/>
      <c r="G23" s="33"/>
      <c r="H23" s="33"/>
      <c r="I23" s="33"/>
      <c r="J23" s="33"/>
      <c r="K23" s="31" t="s">
        <v>22</v>
      </c>
    </row>
    <row r="24" spans="1:19" x14ac:dyDescent="0.2">
      <c r="A24" t="s">
        <v>18</v>
      </c>
      <c r="C24" s="33"/>
      <c r="D24" s="33"/>
      <c r="E24" s="33"/>
      <c r="F24" s="33"/>
      <c r="G24" s="33"/>
      <c r="H24" s="33"/>
      <c r="I24" s="33"/>
      <c r="J24" s="33"/>
      <c r="K24" t="s">
        <v>18</v>
      </c>
      <c r="M24" s="32">
        <v>37347</v>
      </c>
      <c r="N24" s="32">
        <v>37377</v>
      </c>
      <c r="O24" s="32">
        <v>37408</v>
      </c>
      <c r="P24" s="32">
        <v>37438</v>
      </c>
      <c r="Q24" s="32">
        <v>37469</v>
      </c>
      <c r="R24" s="32">
        <v>37500</v>
      </c>
      <c r="S24" s="32">
        <v>37530</v>
      </c>
    </row>
    <row r="25" spans="1:19" x14ac:dyDescent="0.2">
      <c r="B25" t="s">
        <v>24</v>
      </c>
      <c r="C25" s="33">
        <v>28929</v>
      </c>
      <c r="D25" s="33">
        <v>17708</v>
      </c>
      <c r="E25" s="33">
        <v>15893</v>
      </c>
      <c r="F25" s="33">
        <v>17369</v>
      </c>
      <c r="G25" s="33">
        <v>17730</v>
      </c>
      <c r="H25" s="33">
        <v>21390</v>
      </c>
      <c r="I25" s="33">
        <v>36569</v>
      </c>
      <c r="J25" s="33"/>
      <c r="L25" t="s">
        <v>24</v>
      </c>
      <c r="M25" s="33">
        <f>C25+(($Q11*0.33)/7)</f>
        <v>46353.801428571431</v>
      </c>
      <c r="N25" s="33">
        <f t="shared" ref="N25:S25" si="11">D25+(($Q11*0.33)/7)</f>
        <v>35132.801428571431</v>
      </c>
      <c r="O25" s="33">
        <f t="shared" si="11"/>
        <v>33317.801428571431</v>
      </c>
      <c r="P25" s="33">
        <f t="shared" si="11"/>
        <v>34793.801428571431</v>
      </c>
      <c r="Q25" s="33">
        <f t="shared" si="11"/>
        <v>35154.801428571431</v>
      </c>
      <c r="R25" s="33">
        <f t="shared" si="11"/>
        <v>38814.801428571431</v>
      </c>
      <c r="S25" s="33">
        <f t="shared" si="11"/>
        <v>53993.801428571431</v>
      </c>
    </row>
    <row r="26" spans="1:19" x14ac:dyDescent="0.2">
      <c r="B26" t="s">
        <v>26</v>
      </c>
      <c r="C26" s="33">
        <v>27248</v>
      </c>
      <c r="D26" s="33">
        <v>17606</v>
      </c>
      <c r="E26" s="33">
        <v>18358</v>
      </c>
      <c r="F26" s="33">
        <v>13536</v>
      </c>
      <c r="G26" s="33">
        <v>11998</v>
      </c>
      <c r="H26" s="33">
        <v>18884</v>
      </c>
      <c r="I26" s="33">
        <v>36711</v>
      </c>
      <c r="J26" s="33"/>
      <c r="L26" t="s">
        <v>26</v>
      </c>
      <c r="M26" s="33">
        <f>C26+(($Q11*0.33)/7)</f>
        <v>44672.801428571431</v>
      </c>
      <c r="N26" s="33">
        <f t="shared" ref="N26:S26" si="12">D26+(($Q11*0.33)/7)</f>
        <v>35030.801428571431</v>
      </c>
      <c r="O26" s="33">
        <f t="shared" si="12"/>
        <v>35782.801428571431</v>
      </c>
      <c r="P26" s="33">
        <f t="shared" si="12"/>
        <v>30960.801428571427</v>
      </c>
      <c r="Q26" s="33">
        <f t="shared" si="12"/>
        <v>29422.801428571427</v>
      </c>
      <c r="R26" s="33">
        <f t="shared" si="12"/>
        <v>36308.801428571431</v>
      </c>
      <c r="S26" s="33">
        <f t="shared" si="12"/>
        <v>54135.801428571431</v>
      </c>
    </row>
    <row r="27" spans="1:19" x14ac:dyDescent="0.2">
      <c r="B27" t="s">
        <v>25</v>
      </c>
      <c r="C27" s="33">
        <v>29640</v>
      </c>
      <c r="D27" s="33">
        <v>17537</v>
      </c>
      <c r="E27" s="33">
        <v>14677</v>
      </c>
      <c r="F27" s="33">
        <v>13140</v>
      </c>
      <c r="G27" s="33">
        <v>14113</v>
      </c>
      <c r="H27" s="33">
        <v>16399</v>
      </c>
      <c r="I27" s="33">
        <v>31932</v>
      </c>
      <c r="J27" s="33"/>
      <c r="L27" t="s">
        <v>25</v>
      </c>
      <c r="M27" s="33">
        <f>C27+(($Q11*0.33)/7)</f>
        <v>47064.801428571431</v>
      </c>
      <c r="N27" s="33">
        <f t="shared" ref="N27:S27" si="13">D27+(($Q11*0.33)/7)</f>
        <v>34961.801428571431</v>
      </c>
      <c r="O27" s="33">
        <f t="shared" si="13"/>
        <v>32101.801428571427</v>
      </c>
      <c r="P27" s="33">
        <f t="shared" si="13"/>
        <v>30564.801428571427</v>
      </c>
      <c r="Q27" s="33">
        <f t="shared" si="13"/>
        <v>31537.801428571427</v>
      </c>
      <c r="R27" s="33">
        <f t="shared" si="13"/>
        <v>33823.801428571431</v>
      </c>
      <c r="S27" s="33">
        <f t="shared" si="13"/>
        <v>49356.801428571431</v>
      </c>
    </row>
    <row r="28" spans="1:19" x14ac:dyDescent="0.2">
      <c r="B28" t="s">
        <v>23</v>
      </c>
      <c r="C28" s="33">
        <v>50532</v>
      </c>
      <c r="D28" s="33">
        <v>30321</v>
      </c>
      <c r="E28" s="33">
        <v>32277</v>
      </c>
      <c r="F28" s="33">
        <v>22858</v>
      </c>
      <c r="G28" s="33">
        <v>33369</v>
      </c>
      <c r="H28" s="33">
        <v>16506</v>
      </c>
      <c r="I28" s="33">
        <v>46384</v>
      </c>
      <c r="J28" s="33"/>
      <c r="L28" t="s">
        <v>23</v>
      </c>
      <c r="M28" s="33">
        <f>C28+($Q12/7)</f>
        <v>64141.857142857145</v>
      </c>
      <c r="N28" s="33">
        <f t="shared" ref="N28:S28" si="14">D28+($Q12/7)</f>
        <v>43930.857142857145</v>
      </c>
      <c r="O28" s="33">
        <f t="shared" si="14"/>
        <v>45886.857142857145</v>
      </c>
      <c r="P28" s="33">
        <f t="shared" si="14"/>
        <v>36467.857142857145</v>
      </c>
      <c r="Q28" s="33">
        <f t="shared" si="14"/>
        <v>46978.857142857145</v>
      </c>
      <c r="R28" s="33">
        <f t="shared" si="14"/>
        <v>30115.857142857145</v>
      </c>
      <c r="S28" s="33">
        <f t="shared" si="14"/>
        <v>59993.857142857145</v>
      </c>
    </row>
    <row r="29" spans="1:19" x14ac:dyDescent="0.2">
      <c r="B29" t="s">
        <v>9</v>
      </c>
      <c r="C29" s="33">
        <v>28349</v>
      </c>
      <c r="D29" s="33">
        <v>13825</v>
      </c>
      <c r="E29" s="33">
        <v>11833</v>
      </c>
      <c r="F29" s="33">
        <v>11862</v>
      </c>
      <c r="G29" s="33">
        <v>11649</v>
      </c>
      <c r="H29" s="33">
        <v>14945</v>
      </c>
      <c r="I29" s="33">
        <v>33694</v>
      </c>
      <c r="J29" s="33"/>
      <c r="L29" t="s">
        <v>9</v>
      </c>
      <c r="M29" s="33">
        <f>C29+($Q13)</f>
        <v>57451</v>
      </c>
      <c r="N29" s="33">
        <f t="shared" ref="N29:S29" si="15">D29+($Q13)</f>
        <v>42927</v>
      </c>
      <c r="O29" s="33">
        <f t="shared" si="15"/>
        <v>40935</v>
      </c>
      <c r="P29" s="33">
        <f t="shared" si="15"/>
        <v>40964</v>
      </c>
      <c r="Q29" s="33">
        <f t="shared" si="15"/>
        <v>40751</v>
      </c>
      <c r="R29" s="33">
        <f t="shared" si="15"/>
        <v>44047</v>
      </c>
      <c r="S29" s="33">
        <f t="shared" si="15"/>
        <v>62796</v>
      </c>
    </row>
    <row r="30" spans="1:19" x14ac:dyDescent="0.2">
      <c r="C30" s="33">
        <f t="shared" ref="C30:H30" si="16">SUM(C25:C29)</f>
        <v>164698</v>
      </c>
      <c r="D30" s="33">
        <f t="shared" si="16"/>
        <v>96997</v>
      </c>
      <c r="E30" s="33">
        <f t="shared" si="16"/>
        <v>93038</v>
      </c>
      <c r="F30" s="33">
        <f t="shared" si="16"/>
        <v>78765</v>
      </c>
      <c r="G30" s="33">
        <f t="shared" si="16"/>
        <v>88859</v>
      </c>
      <c r="H30" s="33">
        <f t="shared" si="16"/>
        <v>88124</v>
      </c>
      <c r="I30" s="33">
        <f>SUM(I25:I29)</f>
        <v>185290</v>
      </c>
      <c r="J30" s="33"/>
    </row>
  </sheetData>
  <mergeCells count="2">
    <mergeCell ref="B1:I1"/>
    <mergeCell ref="A22:B22"/>
  </mergeCells>
  <phoneticPr fontId="12" type="noConversion"/>
  <pageMargins left="0.25" right="0" top="0.75" bottom="1" header="0.5" footer="0.5"/>
  <pageSetup scale="7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W79"/>
  <sheetViews>
    <sheetView tabSelected="1" zoomScale="81" zoomScaleNormal="81" workbookViewId="0"/>
  </sheetViews>
  <sheetFormatPr defaultRowHeight="12.75" x14ac:dyDescent="0.2"/>
  <cols>
    <col min="1" max="1" width="9.7109375" customWidth="1"/>
    <col min="2" max="2" width="32.5703125" customWidth="1"/>
    <col min="3" max="3" width="12" style="58" customWidth="1"/>
    <col min="4" max="4" width="10.42578125" style="58" customWidth="1"/>
    <col min="5" max="5" width="12.5703125" style="58" customWidth="1"/>
    <col min="6" max="6" width="10" style="58" customWidth="1"/>
    <col min="7" max="7" width="13.5703125" style="11" customWidth="1"/>
    <col min="8" max="8" width="10.85546875" style="11" customWidth="1"/>
    <col min="9" max="9" width="12" style="11" customWidth="1"/>
    <col min="10" max="10" width="11" style="11" customWidth="1"/>
    <col min="11" max="11" width="11.42578125" style="11" customWidth="1"/>
    <col min="12" max="12" width="10.42578125" style="11" customWidth="1"/>
    <col min="13" max="13" width="13.140625" style="11" customWidth="1"/>
    <col min="14" max="14" width="8.7109375" style="11" bestFit="1" customWidth="1"/>
    <col min="15" max="15" width="11.7109375" style="11" customWidth="1"/>
    <col min="16" max="16" width="8.7109375" style="11" bestFit="1" customWidth="1"/>
    <col min="17" max="17" width="14" style="11" customWidth="1"/>
    <col min="19" max="19" width="11.42578125" customWidth="1"/>
    <col min="20" max="20" width="10.28515625" bestFit="1" customWidth="1"/>
    <col min="21" max="21" width="12.42578125" customWidth="1"/>
    <col min="22" max="22" width="11.42578125" customWidth="1"/>
    <col min="23" max="23" width="12.140625" bestFit="1" customWidth="1"/>
  </cols>
  <sheetData>
    <row r="1" spans="1:22" ht="18" x14ac:dyDescent="0.25">
      <c r="A1" s="221"/>
      <c r="B1" s="222"/>
    </row>
    <row r="3" spans="1:22" ht="18" x14ac:dyDescent="0.25">
      <c r="B3" s="227" t="s">
        <v>72</v>
      </c>
    </row>
    <row r="4" spans="1:22" ht="18" x14ac:dyDescent="0.25">
      <c r="A4" s="221"/>
      <c r="B4" s="228" t="s">
        <v>73</v>
      </c>
    </row>
    <row r="5" spans="1:22" ht="18" x14ac:dyDescent="0.25">
      <c r="B5" s="227" t="s">
        <v>180</v>
      </c>
      <c r="E5" s="59"/>
      <c r="F5" s="60"/>
    </row>
    <row r="6" spans="1:22" ht="18" x14ac:dyDescent="0.25">
      <c r="B6" s="227" t="s">
        <v>1</v>
      </c>
    </row>
    <row r="7" spans="1:22" ht="15.75" x14ac:dyDescent="0.25">
      <c r="B7" s="111"/>
      <c r="E7" s="61"/>
    </row>
    <row r="8" spans="1:22" ht="18" x14ac:dyDescent="0.25">
      <c r="B8" s="231">
        <v>42241</v>
      </c>
      <c r="D8" s="62"/>
      <c r="E8" s="63"/>
      <c r="F8" s="63"/>
      <c r="G8" s="37"/>
      <c r="H8" s="37"/>
      <c r="I8" s="37"/>
      <c r="J8" s="37"/>
    </row>
    <row r="9" spans="1:22" ht="15.75" x14ac:dyDescent="0.25">
      <c r="F9" s="252" t="s">
        <v>199</v>
      </c>
      <c r="H9" s="252" t="s">
        <v>199</v>
      </c>
      <c r="J9" s="252" t="s">
        <v>199</v>
      </c>
      <c r="L9" s="252" t="s">
        <v>199</v>
      </c>
      <c r="N9" s="251" t="s">
        <v>199</v>
      </c>
    </row>
    <row r="10" spans="1:22" ht="15.75" x14ac:dyDescent="0.25">
      <c r="B10" s="7" t="s">
        <v>7</v>
      </c>
      <c r="C10" s="64"/>
      <c r="D10" s="65">
        <v>30</v>
      </c>
      <c r="E10" s="66"/>
      <c r="F10" s="65">
        <v>31</v>
      </c>
      <c r="G10" s="15"/>
      <c r="H10" s="14">
        <v>30</v>
      </c>
      <c r="I10" s="15"/>
      <c r="J10" s="14">
        <v>31</v>
      </c>
      <c r="K10" s="15"/>
      <c r="L10" s="14">
        <v>31</v>
      </c>
      <c r="M10" s="15"/>
      <c r="N10" s="14">
        <v>30</v>
      </c>
      <c r="O10" s="15"/>
      <c r="P10" s="14">
        <v>31</v>
      </c>
      <c r="Q10" s="14">
        <v>214</v>
      </c>
    </row>
    <row r="11" spans="1:22" ht="18" x14ac:dyDescent="0.25">
      <c r="B11" s="8" t="s">
        <v>8</v>
      </c>
      <c r="C11" s="265">
        <v>42108</v>
      </c>
      <c r="D11" s="266"/>
      <c r="E11" s="267">
        <v>42125</v>
      </c>
      <c r="F11" s="266"/>
      <c r="G11" s="263">
        <v>42156</v>
      </c>
      <c r="H11" s="264"/>
      <c r="I11" s="263">
        <v>42186</v>
      </c>
      <c r="J11" s="264"/>
      <c r="K11" s="263">
        <v>42217</v>
      </c>
      <c r="L11" s="264"/>
      <c r="M11" s="263">
        <v>42248</v>
      </c>
      <c r="N11" s="264"/>
      <c r="O11" s="263">
        <v>42278</v>
      </c>
      <c r="P11" s="264"/>
      <c r="Q11" s="99" t="s">
        <v>156</v>
      </c>
    </row>
    <row r="12" spans="1:22" x14ac:dyDescent="0.2">
      <c r="B12" s="12"/>
      <c r="C12" s="100" t="s">
        <v>2</v>
      </c>
      <c r="D12" s="68" t="s">
        <v>3</v>
      </c>
      <c r="E12" s="82" t="s">
        <v>2</v>
      </c>
      <c r="F12" s="68" t="s">
        <v>3</v>
      </c>
      <c r="G12" s="69" t="s">
        <v>2</v>
      </c>
      <c r="H12" s="70" t="s">
        <v>3</v>
      </c>
      <c r="I12" s="69" t="s">
        <v>2</v>
      </c>
      <c r="J12" s="70" t="s">
        <v>3</v>
      </c>
      <c r="K12" s="69" t="s">
        <v>2</v>
      </c>
      <c r="L12" s="70" t="s">
        <v>3</v>
      </c>
      <c r="M12" s="69" t="s">
        <v>2</v>
      </c>
      <c r="N12" s="70" t="s">
        <v>3</v>
      </c>
      <c r="O12" s="69" t="s">
        <v>2</v>
      </c>
      <c r="P12" s="70" t="s">
        <v>3</v>
      </c>
      <c r="Q12" s="70" t="s">
        <v>4</v>
      </c>
    </row>
    <row r="13" spans="1:22" x14ac:dyDescent="0.2">
      <c r="B13" s="110"/>
      <c r="V13" s="17"/>
    </row>
    <row r="14" spans="1:22" x14ac:dyDescent="0.2">
      <c r="B14" s="101" t="s">
        <v>157</v>
      </c>
      <c r="C14" s="102">
        <f>D14*D10</f>
        <v>122940</v>
      </c>
      <c r="D14" s="223">
        <v>4098</v>
      </c>
      <c r="E14" s="102">
        <f>+F14*$F$10</f>
        <v>76849</v>
      </c>
      <c r="F14" s="223">
        <v>2479</v>
      </c>
      <c r="G14" s="102">
        <f>+H14*H10</f>
        <v>51840</v>
      </c>
      <c r="H14" s="223">
        <v>1728</v>
      </c>
      <c r="I14" s="102">
        <f>+J14*J10</f>
        <v>48546</v>
      </c>
      <c r="J14" s="223">
        <v>1566</v>
      </c>
      <c r="K14" s="102">
        <f>+L14*L10</f>
        <v>51956</v>
      </c>
      <c r="L14" s="223">
        <v>1676</v>
      </c>
      <c r="M14" s="102">
        <v>58357.884533085416</v>
      </c>
      <c r="N14" s="223">
        <v>1925</v>
      </c>
      <c r="O14" s="102">
        <v>115533.26734383259</v>
      </c>
      <c r="P14" s="223">
        <v>3673</v>
      </c>
      <c r="Q14" s="104">
        <f>+C14+E14+G14+I14+K14+M14+O14</f>
        <v>526022.15187691804</v>
      </c>
      <c r="U14" s="11"/>
    </row>
    <row r="15" spans="1:22" x14ac:dyDescent="0.2">
      <c r="D15" s="254"/>
      <c r="E15" s="254"/>
      <c r="F15" s="254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U15" s="20"/>
      <c r="V15" s="17"/>
    </row>
    <row r="16" spans="1:22" x14ac:dyDescent="0.2">
      <c r="B16" s="74" t="s">
        <v>188</v>
      </c>
      <c r="C16" s="80">
        <f>D16*D10</f>
        <v>117150</v>
      </c>
      <c r="D16" s="224">
        <v>3905</v>
      </c>
      <c r="E16" s="80">
        <f>+F16*F10</f>
        <v>117118</v>
      </c>
      <c r="F16" s="248">
        <v>3778</v>
      </c>
      <c r="G16" s="80">
        <f>+H16*H10</f>
        <v>107190</v>
      </c>
      <c r="H16" s="224">
        <v>3573</v>
      </c>
      <c r="I16" s="80">
        <f>+J16*J10</f>
        <v>119133</v>
      </c>
      <c r="J16" s="224">
        <v>3843</v>
      </c>
      <c r="K16" s="80">
        <f>+L16*L10</f>
        <v>132184</v>
      </c>
      <c r="L16" s="224">
        <v>4264</v>
      </c>
      <c r="M16" s="80">
        <f>+N16*N10</f>
        <v>117150</v>
      </c>
      <c r="N16" s="57">
        <v>3905</v>
      </c>
      <c r="O16" s="80">
        <f>+P16*P10</f>
        <v>117118</v>
      </c>
      <c r="P16" s="224">
        <v>3778</v>
      </c>
      <c r="Q16" s="256">
        <f>+C16+E16+G16+I16+K16+M16+O16</f>
        <v>827043</v>
      </c>
      <c r="U16" s="20"/>
      <c r="V16" s="17"/>
    </row>
    <row r="17" spans="1:23" x14ac:dyDescent="0.2">
      <c r="B17" s="74" t="s">
        <v>158</v>
      </c>
      <c r="C17" s="58">
        <v>53100</v>
      </c>
      <c r="D17" s="254">
        <f>D26/(1-$A$25)</f>
        <v>1770.1612903225807</v>
      </c>
      <c r="E17" s="254">
        <v>53103</v>
      </c>
      <c r="F17" s="254">
        <f>F26/(1-$A$25)</f>
        <v>1712.7016129032259</v>
      </c>
      <c r="G17" s="254">
        <f>+H17*H10</f>
        <v>53104.838709677424</v>
      </c>
      <c r="H17" s="254">
        <f>H26/(1-$A$25)</f>
        <v>1770.1612903225807</v>
      </c>
      <c r="I17" s="254">
        <f>+J17*J10</f>
        <v>53103</v>
      </c>
      <c r="J17" s="254">
        <v>1713</v>
      </c>
      <c r="K17" s="254">
        <f>+L17*L10</f>
        <v>53103</v>
      </c>
      <c r="L17" s="254">
        <v>1713</v>
      </c>
      <c r="M17" s="254">
        <f>+N17*N10</f>
        <v>53100</v>
      </c>
      <c r="N17" s="248">
        <v>1770</v>
      </c>
      <c r="O17" s="254">
        <f>+P17*P10</f>
        <v>53093.75</v>
      </c>
      <c r="P17" s="254">
        <f>P26/(1-$A$25)</f>
        <v>1712.7016129032259</v>
      </c>
      <c r="Q17" s="254">
        <f>+C17+E17+G17+I17+K17+M17+O17</f>
        <v>371707.58870967745</v>
      </c>
      <c r="V17" s="17"/>
    </row>
    <row r="18" spans="1:23" x14ac:dyDescent="0.2">
      <c r="B18" s="105" t="s">
        <v>169</v>
      </c>
      <c r="C18" s="102">
        <f>SUM(C16:C17)</f>
        <v>170250</v>
      </c>
      <c r="D18" s="103">
        <f>SUM(D16:D17)</f>
        <v>5675.1612903225805</v>
      </c>
      <c r="E18" s="102">
        <f>SUM(E16:E17)</f>
        <v>170221</v>
      </c>
      <c r="F18" s="103">
        <f>+E18/F10</f>
        <v>5491</v>
      </c>
      <c r="G18" s="102">
        <f>SUM(G16:G17)</f>
        <v>160294.83870967742</v>
      </c>
      <c r="H18" s="103">
        <f>+G18/H10</f>
        <v>5343.1612903225805</v>
      </c>
      <c r="I18" s="102">
        <f>SUM(I16:I17)</f>
        <v>172236</v>
      </c>
      <c r="J18" s="103">
        <f>+I18/J10</f>
        <v>5556</v>
      </c>
      <c r="K18" s="102">
        <f>SUM(K16:K17)</f>
        <v>185287</v>
      </c>
      <c r="L18" s="103">
        <f>+K18/L10</f>
        <v>5977</v>
      </c>
      <c r="M18" s="102">
        <f>SUM(M16:M17)</f>
        <v>170250</v>
      </c>
      <c r="N18" s="103">
        <f>+M18/N10</f>
        <v>5675</v>
      </c>
      <c r="O18" s="102">
        <f>SUM(O16:O17)</f>
        <v>170211.75</v>
      </c>
      <c r="P18" s="103">
        <f>+O18/P10</f>
        <v>5490.7016129032254</v>
      </c>
      <c r="Q18" s="104">
        <f>+C18+E18+G18+I18+K18+M18+O18</f>
        <v>1198750.5887096776</v>
      </c>
      <c r="T18" s="11"/>
      <c r="V18" s="17"/>
    </row>
    <row r="19" spans="1:23" x14ac:dyDescent="0.2">
      <c r="B19" s="36"/>
      <c r="C19" s="67"/>
      <c r="D19" s="257"/>
      <c r="E19" s="57"/>
      <c r="F19" s="257"/>
      <c r="G19" s="256"/>
      <c r="H19" s="257"/>
      <c r="I19" s="256"/>
      <c r="J19" s="257"/>
      <c r="K19" s="256"/>
      <c r="L19" s="257"/>
      <c r="M19" s="256"/>
      <c r="N19" s="257"/>
      <c r="O19" s="256"/>
      <c r="P19" s="257"/>
      <c r="Q19" s="256"/>
      <c r="R19" s="49"/>
      <c r="S19" s="56"/>
      <c r="V19" s="17"/>
    </row>
    <row r="20" spans="1:23" x14ac:dyDescent="0.2">
      <c r="B20" s="36" t="s">
        <v>185</v>
      </c>
      <c r="C20" s="220">
        <f>+C14+C18</f>
        <v>293190</v>
      </c>
      <c r="D20" s="258">
        <f>+C20/D10</f>
        <v>9773</v>
      </c>
      <c r="E20" s="258">
        <f>+F20*F10</f>
        <v>93000</v>
      </c>
      <c r="F20" s="258">
        <v>3000</v>
      </c>
      <c r="G20" s="259">
        <f>+H20*H10</f>
        <v>60000</v>
      </c>
      <c r="H20" s="258">
        <v>2000</v>
      </c>
      <c r="I20" s="259">
        <f>+J20*J10</f>
        <v>62000</v>
      </c>
      <c r="J20" s="258">
        <v>2000</v>
      </c>
      <c r="K20" s="259">
        <f>+L20*L10</f>
        <v>62000</v>
      </c>
      <c r="L20" s="258">
        <v>2000</v>
      </c>
      <c r="M20" s="259">
        <f>+N20*N10</f>
        <v>60000</v>
      </c>
      <c r="N20" s="258">
        <v>2000</v>
      </c>
      <c r="O20" s="259">
        <f>+P20*P10</f>
        <v>124000</v>
      </c>
      <c r="P20" s="258">
        <v>4000</v>
      </c>
      <c r="Q20" s="256">
        <f t="shared" ref="Q20:Q22" si="0">+C20+E20+G20+I20+K20+M20+O20</f>
        <v>754190</v>
      </c>
      <c r="R20" s="49"/>
      <c r="S20" s="56"/>
      <c r="V20" s="17"/>
    </row>
    <row r="21" spans="1:23" x14ac:dyDescent="0.2">
      <c r="B21" s="36" t="s">
        <v>186</v>
      </c>
      <c r="C21" s="220"/>
      <c r="D21" s="258">
        <v>0</v>
      </c>
      <c r="E21" s="258">
        <f>+F21*F10</f>
        <v>77500</v>
      </c>
      <c r="F21" s="258">
        <v>2500</v>
      </c>
      <c r="G21" s="259">
        <f>+H21*H10</f>
        <v>75000</v>
      </c>
      <c r="H21" s="258">
        <v>2500</v>
      </c>
      <c r="I21" s="259">
        <f>+J21*J10</f>
        <v>77500</v>
      </c>
      <c r="J21" s="258">
        <v>2500</v>
      </c>
      <c r="K21" s="259">
        <f>+L21*L10</f>
        <v>77500</v>
      </c>
      <c r="L21" s="258">
        <v>2500</v>
      </c>
      <c r="M21" s="259">
        <f>+N21*N10</f>
        <v>75000</v>
      </c>
      <c r="N21" s="258">
        <v>2500</v>
      </c>
      <c r="O21" s="259">
        <f>+P21*P10</f>
        <v>77500</v>
      </c>
      <c r="P21" s="258">
        <v>2500</v>
      </c>
      <c r="Q21" s="256">
        <f t="shared" si="0"/>
        <v>460000</v>
      </c>
      <c r="R21" s="49"/>
      <c r="S21" s="56"/>
      <c r="V21" s="17"/>
    </row>
    <row r="22" spans="1:23" x14ac:dyDescent="0.2">
      <c r="B22" s="36" t="s">
        <v>187</v>
      </c>
      <c r="C22" s="220"/>
      <c r="D22" s="258">
        <v>0</v>
      </c>
      <c r="E22" s="258">
        <f>+F22*F10</f>
        <v>76570</v>
      </c>
      <c r="F22" s="258">
        <f>+F23-F20-F21</f>
        <v>2470</v>
      </c>
      <c r="G22" s="259">
        <f>+H22*H10</f>
        <v>77134.838709677409</v>
      </c>
      <c r="H22" s="258">
        <f>+H23-H20-H21</f>
        <v>2571.1612903225805</v>
      </c>
      <c r="I22" s="259">
        <f>+J22*J10</f>
        <v>81282</v>
      </c>
      <c r="J22" s="258">
        <f>+J23-J20-J21</f>
        <v>2622</v>
      </c>
      <c r="K22" s="259">
        <f>+L22*L10</f>
        <v>97743</v>
      </c>
      <c r="L22" s="258">
        <f>+L23-L20-L21</f>
        <v>3153</v>
      </c>
      <c r="M22" s="259">
        <f>+N22*N10</f>
        <v>93000</v>
      </c>
      <c r="N22" s="258">
        <f>+N23-N20-N21</f>
        <v>3100</v>
      </c>
      <c r="O22" s="259">
        <f>+P22*P10</f>
        <v>82574.749999999985</v>
      </c>
      <c r="P22" s="258">
        <f>+P23-P20-P21</f>
        <v>2663.7016129032254</v>
      </c>
      <c r="Q22" s="256">
        <f t="shared" si="0"/>
        <v>508304.58870967739</v>
      </c>
      <c r="V22" s="71"/>
    </row>
    <row r="23" spans="1:23" ht="13.5" thickBot="1" x14ac:dyDescent="0.25">
      <c r="B23" s="77" t="s">
        <v>168</v>
      </c>
      <c r="C23" s="78">
        <f>SUM(C20:C22)</f>
        <v>293190</v>
      </c>
      <c r="D23" s="78">
        <f>SUM(D20:D22)</f>
        <v>9773</v>
      </c>
      <c r="E23" s="78">
        <f t="shared" ref="E23:Q23" si="1">+E14+E18</f>
        <v>247070</v>
      </c>
      <c r="F23" s="78">
        <f t="shared" si="1"/>
        <v>7970</v>
      </c>
      <c r="G23" s="78">
        <f t="shared" si="1"/>
        <v>212134.83870967742</v>
      </c>
      <c r="H23" s="78">
        <f t="shared" si="1"/>
        <v>7071.1612903225805</v>
      </c>
      <c r="I23" s="78">
        <f t="shared" si="1"/>
        <v>220782</v>
      </c>
      <c r="J23" s="78">
        <f t="shared" si="1"/>
        <v>7122</v>
      </c>
      <c r="K23" s="78">
        <f t="shared" si="1"/>
        <v>237243</v>
      </c>
      <c r="L23" s="78">
        <f t="shared" si="1"/>
        <v>7653</v>
      </c>
      <c r="M23" s="232">
        <f t="shared" si="1"/>
        <v>228607.88453308542</v>
      </c>
      <c r="N23" s="232">
        <f t="shared" si="1"/>
        <v>7600</v>
      </c>
      <c r="O23" s="78">
        <f t="shared" si="1"/>
        <v>285745.01734383259</v>
      </c>
      <c r="P23" s="78">
        <f t="shared" si="1"/>
        <v>9163.7016129032254</v>
      </c>
      <c r="Q23" s="78">
        <f t="shared" si="1"/>
        <v>1724772.7405865956</v>
      </c>
      <c r="V23" s="38"/>
      <c r="W23" s="38"/>
    </row>
    <row r="24" spans="1:23" ht="13.5" thickTop="1" x14ac:dyDescent="0.2">
      <c r="A24" t="s">
        <v>167</v>
      </c>
      <c r="B24" s="36"/>
      <c r="C24" s="67"/>
      <c r="D24" s="57"/>
      <c r="E24" s="57"/>
      <c r="F24" s="57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U24" s="48"/>
      <c r="V24" s="73"/>
      <c r="W24" s="38"/>
    </row>
    <row r="25" spans="1:23" x14ac:dyDescent="0.2">
      <c r="A25" s="113">
        <v>8.0000000000000002E-3</v>
      </c>
      <c r="B25" s="74" t="s">
        <v>183</v>
      </c>
      <c r="C25" s="67">
        <f>+D25*D10</f>
        <v>116220</v>
      </c>
      <c r="D25" s="224">
        <v>3874</v>
      </c>
      <c r="E25" s="57">
        <f>+F25*F10</f>
        <v>116188</v>
      </c>
      <c r="F25" s="226">
        <v>3748</v>
      </c>
      <c r="G25" s="254">
        <f>+H25*H10</f>
        <v>106320</v>
      </c>
      <c r="H25" s="226">
        <v>3544</v>
      </c>
      <c r="I25" s="254">
        <f>+J25*J10</f>
        <v>118172</v>
      </c>
      <c r="J25" s="226">
        <v>3812</v>
      </c>
      <c r="K25" s="254">
        <f>+L25*L10</f>
        <v>131130</v>
      </c>
      <c r="L25" s="226">
        <v>4230</v>
      </c>
      <c r="M25" s="254">
        <f>+N25*N10</f>
        <v>116220</v>
      </c>
      <c r="N25" s="226">
        <v>3874</v>
      </c>
      <c r="O25" s="254">
        <f>+P25*P10</f>
        <v>116188</v>
      </c>
      <c r="P25" s="226">
        <v>3748</v>
      </c>
      <c r="Q25" s="255">
        <f>+C25+E25+G25+I25+K25+M25+O25</f>
        <v>820438</v>
      </c>
      <c r="U25" s="48"/>
      <c r="V25" s="73"/>
      <c r="W25" s="112"/>
    </row>
    <row r="26" spans="1:23" x14ac:dyDescent="0.2">
      <c r="A26" s="113">
        <v>8.0000000000000002E-3</v>
      </c>
      <c r="B26" s="74" t="s">
        <v>184</v>
      </c>
      <c r="C26" s="67">
        <f>+D26*D10</f>
        <v>52680</v>
      </c>
      <c r="D26" s="57">
        <v>1756</v>
      </c>
      <c r="E26" s="254">
        <f>+F26*F10</f>
        <v>52669</v>
      </c>
      <c r="F26" s="255">
        <v>1699</v>
      </c>
      <c r="G26" s="254">
        <f>+H26*H10</f>
        <v>52680</v>
      </c>
      <c r="H26" s="255">
        <v>1756</v>
      </c>
      <c r="I26" s="254">
        <f>+J26*J10</f>
        <v>52669</v>
      </c>
      <c r="J26" s="255">
        <v>1699</v>
      </c>
      <c r="K26" s="254">
        <f>+L26*L10</f>
        <v>52669</v>
      </c>
      <c r="L26" s="255">
        <v>1699</v>
      </c>
      <c r="M26" s="254">
        <f>+N26*N10</f>
        <v>52680</v>
      </c>
      <c r="N26" s="255">
        <v>1756</v>
      </c>
      <c r="O26" s="254">
        <f>+P26*P10</f>
        <v>52669</v>
      </c>
      <c r="P26" s="255">
        <v>1699</v>
      </c>
      <c r="Q26" s="255">
        <f>+C26+E26+G26+I26+K26+M26+O26</f>
        <v>368716</v>
      </c>
      <c r="U26" s="48"/>
      <c r="V26" s="73"/>
      <c r="W26" s="112"/>
    </row>
    <row r="27" spans="1:23" s="36" customFormat="1" x14ac:dyDescent="0.2">
      <c r="B27" s="105" t="s">
        <v>181</v>
      </c>
      <c r="C27" s="106">
        <f>SUM(C25:C26)</f>
        <v>168900</v>
      </c>
      <c r="D27" s="225">
        <f>+C27/D10</f>
        <v>5630</v>
      </c>
      <c r="E27" s="216">
        <f>SUM(E25:E26)</f>
        <v>168857</v>
      </c>
      <c r="F27" s="225">
        <f>+E27/F10</f>
        <v>5447</v>
      </c>
      <c r="G27" s="106">
        <f>SUM(G25:G26)</f>
        <v>159000</v>
      </c>
      <c r="H27" s="225">
        <f>+G27/H10</f>
        <v>5300</v>
      </c>
      <c r="I27" s="106">
        <f>SUM(I25:I26)</f>
        <v>170841</v>
      </c>
      <c r="J27" s="225">
        <f>+I27/J10</f>
        <v>5511</v>
      </c>
      <c r="K27" s="106">
        <f>SUM(K25:K26)</f>
        <v>183799</v>
      </c>
      <c r="L27" s="225">
        <f>+K27/L10</f>
        <v>5929</v>
      </c>
      <c r="M27" s="106">
        <f>SUM(M25:M26)</f>
        <v>168900</v>
      </c>
      <c r="N27" s="225">
        <f>+M27/N10</f>
        <v>5630</v>
      </c>
      <c r="O27" s="106">
        <f>SUM(O25:O26)</f>
        <v>168857</v>
      </c>
      <c r="P27" s="225">
        <f>+O27/P10</f>
        <v>5447</v>
      </c>
      <c r="Q27" s="107">
        <f>+C27+E27+G27+I27+K27+M27+O27</f>
        <v>1189154</v>
      </c>
      <c r="T27" s="72"/>
      <c r="U27" s="84"/>
      <c r="V27" s="57"/>
      <c r="W27" s="84"/>
    </row>
    <row r="28" spans="1:23" s="36" customFormat="1" x14ac:dyDescent="0.2"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V28" s="17"/>
    </row>
    <row r="29" spans="1:23" x14ac:dyDescent="0.2"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V29" s="17"/>
    </row>
    <row r="30" spans="1:23" ht="12.75" customHeight="1" x14ac:dyDescent="0.2"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V30" s="17"/>
    </row>
    <row r="31" spans="1:23" ht="12.75" customHeight="1" x14ac:dyDescent="0.2"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V31" s="17"/>
    </row>
    <row r="32" spans="1:23" ht="17.25" customHeight="1" x14ac:dyDescent="0.25">
      <c r="B32" s="217" t="s">
        <v>182</v>
      </c>
      <c r="C32" s="218"/>
      <c r="D32" s="218"/>
      <c r="E32" s="218"/>
      <c r="F32" s="218"/>
      <c r="G32" s="218"/>
      <c r="H32" s="218"/>
      <c r="I32" s="97"/>
      <c r="J32" s="97"/>
      <c r="K32" s="97"/>
      <c r="L32" s="97"/>
      <c r="M32" s="97"/>
      <c r="N32" s="97"/>
      <c r="O32" s="97"/>
      <c r="P32" s="97"/>
      <c r="Q32" s="97"/>
      <c r="V32" s="17"/>
    </row>
    <row r="33" spans="2:22" ht="17.25" customHeight="1" x14ac:dyDescent="0.25">
      <c r="B33" s="217" t="s">
        <v>195</v>
      </c>
      <c r="C33" s="218"/>
      <c r="D33" s="218"/>
      <c r="E33" s="218"/>
      <c r="F33" s="218"/>
      <c r="G33" s="218"/>
      <c r="H33" s="218"/>
      <c r="I33" s="219"/>
      <c r="J33" s="219"/>
      <c r="K33" s="219"/>
      <c r="L33" s="219"/>
      <c r="M33" s="219"/>
      <c r="N33" s="219"/>
      <c r="O33" s="219"/>
      <c r="P33" s="219"/>
      <c r="Q33" s="219"/>
      <c r="V33" s="17"/>
    </row>
    <row r="34" spans="2:22" ht="17.25" customHeight="1" x14ac:dyDescent="0.25">
      <c r="C34" s="38" t="s">
        <v>79</v>
      </c>
      <c r="D34" s="108" t="s">
        <v>159</v>
      </c>
      <c r="E34" s="218"/>
      <c r="F34" s="218"/>
      <c r="G34" s="218"/>
      <c r="H34" s="218"/>
      <c r="I34" s="219"/>
      <c r="J34" s="219"/>
      <c r="K34" s="219"/>
      <c r="L34" s="219"/>
      <c r="M34" s="219"/>
      <c r="N34" s="219"/>
      <c r="O34" s="219"/>
      <c r="P34" s="219"/>
      <c r="Q34" s="219"/>
      <c r="V34" s="17"/>
    </row>
    <row r="35" spans="2:22" ht="17.25" customHeight="1" x14ac:dyDescent="0.25">
      <c r="B35" s="108" t="s">
        <v>74</v>
      </c>
      <c r="C35" s="108">
        <f>753859+150000</f>
        <v>903859</v>
      </c>
      <c r="D35" s="109">
        <v>6026</v>
      </c>
      <c r="E35" s="218"/>
      <c r="F35" s="218"/>
      <c r="G35" s="218"/>
      <c r="H35" s="218"/>
      <c r="I35" s="219"/>
      <c r="J35" s="219"/>
      <c r="K35" s="219"/>
      <c r="L35" s="219"/>
      <c r="M35" s="219"/>
      <c r="N35" s="219"/>
      <c r="O35" s="219"/>
      <c r="P35" s="219"/>
      <c r="Q35" s="219"/>
      <c r="V35" s="17"/>
    </row>
    <row r="36" spans="2:22" ht="17.25" customHeight="1" x14ac:dyDescent="0.25">
      <c r="B36" s="108" t="s">
        <v>155</v>
      </c>
      <c r="C36" s="108">
        <v>409679</v>
      </c>
      <c r="D36" s="109">
        <v>2731</v>
      </c>
      <c r="E36" s="218"/>
      <c r="F36" s="218"/>
      <c r="G36" s="218"/>
      <c r="H36" s="218"/>
      <c r="I36" s="219"/>
      <c r="J36" s="219"/>
      <c r="K36" s="219"/>
      <c r="L36" s="219"/>
      <c r="M36" s="219"/>
      <c r="N36" s="219"/>
      <c r="O36" s="219"/>
      <c r="P36" s="219"/>
      <c r="Q36" s="219"/>
      <c r="V36" s="17"/>
    </row>
    <row r="37" spans="2:22" ht="17.25" customHeight="1" x14ac:dyDescent="0.25">
      <c r="E37" s="218"/>
      <c r="F37" s="218"/>
      <c r="G37" s="218"/>
      <c r="H37" s="218"/>
      <c r="I37" s="219"/>
      <c r="J37" s="219"/>
      <c r="K37" s="219"/>
      <c r="L37" s="219"/>
      <c r="M37" s="219"/>
      <c r="N37" s="219"/>
      <c r="O37" s="219"/>
      <c r="P37" s="219"/>
      <c r="Q37" s="219"/>
      <c r="V37" s="17"/>
    </row>
    <row r="38" spans="2:22" ht="17.25" customHeight="1" x14ac:dyDescent="0.25">
      <c r="B38" s="217"/>
      <c r="C38" s="218"/>
      <c r="D38" s="218"/>
      <c r="E38" s="218"/>
      <c r="F38" s="218"/>
      <c r="G38" s="218"/>
      <c r="H38" s="218"/>
      <c r="I38" s="219"/>
      <c r="J38" s="219"/>
      <c r="K38" s="219"/>
      <c r="L38" s="219"/>
      <c r="M38" s="219"/>
      <c r="N38" s="219"/>
      <c r="O38" s="219"/>
      <c r="P38" s="219"/>
      <c r="Q38" s="219"/>
      <c r="V38" s="17"/>
    </row>
    <row r="40" spans="2:22" ht="15.75" x14ac:dyDescent="0.25">
      <c r="B40" s="85"/>
      <c r="C40" s="86"/>
      <c r="D40" s="86"/>
      <c r="E40" s="86"/>
      <c r="F40" s="86"/>
      <c r="G40" s="86"/>
      <c r="H40" s="87"/>
      <c r="I40" s="76"/>
      <c r="J40" s="76"/>
      <c r="K40" s="76"/>
      <c r="L40" s="76"/>
      <c r="M40" s="76"/>
      <c r="N40" s="76"/>
      <c r="O40" s="76"/>
      <c r="P40" s="76"/>
      <c r="Q40" s="76"/>
    </row>
    <row r="41" spans="2:22" x14ac:dyDescent="0.2">
      <c r="B41" s="9"/>
      <c r="C41" s="67" t="s">
        <v>79</v>
      </c>
      <c r="D41" s="75">
        <v>0.95</v>
      </c>
      <c r="E41" s="75">
        <v>0.9</v>
      </c>
      <c r="F41" s="75"/>
      <c r="G41" s="75"/>
      <c r="H41" s="88"/>
      <c r="I41" s="75"/>
      <c r="J41" s="75"/>
      <c r="K41" s="17"/>
      <c r="L41" s="17"/>
      <c r="M41" s="17"/>
      <c r="N41" s="17"/>
      <c r="O41" s="17"/>
      <c r="P41" s="17"/>
      <c r="Q41" s="17"/>
    </row>
    <row r="42" spans="2:22" x14ac:dyDescent="0.2">
      <c r="B42" s="89" t="s">
        <v>74</v>
      </c>
      <c r="C42" s="67">
        <f>753859+150000</f>
        <v>903859</v>
      </c>
      <c r="D42" s="67">
        <f>+C42*D41</f>
        <v>858666.04999999993</v>
      </c>
      <c r="E42" s="67"/>
      <c r="F42" s="67"/>
      <c r="G42" s="17"/>
      <c r="H42" s="16"/>
      <c r="I42" s="17"/>
      <c r="J42" s="17"/>
      <c r="K42" s="17"/>
      <c r="L42" s="17"/>
      <c r="M42" s="17"/>
      <c r="N42" s="17"/>
      <c r="O42" s="17"/>
      <c r="P42" s="17"/>
      <c r="Q42" s="17"/>
    </row>
    <row r="43" spans="2:22" x14ac:dyDescent="0.2">
      <c r="B43" s="89" t="s">
        <v>75</v>
      </c>
      <c r="C43" s="79">
        <v>409679</v>
      </c>
      <c r="D43" s="79">
        <f>+C43*D41</f>
        <v>389195.05</v>
      </c>
      <c r="E43" s="67"/>
      <c r="F43" s="67"/>
      <c r="G43" s="17"/>
      <c r="H43" s="16"/>
      <c r="I43" s="17"/>
      <c r="J43" s="17"/>
      <c r="K43" s="17"/>
      <c r="L43" s="17"/>
      <c r="M43" s="17"/>
      <c r="N43" s="17"/>
      <c r="O43" s="17"/>
      <c r="P43" s="17"/>
      <c r="Q43" s="17"/>
    </row>
    <row r="44" spans="2:22" x14ac:dyDescent="0.2">
      <c r="B44" s="2"/>
      <c r="C44" s="67">
        <f>SUM(C42:C43)</f>
        <v>1313538</v>
      </c>
      <c r="D44" s="67">
        <f>SUM(D41:D43)</f>
        <v>1247862.0499999998</v>
      </c>
      <c r="E44" s="80">
        <f>+C44*E41</f>
        <v>1182184.2</v>
      </c>
      <c r="F44" s="67" t="s">
        <v>78</v>
      </c>
      <c r="G44" s="67"/>
      <c r="H44" s="16"/>
      <c r="I44" s="17"/>
      <c r="J44" s="17"/>
      <c r="K44" s="17"/>
      <c r="L44" s="17"/>
      <c r="M44" s="17"/>
      <c r="N44" s="17"/>
      <c r="O44" s="17"/>
      <c r="P44" s="17"/>
      <c r="Q44" s="17"/>
    </row>
    <row r="45" spans="2:22" x14ac:dyDescent="0.2">
      <c r="B45" s="90"/>
      <c r="C45" s="80"/>
      <c r="D45" s="80"/>
      <c r="E45" s="80"/>
      <c r="F45" s="80"/>
      <c r="G45" s="91"/>
      <c r="H45" s="92"/>
      <c r="I45" s="18"/>
      <c r="J45" s="18"/>
      <c r="K45" s="18"/>
      <c r="L45" s="18"/>
      <c r="M45" s="18"/>
      <c r="N45" s="18"/>
      <c r="O45" s="18"/>
    </row>
    <row r="46" spans="2:22" x14ac:dyDescent="0.2">
      <c r="B46" s="93">
        <f>+D42/D44</f>
        <v>0.68810975540124808</v>
      </c>
      <c r="C46" s="80">
        <f>+E44*B46/7</f>
        <v>116210.35438588858</v>
      </c>
      <c r="D46" s="81" t="s">
        <v>74</v>
      </c>
      <c r="E46" s="80" t="s">
        <v>76</v>
      </c>
      <c r="F46" s="80"/>
      <c r="G46" s="17"/>
      <c r="H46" s="16"/>
    </row>
    <row r="47" spans="2:22" x14ac:dyDescent="0.2">
      <c r="B47" s="93">
        <f>+D43/D44</f>
        <v>0.31188948329665128</v>
      </c>
      <c r="C47" s="83">
        <f>+E44*B47/7</f>
        <v>52672.974185637861</v>
      </c>
      <c r="D47" s="81" t="s">
        <v>75</v>
      </c>
      <c r="E47" s="80" t="s">
        <v>77</v>
      </c>
      <c r="F47" s="80"/>
      <c r="G47" s="17"/>
      <c r="H47" s="16"/>
    </row>
    <row r="48" spans="2:22" x14ac:dyDescent="0.2">
      <c r="B48" s="90"/>
      <c r="C48" s="80">
        <f>SUM(C46:C47)</f>
        <v>168883.32857152645</v>
      </c>
      <c r="D48" s="80"/>
      <c r="E48" s="80"/>
      <c r="F48" s="80"/>
      <c r="G48" s="17"/>
      <c r="H48" s="16"/>
    </row>
    <row r="49" spans="1:21" x14ac:dyDescent="0.2">
      <c r="B49" s="2"/>
      <c r="C49" s="67"/>
      <c r="D49" s="67"/>
      <c r="E49" s="67"/>
      <c r="F49" s="67"/>
      <c r="G49" s="17"/>
      <c r="H49" s="16"/>
    </row>
    <row r="50" spans="1:21" x14ac:dyDescent="0.2">
      <c r="B50" s="94"/>
      <c r="C50" s="79"/>
      <c r="D50" s="79"/>
      <c r="E50" s="79"/>
      <c r="F50" s="79"/>
      <c r="G50" s="95"/>
      <c r="H50" s="96"/>
    </row>
    <row r="51" spans="1:21" x14ac:dyDescent="0.2">
      <c r="K51" s="58"/>
      <c r="L51" s="58"/>
      <c r="M51" s="58"/>
    </row>
    <row r="52" spans="1:21" x14ac:dyDescent="0.2">
      <c r="K52" s="58"/>
      <c r="L52" s="58"/>
      <c r="M52" s="58"/>
    </row>
    <row r="54" spans="1:21" x14ac:dyDescent="0.2">
      <c r="B54" s="233" t="s">
        <v>189</v>
      </c>
      <c r="C54" s="234">
        <v>0.05</v>
      </c>
      <c r="D54" s="235" t="s">
        <v>160</v>
      </c>
      <c r="E54" s="249">
        <f>+E55/$C$42</f>
        <v>0.17857133068972991</v>
      </c>
      <c r="F54" s="235" t="s">
        <v>161</v>
      </c>
      <c r="G54" s="249">
        <f>+G55/$C$42</f>
        <v>0.30714266137945984</v>
      </c>
      <c r="H54" s="236" t="s">
        <v>162</v>
      </c>
      <c r="I54" s="249">
        <f>+I55/$C$42</f>
        <v>0.4357139920691897</v>
      </c>
      <c r="J54" s="236" t="s">
        <v>163</v>
      </c>
      <c r="K54" s="249">
        <f>+K55/$C$42</f>
        <v>0.56428532275891952</v>
      </c>
      <c r="L54" s="236" t="s">
        <v>164</v>
      </c>
      <c r="M54" s="249">
        <f>+M55/$C$42</f>
        <v>0.69285665344864944</v>
      </c>
      <c r="N54" s="236" t="s">
        <v>165</v>
      </c>
      <c r="O54" s="249">
        <f>+O55/$C$42</f>
        <v>0.82142798413837936</v>
      </c>
      <c r="P54" s="236" t="s">
        <v>166</v>
      </c>
      <c r="Q54" s="250">
        <f>+Q55/$C$42</f>
        <v>0.94999931482810918</v>
      </c>
    </row>
    <row r="55" spans="1:21" x14ac:dyDescent="0.2">
      <c r="B55" s="89" t="s">
        <v>190</v>
      </c>
      <c r="C55" s="67">
        <f>+C35*C54</f>
        <v>45192.950000000004</v>
      </c>
      <c r="D55" s="67">
        <f>+C46</f>
        <v>116210.35438588858</v>
      </c>
      <c r="E55" s="67">
        <f>+C55+D55</f>
        <v>161403.30438588859</v>
      </c>
      <c r="F55" s="67">
        <f>+C46</f>
        <v>116210.35438588858</v>
      </c>
      <c r="G55" s="17">
        <f>+E55+F55</f>
        <v>277613.65877177718</v>
      </c>
      <c r="H55" s="17">
        <f>+C46</f>
        <v>116210.35438588858</v>
      </c>
      <c r="I55" s="17">
        <f>+G55+H55</f>
        <v>393824.01315766573</v>
      </c>
      <c r="J55" s="17">
        <f>+C46</f>
        <v>116210.35438588858</v>
      </c>
      <c r="K55" s="17">
        <f>+I55+J55</f>
        <v>510034.36754355428</v>
      </c>
      <c r="L55" s="17">
        <f>+C46</f>
        <v>116210.35438588858</v>
      </c>
      <c r="M55" s="17">
        <f>+K55+L55</f>
        <v>626244.72192944284</v>
      </c>
      <c r="N55" s="17">
        <f>+C46</f>
        <v>116210.35438588858</v>
      </c>
      <c r="O55" s="17">
        <f>+M55+N55</f>
        <v>742455.07631533139</v>
      </c>
      <c r="P55" s="17">
        <f>+C46</f>
        <v>116210.35438588858</v>
      </c>
      <c r="Q55" s="16">
        <f>+O55+P55</f>
        <v>858665.43070121994</v>
      </c>
      <c r="R55" s="11"/>
    </row>
    <row r="56" spans="1:21" x14ac:dyDescent="0.2">
      <c r="B56" s="89"/>
      <c r="C56" s="237">
        <v>0.05</v>
      </c>
      <c r="D56" s="67"/>
      <c r="E56" s="75">
        <f>+E57/$C$43</f>
        <v>0.17857133068972991</v>
      </c>
      <c r="F56" s="67"/>
      <c r="G56" s="75">
        <f>+G57/$C$43</f>
        <v>0.30714266137945984</v>
      </c>
      <c r="H56" s="17"/>
      <c r="I56" s="75">
        <f>+I57/$C$43</f>
        <v>0.43571399206918976</v>
      </c>
      <c r="J56" s="17"/>
      <c r="K56" s="75">
        <f>+K57/$C$43</f>
        <v>0.56428532275891963</v>
      </c>
      <c r="L56" s="17"/>
      <c r="M56" s="75">
        <f>+M57/$C$43</f>
        <v>0.69285665344864955</v>
      </c>
      <c r="N56" s="17"/>
      <c r="O56" s="75">
        <f>+O57/$C$43</f>
        <v>0.82142798413837947</v>
      </c>
      <c r="P56" s="17"/>
      <c r="Q56" s="88">
        <f>+Q57/$C$43</f>
        <v>0.94999931482810929</v>
      </c>
    </row>
    <row r="57" spans="1:21" x14ac:dyDescent="0.2">
      <c r="B57" s="89" t="s">
        <v>191</v>
      </c>
      <c r="C57" s="67">
        <f>+C43*C56</f>
        <v>20483.95</v>
      </c>
      <c r="D57" s="67">
        <f>+C47</f>
        <v>52672.974185637861</v>
      </c>
      <c r="E57" s="67">
        <f>+C57+D57</f>
        <v>73156.924185637865</v>
      </c>
      <c r="F57" s="67">
        <f>+C47</f>
        <v>52672.974185637861</v>
      </c>
      <c r="G57" s="17">
        <f>+E57+F57</f>
        <v>125829.89837127572</v>
      </c>
      <c r="H57" s="17">
        <f>+C47</f>
        <v>52672.974185637861</v>
      </c>
      <c r="I57" s="17">
        <f>+G57+H57</f>
        <v>178502.87255691359</v>
      </c>
      <c r="J57" s="17">
        <f>+C47</f>
        <v>52672.974185637861</v>
      </c>
      <c r="K57" s="17">
        <f>+I57+J57</f>
        <v>231175.84674255145</v>
      </c>
      <c r="L57" s="17">
        <f>+C47</f>
        <v>52672.974185637861</v>
      </c>
      <c r="M57" s="17">
        <f>+K57+L57</f>
        <v>283848.82092818932</v>
      </c>
      <c r="N57" s="17">
        <f>+C47</f>
        <v>52672.974185637861</v>
      </c>
      <c r="O57" s="17">
        <f>+M57+N57</f>
        <v>336521.79511382716</v>
      </c>
      <c r="P57" s="17">
        <f>+C47</f>
        <v>52672.974185637861</v>
      </c>
      <c r="Q57" s="16">
        <f>+O57+P57</f>
        <v>389194.769299465</v>
      </c>
      <c r="R57" s="11"/>
    </row>
    <row r="58" spans="1:21" x14ac:dyDescent="0.2">
      <c r="B58" s="2"/>
      <c r="C58" s="67"/>
      <c r="D58" s="67"/>
      <c r="E58" s="67"/>
      <c r="F58" s="6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6"/>
    </row>
    <row r="59" spans="1:21" x14ac:dyDescent="0.2">
      <c r="B59" s="238" t="s">
        <v>192</v>
      </c>
      <c r="C59" s="79"/>
      <c r="D59" s="79">
        <f>+D57/D10</f>
        <v>1755.7658061879288</v>
      </c>
      <c r="E59" s="79"/>
      <c r="F59" s="79">
        <f>+F57/F10</f>
        <v>1699.1281995367051</v>
      </c>
      <c r="G59" s="95"/>
      <c r="H59" s="95">
        <f>+H57/H10</f>
        <v>1755.7658061879288</v>
      </c>
      <c r="I59" s="95"/>
      <c r="J59" s="95">
        <f>+J57/J10</f>
        <v>1699.1281995367051</v>
      </c>
      <c r="K59" s="95"/>
      <c r="L59" s="95">
        <f>+L57/J10</f>
        <v>1699.1281995367051</v>
      </c>
      <c r="M59" s="95"/>
      <c r="N59" s="95">
        <f>+N57/N10</f>
        <v>1755.7658061879288</v>
      </c>
      <c r="O59" s="95"/>
      <c r="P59" s="95">
        <f>+P57/P10</f>
        <v>1699.1281995367051</v>
      </c>
      <c r="Q59" s="96"/>
    </row>
    <row r="60" spans="1:21" x14ac:dyDescent="0.2">
      <c r="H60" s="58"/>
      <c r="J60" s="58"/>
    </row>
    <row r="62" spans="1:21" x14ac:dyDescent="0.2">
      <c r="B62" s="240" t="s">
        <v>189</v>
      </c>
      <c r="C62" s="241">
        <v>0.05</v>
      </c>
      <c r="D62" s="242" t="s">
        <v>160</v>
      </c>
      <c r="E62" s="249">
        <f>+E63/$C$42</f>
        <v>0.17047902383004429</v>
      </c>
      <c r="F62" s="242" t="s">
        <v>161</v>
      </c>
      <c r="G62" s="249">
        <f>+G63/$C$42</f>
        <v>0.31928652588512146</v>
      </c>
      <c r="H62" s="253" t="s">
        <v>200</v>
      </c>
      <c r="I62" s="249">
        <f>+I63/$C$42</f>
        <v>0.42482511099629477</v>
      </c>
      <c r="J62" s="253" t="s">
        <v>201</v>
      </c>
      <c r="K62" s="249">
        <f>+K63/$C$42</f>
        <v>0.5446070681378401</v>
      </c>
      <c r="L62" s="236" t="s">
        <v>202</v>
      </c>
      <c r="M62" s="249">
        <f>+M63/$C$42</f>
        <v>0.68934313869751807</v>
      </c>
      <c r="N62" s="236" t="s">
        <v>165</v>
      </c>
      <c r="O62" s="249">
        <f>+O63/$C$42</f>
        <v>0.81791446938724799</v>
      </c>
      <c r="P62" s="236" t="s">
        <v>166</v>
      </c>
      <c r="Q62" s="250">
        <f>+Q63/$C$42</f>
        <v>0.9464858000769778</v>
      </c>
    </row>
    <row r="63" spans="1:21" x14ac:dyDescent="0.2">
      <c r="A63" s="13" t="s">
        <v>198</v>
      </c>
      <c r="B63" s="243" t="s">
        <v>196</v>
      </c>
      <c r="C63" s="80">
        <v>43173</v>
      </c>
      <c r="D63" s="80">
        <v>110916</v>
      </c>
      <c r="E63" s="67">
        <f>+C63+D63</f>
        <v>154089</v>
      </c>
      <c r="F63" s="80">
        <v>134501</v>
      </c>
      <c r="G63" s="17">
        <f>+E63+F63</f>
        <v>288590</v>
      </c>
      <c r="H63" s="91">
        <v>95392</v>
      </c>
      <c r="I63" s="17">
        <f>+G63+H63</f>
        <v>383982</v>
      </c>
      <c r="J63" s="91">
        <v>108266</v>
      </c>
      <c r="K63" s="17">
        <f>+I63+J63</f>
        <v>492248</v>
      </c>
      <c r="L63" s="67">
        <v>130821</v>
      </c>
      <c r="M63" s="17">
        <f>+K63+L63</f>
        <v>623069</v>
      </c>
      <c r="N63" s="17">
        <f>+C46</f>
        <v>116210.35438588858</v>
      </c>
      <c r="O63" s="17">
        <f>+M63+N63</f>
        <v>739279.35438588855</v>
      </c>
      <c r="P63" s="17">
        <f>+C46</f>
        <v>116210.35438588858</v>
      </c>
      <c r="Q63" s="16">
        <f>+O63+P63</f>
        <v>855489.70877177711</v>
      </c>
    </row>
    <row r="64" spans="1:21" x14ac:dyDescent="0.2">
      <c r="B64" s="243"/>
      <c r="C64" s="244">
        <v>0.05</v>
      </c>
      <c r="D64" s="80"/>
      <c r="E64" s="75">
        <f>+E65/$C$43</f>
        <v>0.1827186651012134</v>
      </c>
      <c r="F64" s="67"/>
      <c r="G64" s="75">
        <f>+G65/$C$43</f>
        <v>0.3112899957909433</v>
      </c>
      <c r="H64" s="91"/>
      <c r="I64" s="75">
        <f>+I65/$C$43</f>
        <v>0.43987847604011399</v>
      </c>
      <c r="J64" s="17"/>
      <c r="K64" s="75">
        <f>+K65/$C$43</f>
        <v>0.56844010599917949</v>
      </c>
      <c r="L64" s="17"/>
      <c r="M64" s="75">
        <f>+M65/$C$43</f>
        <v>0.69701143668890941</v>
      </c>
      <c r="N64" s="17"/>
      <c r="O64" s="75">
        <f>+O65/$C$43</f>
        <v>0.82558276737863934</v>
      </c>
      <c r="P64" s="17"/>
      <c r="Q64" s="88">
        <f>+Q65/$C$43</f>
        <v>0.95415409806836915</v>
      </c>
      <c r="R64" s="36"/>
      <c r="S64" s="36"/>
      <c r="T64" s="36"/>
      <c r="U64" s="36"/>
    </row>
    <row r="65" spans="2:21" x14ac:dyDescent="0.2">
      <c r="B65" s="243" t="s">
        <v>197</v>
      </c>
      <c r="C65" s="80">
        <v>22181</v>
      </c>
      <c r="D65" s="80">
        <v>52675</v>
      </c>
      <c r="E65" s="67">
        <f>+C65+D65</f>
        <v>74856</v>
      </c>
      <c r="F65" s="67">
        <f>+C47</f>
        <v>52672.974185637861</v>
      </c>
      <c r="G65" s="17">
        <f>+E65+F65</f>
        <v>127528.97418563787</v>
      </c>
      <c r="H65" s="91">
        <v>52680</v>
      </c>
      <c r="I65" s="17">
        <f>+G65+H65</f>
        <v>180208.97418563787</v>
      </c>
      <c r="J65" s="91">
        <v>52669</v>
      </c>
      <c r="K65" s="17">
        <f>+I65+J65</f>
        <v>232877.97418563787</v>
      </c>
      <c r="L65" s="17">
        <f>+C47</f>
        <v>52672.974185637861</v>
      </c>
      <c r="M65" s="17">
        <f>+K65+L65</f>
        <v>285550.94837127574</v>
      </c>
      <c r="N65" s="17">
        <f>+C47</f>
        <v>52672.974185637861</v>
      </c>
      <c r="O65" s="17">
        <f>+M65+N65</f>
        <v>338223.92255691357</v>
      </c>
      <c r="P65" s="17">
        <f>+C47</f>
        <v>52672.974185637861</v>
      </c>
      <c r="Q65" s="16">
        <f>+O65+P65</f>
        <v>390896.89674255141</v>
      </c>
      <c r="R65" s="36"/>
      <c r="S65" s="36"/>
      <c r="T65" s="36"/>
      <c r="U65" s="36"/>
    </row>
    <row r="66" spans="2:21" x14ac:dyDescent="0.2">
      <c r="B66" s="90"/>
      <c r="C66" s="80"/>
      <c r="D66" s="80"/>
      <c r="E66" s="67"/>
      <c r="F66" s="67"/>
      <c r="G66" s="17"/>
      <c r="H66" s="91"/>
      <c r="I66" s="17"/>
      <c r="J66" s="17"/>
      <c r="K66" s="17"/>
      <c r="L66" s="17"/>
      <c r="M66" s="17"/>
      <c r="N66" s="17"/>
      <c r="O66" s="17"/>
      <c r="P66" s="17"/>
      <c r="Q66" s="16"/>
      <c r="R66" s="36"/>
      <c r="S66" s="36"/>
      <c r="T66" s="36"/>
      <c r="U66" s="36"/>
    </row>
    <row r="67" spans="2:21" x14ac:dyDescent="0.2">
      <c r="B67" s="245" t="s">
        <v>192</v>
      </c>
      <c r="C67" s="83"/>
      <c r="D67" s="246">
        <f>+D65/D10</f>
        <v>1755.8333333333333</v>
      </c>
      <c r="E67" s="246"/>
      <c r="F67" s="246">
        <f>+F65/F10</f>
        <v>1699.1281995367051</v>
      </c>
      <c r="G67" s="247"/>
      <c r="H67" s="83">
        <f>+H65/H10</f>
        <v>1756</v>
      </c>
      <c r="I67" s="247"/>
      <c r="J67" s="246">
        <f>+J65/J10</f>
        <v>1699</v>
      </c>
      <c r="K67" s="247"/>
      <c r="L67" s="246">
        <f>+L65/L10</f>
        <v>1699.1281995367051</v>
      </c>
      <c r="M67" s="247"/>
      <c r="N67" s="246">
        <f>+N65/N10</f>
        <v>1755.7658061879288</v>
      </c>
      <c r="O67" s="247"/>
      <c r="P67" s="246">
        <f>+P65/P10</f>
        <v>1699.1281995367051</v>
      </c>
      <c r="Q67" s="96"/>
      <c r="R67" s="36"/>
      <c r="S67" s="36"/>
      <c r="T67" s="36"/>
      <c r="U67" s="36"/>
    </row>
    <row r="68" spans="2:21" x14ac:dyDescent="0.2">
      <c r="B68" s="36"/>
      <c r="C68" s="67"/>
      <c r="D68" s="67"/>
      <c r="E68" s="67"/>
      <c r="F68" s="6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36"/>
      <c r="S68" s="36"/>
      <c r="T68" s="36"/>
      <c r="U68" s="36"/>
    </row>
    <row r="69" spans="2:21" x14ac:dyDescent="0.2">
      <c r="B69" s="239"/>
      <c r="C69" s="67"/>
      <c r="D69" s="67"/>
      <c r="E69" s="67"/>
      <c r="F69" s="6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36"/>
      <c r="S69" s="36"/>
      <c r="T69" s="36"/>
      <c r="U69" s="36"/>
    </row>
    <row r="70" spans="2:21" x14ac:dyDescent="0.2">
      <c r="B70" s="36"/>
      <c r="C70" s="67"/>
      <c r="D70" s="67"/>
      <c r="E70" s="67"/>
      <c r="F70" s="6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36"/>
      <c r="S70" s="36"/>
      <c r="T70" s="36"/>
      <c r="U70" s="36"/>
    </row>
    <row r="71" spans="2:21" x14ac:dyDescent="0.2">
      <c r="B71" s="36"/>
      <c r="C71" s="67"/>
      <c r="D71" s="67"/>
      <c r="E71" s="67"/>
      <c r="F71" s="6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36"/>
      <c r="S71" s="36"/>
      <c r="T71" s="36"/>
      <c r="U71" s="36"/>
    </row>
    <row r="72" spans="2:21" x14ac:dyDescent="0.2">
      <c r="B72" s="36"/>
      <c r="C72" s="67"/>
      <c r="D72" s="67"/>
      <c r="E72" s="67"/>
      <c r="F72" s="6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36"/>
      <c r="S72" s="36"/>
      <c r="T72" s="36"/>
      <c r="U72" s="36"/>
    </row>
    <row r="73" spans="2:21" x14ac:dyDescent="0.2">
      <c r="B73" s="36"/>
      <c r="C73" s="67"/>
      <c r="D73" s="67"/>
      <c r="E73" s="67"/>
      <c r="F73" s="6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36"/>
      <c r="S73" s="36"/>
      <c r="T73" s="36"/>
      <c r="U73" s="36"/>
    </row>
    <row r="74" spans="2:21" x14ac:dyDescent="0.2">
      <c r="B74" s="36"/>
      <c r="C74" s="67"/>
      <c r="D74" s="67"/>
      <c r="E74" s="67"/>
      <c r="F74" s="6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36"/>
      <c r="S74" s="36"/>
      <c r="T74" s="36"/>
      <c r="U74" s="36"/>
    </row>
    <row r="75" spans="2:21" x14ac:dyDescent="0.2">
      <c r="B75" s="36"/>
      <c r="C75" s="67"/>
      <c r="D75" s="67"/>
      <c r="E75" s="67"/>
      <c r="F75" s="6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36"/>
      <c r="S75" s="36"/>
      <c r="T75" s="36"/>
      <c r="U75" s="36"/>
    </row>
    <row r="76" spans="2:21" x14ac:dyDescent="0.2">
      <c r="B76" s="36"/>
      <c r="C76" s="67"/>
      <c r="D76" s="67"/>
      <c r="E76" s="67"/>
      <c r="F76" s="6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36"/>
      <c r="S76" s="36"/>
      <c r="T76" s="36"/>
      <c r="U76" s="36"/>
    </row>
    <row r="77" spans="2:21" x14ac:dyDescent="0.2">
      <c r="B77" s="36"/>
      <c r="C77" s="67"/>
      <c r="D77" s="67"/>
      <c r="E77" s="67"/>
      <c r="F77" s="6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36"/>
      <c r="S77" s="36"/>
      <c r="T77" s="36"/>
      <c r="U77" s="36"/>
    </row>
    <row r="78" spans="2:21" x14ac:dyDescent="0.2">
      <c r="B78" s="36"/>
      <c r="C78" s="67"/>
      <c r="D78" s="67"/>
      <c r="E78" s="67"/>
      <c r="F78" s="6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36"/>
      <c r="S78" s="36"/>
      <c r="T78" s="36"/>
      <c r="U78" s="36"/>
    </row>
    <row r="79" spans="2:21" x14ac:dyDescent="0.2">
      <c r="B79" s="36"/>
      <c r="C79" s="67"/>
      <c r="D79" s="67"/>
      <c r="E79" s="67"/>
      <c r="F79" s="6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36"/>
      <c r="S79" s="36"/>
      <c r="T79" s="36"/>
      <c r="U79" s="36"/>
    </row>
  </sheetData>
  <mergeCells count="9">
    <mergeCell ref="B30:Q31"/>
    <mergeCell ref="B28:Q29"/>
    <mergeCell ref="O11:P11"/>
    <mergeCell ref="C11:D11"/>
    <mergeCell ref="E11:F11"/>
    <mergeCell ref="G11:H11"/>
    <mergeCell ref="I11:J11"/>
    <mergeCell ref="K11:L11"/>
    <mergeCell ref="M11:N11"/>
  </mergeCells>
  <phoneticPr fontId="12" type="noConversion"/>
  <printOptions horizontalCentered="1"/>
  <pageMargins left="0.5" right="0.5" top="0.5" bottom="1" header="0.25" footer="0.74"/>
  <pageSetup scale="52" orientation="landscape" horizontalDpi="300" verticalDpi="300" r:id="rId1"/>
  <headerFooter alignWithMargins="0">
    <oddHeader xml:space="preserve">&amp;RCASE NO. 2015-00343
ATTACHMENT 37
TO STAFF DR NO. 1-59
</oddHeader>
    <oddFooter>&amp;CPage 1 of 2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2:N40"/>
  <sheetViews>
    <sheetView workbookViewId="0">
      <selection activeCell="B5" sqref="B5"/>
    </sheetView>
  </sheetViews>
  <sheetFormatPr defaultRowHeight="12.75" x14ac:dyDescent="0.2"/>
  <cols>
    <col min="1" max="1" width="34" bestFit="1" customWidth="1"/>
    <col min="2" max="2" width="10.140625" customWidth="1"/>
    <col min="3" max="3" width="14" bestFit="1" customWidth="1"/>
    <col min="4" max="4" width="11.85546875" style="38" customWidth="1"/>
    <col min="5" max="5" width="12.28515625" style="38" customWidth="1"/>
    <col min="6" max="7" width="12" customWidth="1"/>
    <col min="8" max="8" width="13.5703125" customWidth="1"/>
    <col min="9" max="9" width="11.5703125" customWidth="1"/>
    <col min="10" max="10" width="5.5703125" customWidth="1"/>
    <col min="11" max="11" width="11.28515625" bestFit="1" customWidth="1"/>
    <col min="12" max="12" width="10.5703125" customWidth="1"/>
  </cols>
  <sheetData>
    <row r="2" spans="1:14" x14ac:dyDescent="0.2">
      <c r="A2" t="s">
        <v>43</v>
      </c>
    </row>
    <row r="5" spans="1:14" x14ac:dyDescent="0.2">
      <c r="C5" s="47" t="s">
        <v>66</v>
      </c>
      <c r="D5" s="47">
        <v>38477</v>
      </c>
      <c r="E5" s="47">
        <v>38508</v>
      </c>
      <c r="F5" s="47">
        <v>38538</v>
      </c>
      <c r="G5" s="47">
        <v>38569</v>
      </c>
      <c r="H5" s="47">
        <v>38600</v>
      </c>
      <c r="I5" s="47">
        <v>38630</v>
      </c>
      <c r="K5" s="38" t="s">
        <v>44</v>
      </c>
    </row>
    <row r="7" spans="1:14" x14ac:dyDescent="0.2">
      <c r="A7" t="s">
        <v>45</v>
      </c>
      <c r="C7" s="45" t="e">
        <f>1196758+394909+C19-#REF!</f>
        <v>#REF!</v>
      </c>
      <c r="D7" s="46" t="e">
        <f>556416+394909+D19-#REF!</f>
        <v>#REF!</v>
      </c>
      <c r="E7" s="46" t="e">
        <f>427503+789819+E19-#REF!</f>
        <v>#REF!</v>
      </c>
      <c r="F7" s="45" t="e">
        <f>433928+789819+F19-#REF!</f>
        <v>#REF!</v>
      </c>
      <c r="G7" s="45" t="e">
        <f>454215+789819+G19-#REF!</f>
        <v>#REF!</v>
      </c>
      <c r="H7" s="45" t="e">
        <f>546452+394909+H19-#REF!</f>
        <v>#REF!</v>
      </c>
      <c r="I7" s="45" t="e">
        <f>880795+394909+467284-#REF!</f>
        <v>#REF!</v>
      </c>
      <c r="K7" s="41" t="e">
        <f>SUM(C7:J7)</f>
        <v>#REF!</v>
      </c>
    </row>
    <row r="8" spans="1:14" x14ac:dyDescent="0.2">
      <c r="A8" t="s">
        <v>46</v>
      </c>
      <c r="C8" s="39" t="e">
        <f t="shared" ref="C8:I8" si="0">+C7-C16-C19</f>
        <v>#REF!</v>
      </c>
      <c r="D8" s="39" t="e">
        <f t="shared" si="0"/>
        <v>#REF!</v>
      </c>
      <c r="E8" s="39" t="e">
        <f t="shared" si="0"/>
        <v>#REF!</v>
      </c>
      <c r="F8" s="39" t="e">
        <f t="shared" si="0"/>
        <v>#REF!</v>
      </c>
      <c r="G8" s="39" t="e">
        <f t="shared" si="0"/>
        <v>#REF!</v>
      </c>
      <c r="H8" s="39" t="e">
        <f t="shared" si="0"/>
        <v>#REF!</v>
      </c>
      <c r="I8" s="39" t="e">
        <f t="shared" si="0"/>
        <v>#REF!</v>
      </c>
      <c r="K8" s="41" t="e">
        <f>SUM(C8:J8)</f>
        <v>#REF!</v>
      </c>
    </row>
    <row r="10" spans="1:14" x14ac:dyDescent="0.2">
      <c r="A10" t="s">
        <v>47</v>
      </c>
      <c r="B10" s="42">
        <v>0.19</v>
      </c>
      <c r="C10" s="39" t="e">
        <f>+C7*B10</f>
        <v>#REF!</v>
      </c>
      <c r="D10" s="40" t="e">
        <f>+D7*B10</f>
        <v>#REF!</v>
      </c>
      <c r="E10" s="40" t="e">
        <f>+E7*B10</f>
        <v>#REF!</v>
      </c>
      <c r="F10" s="39" t="e">
        <f>+F7*B10</f>
        <v>#REF!</v>
      </c>
      <c r="G10" s="39" t="e">
        <f>+G7*B10</f>
        <v>#REF!</v>
      </c>
      <c r="H10" s="39" t="e">
        <f>+H7*B10</f>
        <v>#REF!</v>
      </c>
      <c r="I10" s="39" t="e">
        <f>+I7*B10</f>
        <v>#REF!</v>
      </c>
      <c r="K10" s="41" t="e">
        <f>SUM(C10:J10)</f>
        <v>#REF!</v>
      </c>
      <c r="N10" s="43"/>
    </row>
    <row r="11" spans="1:14" x14ac:dyDescent="0.2">
      <c r="A11" t="s">
        <v>48</v>
      </c>
      <c r="B11" s="42">
        <v>0.74</v>
      </c>
      <c r="C11" s="39" t="e">
        <f>+C7*B11</f>
        <v>#REF!</v>
      </c>
      <c r="D11" s="40" t="e">
        <f>+D7*B11</f>
        <v>#REF!</v>
      </c>
      <c r="E11" s="40" t="e">
        <f>+E7*B11</f>
        <v>#REF!</v>
      </c>
      <c r="F11" s="39" t="e">
        <f>+F7*B11</f>
        <v>#REF!</v>
      </c>
      <c r="G11" s="39" t="e">
        <f>+G7*B11</f>
        <v>#REF!</v>
      </c>
      <c r="H11" s="39" t="e">
        <f>+H7*B11</f>
        <v>#REF!</v>
      </c>
      <c r="I11" s="39" t="e">
        <f>+I7*B11</f>
        <v>#REF!</v>
      </c>
      <c r="K11" s="41" t="e">
        <f>SUM(C11:J11)</f>
        <v>#REF!</v>
      </c>
      <c r="N11" s="43"/>
    </row>
    <row r="12" spans="1:14" x14ac:dyDescent="0.2">
      <c r="A12" t="s">
        <v>49</v>
      </c>
      <c r="B12" s="42">
        <v>7.0000000000000007E-2</v>
      </c>
      <c r="C12" s="39" t="e">
        <f>+C7*B12</f>
        <v>#REF!</v>
      </c>
      <c r="D12" s="40" t="e">
        <f>+D7*B12</f>
        <v>#REF!</v>
      </c>
      <c r="E12" s="40" t="e">
        <f>+E7*B12</f>
        <v>#REF!</v>
      </c>
      <c r="F12" s="39" t="e">
        <f>+F7*B12</f>
        <v>#REF!</v>
      </c>
      <c r="G12" s="39" t="e">
        <f>+G7*B12</f>
        <v>#REF!</v>
      </c>
      <c r="H12" s="39" t="e">
        <f>+H7*B12</f>
        <v>#REF!</v>
      </c>
      <c r="I12" s="39" t="e">
        <f>+I7*B12</f>
        <v>#REF!</v>
      </c>
      <c r="K12" s="41" t="e">
        <f>SUM(C12:J12)</f>
        <v>#REF!</v>
      </c>
      <c r="N12" s="43"/>
    </row>
    <row r="14" spans="1:14" x14ac:dyDescent="0.2">
      <c r="A14" t="s">
        <v>42</v>
      </c>
      <c r="C14" s="41" t="e">
        <f>SUM(C10:C13)</f>
        <v>#REF!</v>
      </c>
      <c r="D14" s="44" t="e">
        <f>SUM(D10:D13)</f>
        <v>#REF!</v>
      </c>
      <c r="E14" s="44" t="e">
        <f>SUM(E10:E12)</f>
        <v>#REF!</v>
      </c>
      <c r="F14" s="41" t="e">
        <f>SUM(F10:F12)</f>
        <v>#REF!</v>
      </c>
      <c r="G14" s="41" t="e">
        <f>SUM(G10:G12)</f>
        <v>#REF!</v>
      </c>
      <c r="H14" s="41" t="e">
        <f>SUM(H10:H12)</f>
        <v>#REF!</v>
      </c>
      <c r="I14" s="41" t="e">
        <f>SUM(I10:I12)</f>
        <v>#REF!</v>
      </c>
      <c r="K14" s="41" t="e">
        <f>SUM(C14:J14)</f>
        <v>#REF!</v>
      </c>
    </row>
    <row r="16" spans="1:14" x14ac:dyDescent="0.2">
      <c r="A16" t="s">
        <v>50</v>
      </c>
      <c r="B16" t="s">
        <v>51</v>
      </c>
      <c r="C16" s="45" t="e">
        <f>#REF!</f>
        <v>#REF!</v>
      </c>
      <c r="D16" s="45" t="e">
        <f>#REF!</f>
        <v>#REF!</v>
      </c>
      <c r="E16" s="45" t="e">
        <f>#REF!</f>
        <v>#REF!</v>
      </c>
      <c r="F16" s="45" t="e">
        <f>#REF!</f>
        <v>#REF!</v>
      </c>
      <c r="G16" s="45" t="e">
        <f>#REF!</f>
        <v>#REF!</v>
      </c>
      <c r="H16" s="45" t="e">
        <f>#REF!</f>
        <v>#REF!</v>
      </c>
      <c r="I16" s="45" t="e">
        <f>#REF!</f>
        <v>#REF!</v>
      </c>
      <c r="K16" s="41" t="e">
        <f>SUM(C16:J16)</f>
        <v>#REF!</v>
      </c>
    </row>
    <row r="17" spans="1:14" x14ac:dyDescent="0.2">
      <c r="A17" t="s">
        <v>52</v>
      </c>
      <c r="B17" t="s">
        <v>51</v>
      </c>
      <c r="C17" s="45" t="e">
        <f>#REF!</f>
        <v>#REF!</v>
      </c>
      <c r="D17" s="45" t="e">
        <f>#REF!</f>
        <v>#REF!</v>
      </c>
      <c r="E17" s="45" t="e">
        <f>#REF!</f>
        <v>#REF!</v>
      </c>
      <c r="F17" s="45" t="e">
        <f>#REF!</f>
        <v>#REF!</v>
      </c>
      <c r="G17" s="45" t="e">
        <f>#REF!</f>
        <v>#REF!</v>
      </c>
      <c r="H17" s="45" t="e">
        <f>#REF!</f>
        <v>#REF!</v>
      </c>
      <c r="I17" s="45" t="e">
        <f>#REF!</f>
        <v>#REF!</v>
      </c>
      <c r="K17" s="41" t="e">
        <f>SUM(C17:J17)</f>
        <v>#REF!</v>
      </c>
    </row>
    <row r="18" spans="1:14" x14ac:dyDescent="0.2">
      <c r="A18" t="s">
        <v>53</v>
      </c>
      <c r="B18" t="s">
        <v>51</v>
      </c>
      <c r="C18" s="45" t="e">
        <f>#REF!</f>
        <v>#REF!</v>
      </c>
      <c r="D18" s="45" t="e">
        <f>#REF!</f>
        <v>#REF!</v>
      </c>
      <c r="E18" s="45" t="e">
        <f>#REF!</f>
        <v>#REF!</v>
      </c>
      <c r="F18" s="45" t="e">
        <f>#REF!</f>
        <v>#REF!</v>
      </c>
      <c r="G18" s="45" t="e">
        <f>#REF!</f>
        <v>#REF!</v>
      </c>
      <c r="H18" s="45" t="e">
        <f>#REF!</f>
        <v>#REF!</v>
      </c>
      <c r="I18" s="45" t="e">
        <f>#REF!</f>
        <v>#REF!</v>
      </c>
      <c r="K18" s="41" t="e">
        <f>SUM(C18:J18)</f>
        <v>#REF!</v>
      </c>
      <c r="L18" s="41" t="e">
        <f>SUM(K16:K18)</f>
        <v>#REF!</v>
      </c>
      <c r="N18" s="52"/>
    </row>
    <row r="19" spans="1:14" x14ac:dyDescent="0.2">
      <c r="A19" t="s">
        <v>54</v>
      </c>
      <c r="B19" t="s">
        <v>55</v>
      </c>
      <c r="C19" s="45" t="e">
        <f>+#REF!</f>
        <v>#REF!</v>
      </c>
      <c r="D19" s="45" t="e">
        <f>+#REF!</f>
        <v>#REF!</v>
      </c>
      <c r="E19" s="45" t="e">
        <f>+#REF!</f>
        <v>#REF!</v>
      </c>
      <c r="F19" s="45" t="e">
        <f>+#REF!</f>
        <v>#REF!</v>
      </c>
      <c r="G19" s="45" t="e">
        <f>+#REF!</f>
        <v>#REF!</v>
      </c>
      <c r="H19" s="45" t="e">
        <f>+#REF!</f>
        <v>#REF!</v>
      </c>
      <c r="I19" s="45" t="e">
        <f>+#REF!</f>
        <v>#REF!</v>
      </c>
      <c r="K19" s="41" t="e">
        <f>SUM(C19:J19)</f>
        <v>#REF!</v>
      </c>
    </row>
    <row r="21" spans="1:14" x14ac:dyDescent="0.2">
      <c r="A21" t="s">
        <v>56</v>
      </c>
      <c r="C21" s="50" t="e">
        <f t="shared" ref="C21:I21" si="1">+C10-C16</f>
        <v>#REF!</v>
      </c>
      <c r="D21" s="51" t="e">
        <f t="shared" si="1"/>
        <v>#REF!</v>
      </c>
      <c r="E21" s="51" t="e">
        <f t="shared" si="1"/>
        <v>#REF!</v>
      </c>
      <c r="F21" s="50" t="e">
        <f t="shared" si="1"/>
        <v>#REF!</v>
      </c>
      <c r="G21" s="50" t="e">
        <f t="shared" si="1"/>
        <v>#REF!</v>
      </c>
      <c r="H21" s="50" t="e">
        <f t="shared" si="1"/>
        <v>#REF!</v>
      </c>
      <c r="I21" s="50" t="e">
        <f t="shared" si="1"/>
        <v>#REF!</v>
      </c>
      <c r="K21" s="41" t="e">
        <f>SUM(C21:J21)</f>
        <v>#REF!</v>
      </c>
    </row>
    <row r="22" spans="1:14" x14ac:dyDescent="0.2">
      <c r="A22" t="s">
        <v>57</v>
      </c>
      <c r="C22" s="50">
        <v>60000</v>
      </c>
      <c r="D22" s="46">
        <v>62000</v>
      </c>
      <c r="E22" s="46">
        <v>60000</v>
      </c>
      <c r="F22" s="45">
        <v>62000</v>
      </c>
      <c r="G22" s="45">
        <v>62000</v>
      </c>
      <c r="H22" s="45">
        <v>60000</v>
      </c>
      <c r="I22" s="45">
        <v>62000</v>
      </c>
      <c r="K22" s="41">
        <f>SUM(C22:J22)</f>
        <v>428000</v>
      </c>
    </row>
    <row r="23" spans="1:14" x14ac:dyDescent="0.2">
      <c r="C23" s="41"/>
    </row>
    <row r="24" spans="1:14" x14ac:dyDescent="0.2">
      <c r="A24" s="13" t="s">
        <v>58</v>
      </c>
      <c r="C24" s="41" t="e">
        <f t="shared" ref="C24:I24" si="2">+C21-C22</f>
        <v>#REF!</v>
      </c>
      <c r="D24" s="41" t="e">
        <f t="shared" si="2"/>
        <v>#REF!</v>
      </c>
      <c r="E24" s="41" t="e">
        <f>+E10-E16</f>
        <v>#REF!</v>
      </c>
      <c r="F24" s="41" t="e">
        <f>+F10-F16</f>
        <v>#REF!</v>
      </c>
      <c r="G24" s="41" t="e">
        <f t="shared" si="2"/>
        <v>#REF!</v>
      </c>
      <c r="H24" s="41" t="e">
        <f t="shared" si="2"/>
        <v>#REF!</v>
      </c>
      <c r="I24" s="41" t="e">
        <f t="shared" si="2"/>
        <v>#REF!</v>
      </c>
      <c r="K24" s="41" t="e">
        <f>SUM(C24:J24)</f>
        <v>#REF!</v>
      </c>
    </row>
    <row r="25" spans="1:14" x14ac:dyDescent="0.2">
      <c r="A25" s="13"/>
      <c r="C25" s="41"/>
      <c r="D25" s="41"/>
      <c r="E25" s="41"/>
      <c r="F25" s="41"/>
      <c r="G25" s="41"/>
      <c r="H25" s="41"/>
      <c r="I25" s="41"/>
    </row>
    <row r="27" spans="1:14" x14ac:dyDescent="0.2">
      <c r="C27" s="47" t="s">
        <v>66</v>
      </c>
      <c r="D27" s="47">
        <v>38477</v>
      </c>
      <c r="E27" s="47">
        <v>38508</v>
      </c>
      <c r="F27" s="47">
        <v>38538</v>
      </c>
      <c r="G27" s="47">
        <v>38569</v>
      </c>
      <c r="H27" s="47">
        <v>38600</v>
      </c>
      <c r="I27" s="47">
        <v>38630</v>
      </c>
    </row>
    <row r="29" spans="1:14" x14ac:dyDescent="0.2">
      <c r="A29" t="s">
        <v>59</v>
      </c>
      <c r="C29" s="41" t="e">
        <f t="shared" ref="C29:I29" si="3">+C11</f>
        <v>#REF!</v>
      </c>
      <c r="D29" s="41" t="e">
        <f t="shared" si="3"/>
        <v>#REF!</v>
      </c>
      <c r="E29" s="41" t="e">
        <f t="shared" si="3"/>
        <v>#REF!</v>
      </c>
      <c r="F29" s="41" t="e">
        <f t="shared" si="3"/>
        <v>#REF!</v>
      </c>
      <c r="G29" s="41" t="e">
        <f t="shared" si="3"/>
        <v>#REF!</v>
      </c>
      <c r="H29" s="41" t="e">
        <f t="shared" si="3"/>
        <v>#REF!</v>
      </c>
      <c r="I29" s="41" t="e">
        <f t="shared" si="3"/>
        <v>#REF!</v>
      </c>
      <c r="K29" s="41" t="e">
        <f>SUM(C29:J29)</f>
        <v>#REF!</v>
      </c>
    </row>
    <row r="30" spans="1:14" x14ac:dyDescent="0.2">
      <c r="A30" t="s">
        <v>60</v>
      </c>
      <c r="C30" s="41" t="e">
        <f t="shared" ref="C30:I30" si="4">+C29-C17</f>
        <v>#REF!</v>
      </c>
      <c r="D30" s="41" t="e">
        <f t="shared" si="4"/>
        <v>#REF!</v>
      </c>
      <c r="E30" s="41" t="e">
        <f t="shared" si="4"/>
        <v>#REF!</v>
      </c>
      <c r="F30" s="41" t="e">
        <f t="shared" si="4"/>
        <v>#REF!</v>
      </c>
      <c r="G30" s="41" t="e">
        <f t="shared" si="4"/>
        <v>#REF!</v>
      </c>
      <c r="H30" s="41" t="e">
        <f t="shared" si="4"/>
        <v>#REF!</v>
      </c>
      <c r="I30" s="41" t="e">
        <f t="shared" si="4"/>
        <v>#REF!</v>
      </c>
      <c r="K30" s="41" t="e">
        <f>SUM(C30:J30)</f>
        <v>#REF!</v>
      </c>
    </row>
    <row r="31" spans="1:14" x14ac:dyDescent="0.2">
      <c r="A31" t="s">
        <v>61</v>
      </c>
      <c r="B31" s="38"/>
      <c r="C31" s="45" t="e">
        <f>C19</f>
        <v>#REF!</v>
      </c>
      <c r="D31" s="45" t="e">
        <f t="shared" ref="D31:I31" si="5">D19</f>
        <v>#REF!</v>
      </c>
      <c r="E31" s="45" t="e">
        <f t="shared" si="5"/>
        <v>#REF!</v>
      </c>
      <c r="F31" s="45" t="e">
        <f t="shared" si="5"/>
        <v>#REF!</v>
      </c>
      <c r="G31" s="45" t="e">
        <f t="shared" si="5"/>
        <v>#REF!</v>
      </c>
      <c r="H31" s="45" t="e">
        <f t="shared" si="5"/>
        <v>#REF!</v>
      </c>
      <c r="I31" s="45" t="e">
        <f t="shared" si="5"/>
        <v>#REF!</v>
      </c>
      <c r="K31" s="41" t="e">
        <f>SUM(C31:J31)</f>
        <v>#REF!</v>
      </c>
    </row>
    <row r="33" spans="1:11" x14ac:dyDescent="0.2">
      <c r="A33" s="13" t="s">
        <v>62</v>
      </c>
      <c r="C33" s="41" t="e">
        <f t="shared" ref="C33:I33" si="6">+C30-C31</f>
        <v>#REF!</v>
      </c>
      <c r="D33" s="41" t="e">
        <f t="shared" si="6"/>
        <v>#REF!</v>
      </c>
      <c r="E33" s="41" t="e">
        <f t="shared" si="6"/>
        <v>#REF!</v>
      </c>
      <c r="F33" s="41" t="e">
        <f t="shared" si="6"/>
        <v>#REF!</v>
      </c>
      <c r="G33" s="41" t="e">
        <f t="shared" si="6"/>
        <v>#REF!</v>
      </c>
      <c r="H33" s="41" t="e">
        <f t="shared" si="6"/>
        <v>#REF!</v>
      </c>
      <c r="I33" s="41" t="e">
        <f t="shared" si="6"/>
        <v>#REF!</v>
      </c>
      <c r="K33" s="41" t="e">
        <f>SUM(C33:J33)</f>
        <v>#REF!</v>
      </c>
    </row>
    <row r="37" spans="1:11" x14ac:dyDescent="0.2">
      <c r="A37" t="s">
        <v>63</v>
      </c>
      <c r="C37" s="41" t="e">
        <f t="shared" ref="C37:I37" si="7">+C12</f>
        <v>#REF!</v>
      </c>
      <c r="D37" s="41" t="e">
        <f t="shared" si="7"/>
        <v>#REF!</v>
      </c>
      <c r="E37" s="41" t="e">
        <f t="shared" si="7"/>
        <v>#REF!</v>
      </c>
      <c r="F37" s="41" t="e">
        <f t="shared" si="7"/>
        <v>#REF!</v>
      </c>
      <c r="G37" s="41" t="e">
        <f t="shared" si="7"/>
        <v>#REF!</v>
      </c>
      <c r="H37" s="41" t="e">
        <f t="shared" si="7"/>
        <v>#REF!</v>
      </c>
      <c r="I37" s="41" t="e">
        <f t="shared" si="7"/>
        <v>#REF!</v>
      </c>
      <c r="K37" s="41" t="e">
        <f>SUM(C37:J37)</f>
        <v>#REF!</v>
      </c>
    </row>
    <row r="38" spans="1:11" x14ac:dyDescent="0.2">
      <c r="A38" t="s">
        <v>64</v>
      </c>
      <c r="C38" s="39" t="e">
        <f t="shared" ref="C38:I38" si="8">+C18</f>
        <v>#REF!</v>
      </c>
      <c r="D38" s="39" t="e">
        <f t="shared" si="8"/>
        <v>#REF!</v>
      </c>
      <c r="E38" s="39" t="e">
        <f t="shared" si="8"/>
        <v>#REF!</v>
      </c>
      <c r="F38" s="39" t="e">
        <f t="shared" si="8"/>
        <v>#REF!</v>
      </c>
      <c r="G38" s="39" t="e">
        <f t="shared" si="8"/>
        <v>#REF!</v>
      </c>
      <c r="H38" s="39" t="e">
        <f t="shared" si="8"/>
        <v>#REF!</v>
      </c>
      <c r="I38" s="39" t="e">
        <f t="shared" si="8"/>
        <v>#REF!</v>
      </c>
      <c r="K38" s="41" t="e">
        <f>SUM(C38:J38)</f>
        <v>#REF!</v>
      </c>
    </row>
    <row r="40" spans="1:11" x14ac:dyDescent="0.2">
      <c r="A40" s="13" t="s">
        <v>65</v>
      </c>
      <c r="C40" s="41" t="e">
        <f t="shared" ref="C40:I40" si="9">+C37-C38</f>
        <v>#REF!</v>
      </c>
      <c r="D40" s="41" t="e">
        <f t="shared" si="9"/>
        <v>#REF!</v>
      </c>
      <c r="E40" s="41" t="e">
        <f t="shared" si="9"/>
        <v>#REF!</v>
      </c>
      <c r="F40" s="41" t="e">
        <f t="shared" si="9"/>
        <v>#REF!</v>
      </c>
      <c r="G40" s="41" t="e">
        <f t="shared" si="9"/>
        <v>#REF!</v>
      </c>
      <c r="H40" s="41" t="e">
        <f t="shared" si="9"/>
        <v>#REF!</v>
      </c>
      <c r="I40" s="41" t="e">
        <f t="shared" si="9"/>
        <v>#REF!</v>
      </c>
      <c r="K40" s="41" t="e">
        <f>SUM(C40:J40)</f>
        <v>#REF!</v>
      </c>
    </row>
  </sheetData>
  <phoneticPr fontId="0" type="noConversion"/>
  <pageMargins left="0.75" right="0.75" top="1" bottom="1" header="0.5" footer="0.5"/>
  <pageSetup scale="77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2:N40"/>
  <sheetViews>
    <sheetView topLeftCell="A4" workbookViewId="0">
      <selection activeCell="B5" sqref="B5"/>
    </sheetView>
  </sheetViews>
  <sheetFormatPr defaultRowHeight="12.75" x14ac:dyDescent="0.2"/>
  <cols>
    <col min="1" max="1" width="34" bestFit="1" customWidth="1"/>
    <col min="2" max="2" width="10.140625" customWidth="1"/>
    <col min="3" max="3" width="14" bestFit="1" customWidth="1"/>
    <col min="4" max="4" width="11.85546875" style="38" customWidth="1"/>
    <col min="5" max="5" width="12.28515625" style="38" customWidth="1"/>
    <col min="6" max="7" width="12" customWidth="1"/>
    <col min="8" max="8" width="13.5703125" customWidth="1"/>
    <col min="9" max="9" width="11.5703125" customWidth="1"/>
    <col min="10" max="10" width="5.5703125" customWidth="1"/>
    <col min="11" max="11" width="11.28515625" bestFit="1" customWidth="1"/>
    <col min="12" max="12" width="10.5703125" customWidth="1"/>
  </cols>
  <sheetData>
    <row r="2" spans="1:14" x14ac:dyDescent="0.2">
      <c r="A2" t="s">
        <v>43</v>
      </c>
    </row>
    <row r="5" spans="1:14" x14ac:dyDescent="0.2">
      <c r="C5" s="47" t="s">
        <v>70</v>
      </c>
      <c r="D5" s="47">
        <v>38842</v>
      </c>
      <c r="E5" s="47">
        <v>38873</v>
      </c>
      <c r="F5" s="47">
        <v>38903</v>
      </c>
      <c r="G5" s="47">
        <v>38934</v>
      </c>
      <c r="H5" s="47">
        <v>38965</v>
      </c>
      <c r="I5" s="47">
        <v>38995</v>
      </c>
      <c r="K5" s="38" t="s">
        <v>44</v>
      </c>
    </row>
    <row r="7" spans="1:14" x14ac:dyDescent="0.2">
      <c r="A7" t="s">
        <v>71</v>
      </c>
      <c r="C7" s="55" t="e">
        <f>88500+460800+50800+768230+C19</f>
        <v>#REF!</v>
      </c>
      <c r="D7" s="54" t="e">
        <f>67000+386300+44800+768230+D19+100000</f>
        <v>#REF!</v>
      </c>
      <c r="E7" s="54" t="e">
        <f>118500+239900+46600+768230+E19</f>
        <v>#REF!</v>
      </c>
      <c r="F7" s="55" t="e">
        <f>115200+227200+45600+768230+F19</f>
        <v>#REF!</v>
      </c>
      <c r="G7" s="55" t="e">
        <f>53200+227200+45600+384115+G19</f>
        <v>#REF!</v>
      </c>
      <c r="H7" s="55" t="e">
        <f>62500+361700+42800+192058+H19</f>
        <v>#REF!</v>
      </c>
      <c r="I7" s="55">
        <f>87100+463000+50900+192058+467284</f>
        <v>1260342</v>
      </c>
      <c r="K7" s="41" t="e">
        <f>SUM(C7:J7)</f>
        <v>#REF!</v>
      </c>
    </row>
    <row r="8" spans="1:14" x14ac:dyDescent="0.2">
      <c r="A8" t="s">
        <v>46</v>
      </c>
      <c r="C8" s="39" t="e">
        <f t="shared" ref="C8:I8" si="0">+C7-C16-C19</f>
        <v>#REF!</v>
      </c>
      <c r="D8" s="39" t="e">
        <f t="shared" si="0"/>
        <v>#REF!</v>
      </c>
      <c r="E8" s="39" t="e">
        <f t="shared" si="0"/>
        <v>#REF!</v>
      </c>
      <c r="F8" s="39" t="e">
        <f t="shared" si="0"/>
        <v>#REF!</v>
      </c>
      <c r="G8" s="39" t="e">
        <f t="shared" si="0"/>
        <v>#REF!</v>
      </c>
      <c r="H8" s="39" t="e">
        <f t="shared" si="0"/>
        <v>#REF!</v>
      </c>
      <c r="I8" s="39" t="e">
        <f t="shared" si="0"/>
        <v>#REF!</v>
      </c>
      <c r="K8" s="41" t="e">
        <f>SUM(C8:J8)</f>
        <v>#REF!</v>
      </c>
    </row>
    <row r="10" spans="1:14" x14ac:dyDescent="0.2">
      <c r="A10" t="s">
        <v>47</v>
      </c>
      <c r="B10" s="42">
        <v>0.19500000000000001</v>
      </c>
      <c r="C10" s="39" t="e">
        <f>+C7*B10</f>
        <v>#REF!</v>
      </c>
      <c r="D10" s="40" t="e">
        <f>+D7*B10</f>
        <v>#REF!</v>
      </c>
      <c r="E10" s="40" t="e">
        <f>+E7*B10</f>
        <v>#REF!</v>
      </c>
      <c r="F10" s="39" t="e">
        <f>+F7*B10</f>
        <v>#REF!</v>
      </c>
      <c r="G10" s="39" t="e">
        <f>+G7*B10</f>
        <v>#REF!</v>
      </c>
      <c r="H10" s="39" t="e">
        <f>+H7*B10</f>
        <v>#REF!</v>
      </c>
      <c r="I10" s="39">
        <f>+I7*B10</f>
        <v>245766.69</v>
      </c>
      <c r="K10" s="41" t="e">
        <f>SUM(C10:J10)</f>
        <v>#REF!</v>
      </c>
      <c r="N10" s="43"/>
    </row>
    <row r="11" spans="1:14" x14ac:dyDescent="0.2">
      <c r="A11" t="s">
        <v>48</v>
      </c>
      <c r="B11" s="42">
        <v>0.745</v>
      </c>
      <c r="C11" s="39" t="e">
        <f>+C7*B11</f>
        <v>#REF!</v>
      </c>
      <c r="D11" s="40" t="e">
        <f>+D7*B11</f>
        <v>#REF!</v>
      </c>
      <c r="E11" s="40" t="e">
        <f>+E7*B11</f>
        <v>#REF!</v>
      </c>
      <c r="F11" s="39" t="e">
        <f>+F7*B11</f>
        <v>#REF!</v>
      </c>
      <c r="G11" s="39" t="e">
        <f>+G7*B11</f>
        <v>#REF!</v>
      </c>
      <c r="H11" s="39" t="e">
        <f>+H7*B11</f>
        <v>#REF!</v>
      </c>
      <c r="I11" s="39">
        <f>+I7*B11</f>
        <v>938954.79</v>
      </c>
      <c r="K11" s="41" t="e">
        <f>SUM(C11:J11)</f>
        <v>#REF!</v>
      </c>
      <c r="N11" s="43"/>
    </row>
    <row r="12" spans="1:14" x14ac:dyDescent="0.2">
      <c r="A12" t="s">
        <v>49</v>
      </c>
      <c r="B12" s="42">
        <v>0.06</v>
      </c>
      <c r="C12" s="39" t="e">
        <f>+C7*B12</f>
        <v>#REF!</v>
      </c>
      <c r="D12" s="40" t="e">
        <f>+D7*B12</f>
        <v>#REF!</v>
      </c>
      <c r="E12" s="40" t="e">
        <f>+E7*B12</f>
        <v>#REF!</v>
      </c>
      <c r="F12" s="39" t="e">
        <f>+F7*B12</f>
        <v>#REF!</v>
      </c>
      <c r="G12" s="39" t="e">
        <f>+G7*B12</f>
        <v>#REF!</v>
      </c>
      <c r="H12" s="39" t="e">
        <f>+H7*B12</f>
        <v>#REF!</v>
      </c>
      <c r="I12" s="39">
        <f>+I7*B12</f>
        <v>75620.52</v>
      </c>
      <c r="K12" s="41" t="e">
        <f>SUM(C12:J12)</f>
        <v>#REF!</v>
      </c>
      <c r="N12" s="43"/>
    </row>
    <row r="14" spans="1:14" x14ac:dyDescent="0.2">
      <c r="A14" t="s">
        <v>42</v>
      </c>
      <c r="C14" s="41" t="e">
        <f>SUM(C10:C13)</f>
        <v>#REF!</v>
      </c>
      <c r="D14" s="44" t="e">
        <f>SUM(D10:D13)</f>
        <v>#REF!</v>
      </c>
      <c r="E14" s="44" t="e">
        <f>SUM(E10:E12)</f>
        <v>#REF!</v>
      </c>
      <c r="F14" s="41" t="e">
        <f>SUM(F10:F12)</f>
        <v>#REF!</v>
      </c>
      <c r="G14" s="41" t="e">
        <f>SUM(G10:G12)</f>
        <v>#REF!</v>
      </c>
      <c r="H14" s="41" t="e">
        <f>SUM(H10:H12)</f>
        <v>#REF!</v>
      </c>
      <c r="I14" s="41">
        <f>SUM(I10:I12)</f>
        <v>1260342</v>
      </c>
      <c r="K14" s="41" t="e">
        <f>SUM(C14:J14)</f>
        <v>#REF!</v>
      </c>
    </row>
    <row r="16" spans="1:14" x14ac:dyDescent="0.2">
      <c r="A16" t="s">
        <v>50</v>
      </c>
      <c r="B16" t="s">
        <v>51</v>
      </c>
      <c r="C16" s="45" t="e">
        <f>#REF!</f>
        <v>#REF!</v>
      </c>
      <c r="D16" s="45" t="e">
        <f>#REF!</f>
        <v>#REF!</v>
      </c>
      <c r="E16" s="45" t="e">
        <f>#REF!</f>
        <v>#REF!</v>
      </c>
      <c r="F16" s="45" t="e">
        <f>#REF!</f>
        <v>#REF!</v>
      </c>
      <c r="G16" s="45" t="e">
        <f>#REF!</f>
        <v>#REF!</v>
      </c>
      <c r="H16" s="45" t="e">
        <f>#REF!</f>
        <v>#REF!</v>
      </c>
      <c r="I16" s="45" t="e">
        <f>#REF!</f>
        <v>#REF!</v>
      </c>
      <c r="K16" s="41" t="e">
        <f>SUM(C16:J16)</f>
        <v>#REF!</v>
      </c>
    </row>
    <row r="17" spans="1:14" x14ac:dyDescent="0.2">
      <c r="A17" t="s">
        <v>52</v>
      </c>
      <c r="B17" t="s">
        <v>51</v>
      </c>
      <c r="C17" s="45" t="e">
        <f>#REF!</f>
        <v>#REF!</v>
      </c>
      <c r="D17" s="45" t="e">
        <f>#REF!</f>
        <v>#REF!</v>
      </c>
      <c r="E17" s="45" t="e">
        <f>#REF!</f>
        <v>#REF!</v>
      </c>
      <c r="F17" s="45" t="e">
        <f>#REF!</f>
        <v>#REF!</v>
      </c>
      <c r="G17" s="45" t="e">
        <f>#REF!</f>
        <v>#REF!</v>
      </c>
      <c r="H17" s="45" t="e">
        <f>#REF!</f>
        <v>#REF!</v>
      </c>
      <c r="I17" s="45" t="e">
        <f>#REF!</f>
        <v>#REF!</v>
      </c>
      <c r="K17" s="41" t="e">
        <f>SUM(C17:J17)</f>
        <v>#REF!</v>
      </c>
    </row>
    <row r="18" spans="1:14" x14ac:dyDescent="0.2">
      <c r="A18" t="s">
        <v>53</v>
      </c>
      <c r="B18" t="s">
        <v>51</v>
      </c>
      <c r="C18" s="45" t="e">
        <f>#REF!</f>
        <v>#REF!</v>
      </c>
      <c r="D18" s="45" t="e">
        <f>#REF!</f>
        <v>#REF!</v>
      </c>
      <c r="E18" s="45" t="e">
        <f>#REF!</f>
        <v>#REF!</v>
      </c>
      <c r="F18" s="45" t="e">
        <f>#REF!</f>
        <v>#REF!</v>
      </c>
      <c r="G18" s="45" t="e">
        <f>#REF!</f>
        <v>#REF!</v>
      </c>
      <c r="H18" s="45" t="e">
        <f>#REF!</f>
        <v>#REF!</v>
      </c>
      <c r="I18" s="45" t="e">
        <f>#REF!</f>
        <v>#REF!</v>
      </c>
      <c r="K18" s="41" t="e">
        <f>SUM(C18:J18)</f>
        <v>#REF!</v>
      </c>
      <c r="L18" s="41" t="e">
        <f>SUM(K16:K18)</f>
        <v>#REF!</v>
      </c>
      <c r="N18" s="52"/>
    </row>
    <row r="19" spans="1:14" x14ac:dyDescent="0.2">
      <c r="A19" t="s">
        <v>54</v>
      </c>
      <c r="B19" t="s">
        <v>55</v>
      </c>
      <c r="C19" s="45" t="e">
        <f>+#REF!</f>
        <v>#REF!</v>
      </c>
      <c r="D19" s="45" t="e">
        <f>+#REF!</f>
        <v>#REF!</v>
      </c>
      <c r="E19" s="45" t="e">
        <f>+#REF!</f>
        <v>#REF!</v>
      </c>
      <c r="F19" s="45" t="e">
        <f>+#REF!</f>
        <v>#REF!</v>
      </c>
      <c r="G19" s="45" t="e">
        <f>+#REF!</f>
        <v>#REF!</v>
      </c>
      <c r="H19" s="45" t="e">
        <f>+#REF!</f>
        <v>#REF!</v>
      </c>
      <c r="I19" s="45" t="e">
        <f>+#REF!</f>
        <v>#REF!</v>
      </c>
      <c r="K19" s="41" t="e">
        <f>SUM(C19:J19)</f>
        <v>#REF!</v>
      </c>
    </row>
    <row r="21" spans="1:14" x14ac:dyDescent="0.2">
      <c r="A21" t="s">
        <v>56</v>
      </c>
      <c r="C21" s="50" t="e">
        <f t="shared" ref="C21:I21" si="1">+C10-C16</f>
        <v>#REF!</v>
      </c>
      <c r="D21" s="51" t="e">
        <f t="shared" si="1"/>
        <v>#REF!</v>
      </c>
      <c r="E21" s="51" t="e">
        <f t="shared" si="1"/>
        <v>#REF!</v>
      </c>
      <c r="F21" s="50" t="e">
        <f t="shared" si="1"/>
        <v>#REF!</v>
      </c>
      <c r="G21" s="50" t="e">
        <f t="shared" si="1"/>
        <v>#REF!</v>
      </c>
      <c r="H21" s="50" t="e">
        <f t="shared" si="1"/>
        <v>#REF!</v>
      </c>
      <c r="I21" s="50" t="e">
        <f t="shared" si="1"/>
        <v>#REF!</v>
      </c>
      <c r="K21" s="41" t="e">
        <f>SUM(C21:J21)</f>
        <v>#REF!</v>
      </c>
    </row>
    <row r="22" spans="1:14" x14ac:dyDescent="0.2">
      <c r="A22" t="s">
        <v>57</v>
      </c>
      <c r="C22" s="53">
        <v>30000</v>
      </c>
      <c r="D22" s="54">
        <v>31000</v>
      </c>
      <c r="E22" s="54">
        <v>30000</v>
      </c>
      <c r="F22" s="55">
        <v>31000</v>
      </c>
      <c r="G22" s="55">
        <v>31000</v>
      </c>
      <c r="H22" s="55">
        <v>30000</v>
      </c>
      <c r="I22" s="55">
        <v>31000</v>
      </c>
      <c r="K22" s="41">
        <f>SUM(C22:J22)</f>
        <v>214000</v>
      </c>
    </row>
    <row r="23" spans="1:14" x14ac:dyDescent="0.2">
      <c r="C23" s="41"/>
    </row>
    <row r="24" spans="1:14" x14ac:dyDescent="0.2">
      <c r="A24" s="13" t="s">
        <v>58</v>
      </c>
      <c r="C24" s="41" t="e">
        <f>+C21-C22</f>
        <v>#REF!</v>
      </c>
      <c r="D24" s="41" t="e">
        <f>+D21-D22</f>
        <v>#REF!</v>
      </c>
      <c r="E24" s="41" t="e">
        <f>+E10-E16</f>
        <v>#REF!</v>
      </c>
      <c r="F24" s="41" t="e">
        <f>+F10-F16</f>
        <v>#REF!</v>
      </c>
      <c r="G24" s="41" t="e">
        <f>+G21-G22</f>
        <v>#REF!</v>
      </c>
      <c r="H24" s="41" t="e">
        <f>+H21-H22</f>
        <v>#REF!</v>
      </c>
      <c r="I24" s="41" t="e">
        <f>+I21-I22</f>
        <v>#REF!</v>
      </c>
      <c r="K24" s="41" t="e">
        <f>SUM(C24:J24)</f>
        <v>#REF!</v>
      </c>
    </row>
    <row r="25" spans="1:14" x14ac:dyDescent="0.2">
      <c r="A25" s="13"/>
      <c r="C25" s="41"/>
      <c r="D25" s="41"/>
      <c r="E25" s="41"/>
      <c r="F25" s="41"/>
      <c r="G25" s="41"/>
      <c r="H25" s="41"/>
      <c r="I25" s="41"/>
    </row>
    <row r="27" spans="1:14" x14ac:dyDescent="0.2">
      <c r="C27" s="47" t="s">
        <v>70</v>
      </c>
      <c r="D27" s="47">
        <v>38842</v>
      </c>
      <c r="E27" s="47">
        <v>38873</v>
      </c>
      <c r="F27" s="47">
        <v>38903</v>
      </c>
      <c r="G27" s="47">
        <v>38934</v>
      </c>
      <c r="H27" s="47">
        <v>38965</v>
      </c>
      <c r="I27" s="47">
        <v>38995</v>
      </c>
    </row>
    <row r="29" spans="1:14" x14ac:dyDescent="0.2">
      <c r="A29" t="s">
        <v>59</v>
      </c>
      <c r="C29" s="41" t="e">
        <f t="shared" ref="C29:I29" si="2">+C11</f>
        <v>#REF!</v>
      </c>
      <c r="D29" s="41" t="e">
        <f t="shared" si="2"/>
        <v>#REF!</v>
      </c>
      <c r="E29" s="41" t="e">
        <f t="shared" si="2"/>
        <v>#REF!</v>
      </c>
      <c r="F29" s="41" t="e">
        <f t="shared" si="2"/>
        <v>#REF!</v>
      </c>
      <c r="G29" s="41" t="e">
        <f t="shared" si="2"/>
        <v>#REF!</v>
      </c>
      <c r="H29" s="41" t="e">
        <f t="shared" si="2"/>
        <v>#REF!</v>
      </c>
      <c r="I29" s="41">
        <f t="shared" si="2"/>
        <v>938954.79</v>
      </c>
      <c r="K29" s="41" t="e">
        <f>SUM(C29:J29)</f>
        <v>#REF!</v>
      </c>
    </row>
    <row r="30" spans="1:14" x14ac:dyDescent="0.2">
      <c r="A30" t="s">
        <v>60</v>
      </c>
      <c r="C30" s="41" t="e">
        <f t="shared" ref="C30:I30" si="3">+C29-C17</f>
        <v>#REF!</v>
      </c>
      <c r="D30" s="41" t="e">
        <f t="shared" si="3"/>
        <v>#REF!</v>
      </c>
      <c r="E30" s="41" t="e">
        <f t="shared" si="3"/>
        <v>#REF!</v>
      </c>
      <c r="F30" s="41" t="e">
        <f t="shared" si="3"/>
        <v>#REF!</v>
      </c>
      <c r="G30" s="41" t="e">
        <f t="shared" si="3"/>
        <v>#REF!</v>
      </c>
      <c r="H30" s="41" t="e">
        <f t="shared" si="3"/>
        <v>#REF!</v>
      </c>
      <c r="I30" s="41" t="e">
        <f t="shared" si="3"/>
        <v>#REF!</v>
      </c>
      <c r="K30" s="41" t="e">
        <f>SUM(C30:J30)</f>
        <v>#REF!</v>
      </c>
    </row>
    <row r="31" spans="1:14" x14ac:dyDescent="0.2">
      <c r="A31" t="s">
        <v>61</v>
      </c>
      <c r="B31" s="38"/>
      <c r="C31" s="45" t="e">
        <f t="shared" ref="C31:I31" si="4">C19</f>
        <v>#REF!</v>
      </c>
      <c r="D31" s="45" t="e">
        <f t="shared" si="4"/>
        <v>#REF!</v>
      </c>
      <c r="E31" s="45" t="e">
        <f t="shared" si="4"/>
        <v>#REF!</v>
      </c>
      <c r="F31" s="45" t="e">
        <f t="shared" si="4"/>
        <v>#REF!</v>
      </c>
      <c r="G31" s="45" t="e">
        <f t="shared" si="4"/>
        <v>#REF!</v>
      </c>
      <c r="H31" s="45" t="e">
        <f t="shared" si="4"/>
        <v>#REF!</v>
      </c>
      <c r="I31" s="45" t="e">
        <f t="shared" si="4"/>
        <v>#REF!</v>
      </c>
      <c r="K31" s="41" t="e">
        <f>SUM(C31:J31)</f>
        <v>#REF!</v>
      </c>
    </row>
    <row r="33" spans="1:11" x14ac:dyDescent="0.2">
      <c r="A33" s="13" t="s">
        <v>62</v>
      </c>
      <c r="C33" s="41" t="e">
        <f t="shared" ref="C33:I33" si="5">+C30-C31</f>
        <v>#REF!</v>
      </c>
      <c r="D33" s="41" t="e">
        <f t="shared" si="5"/>
        <v>#REF!</v>
      </c>
      <c r="E33" s="41" t="e">
        <f t="shared" si="5"/>
        <v>#REF!</v>
      </c>
      <c r="F33" s="41" t="e">
        <f t="shared" si="5"/>
        <v>#REF!</v>
      </c>
      <c r="G33" s="41" t="e">
        <f t="shared" si="5"/>
        <v>#REF!</v>
      </c>
      <c r="H33" s="41" t="e">
        <f t="shared" si="5"/>
        <v>#REF!</v>
      </c>
      <c r="I33" s="41" t="e">
        <f t="shared" si="5"/>
        <v>#REF!</v>
      </c>
      <c r="K33" s="41" t="e">
        <f>SUM(C33:J33)</f>
        <v>#REF!</v>
      </c>
    </row>
    <row r="37" spans="1:11" x14ac:dyDescent="0.2">
      <c r="A37" t="s">
        <v>63</v>
      </c>
      <c r="C37" s="41" t="e">
        <f t="shared" ref="C37:I37" si="6">+C12</f>
        <v>#REF!</v>
      </c>
      <c r="D37" s="41" t="e">
        <f t="shared" si="6"/>
        <v>#REF!</v>
      </c>
      <c r="E37" s="41" t="e">
        <f t="shared" si="6"/>
        <v>#REF!</v>
      </c>
      <c r="F37" s="41" t="e">
        <f t="shared" si="6"/>
        <v>#REF!</v>
      </c>
      <c r="G37" s="41" t="e">
        <f t="shared" si="6"/>
        <v>#REF!</v>
      </c>
      <c r="H37" s="41" t="e">
        <f t="shared" si="6"/>
        <v>#REF!</v>
      </c>
      <c r="I37" s="41">
        <f t="shared" si="6"/>
        <v>75620.52</v>
      </c>
      <c r="K37" s="41" t="e">
        <f>SUM(C37:J37)</f>
        <v>#REF!</v>
      </c>
    </row>
    <row r="38" spans="1:11" x14ac:dyDescent="0.2">
      <c r="A38" t="s">
        <v>64</v>
      </c>
      <c r="C38" s="39" t="e">
        <f t="shared" ref="C38:I38" si="7">+C18</f>
        <v>#REF!</v>
      </c>
      <c r="D38" s="39" t="e">
        <f t="shared" si="7"/>
        <v>#REF!</v>
      </c>
      <c r="E38" s="39" t="e">
        <f t="shared" si="7"/>
        <v>#REF!</v>
      </c>
      <c r="F38" s="39" t="e">
        <f t="shared" si="7"/>
        <v>#REF!</v>
      </c>
      <c r="G38" s="39" t="e">
        <f t="shared" si="7"/>
        <v>#REF!</v>
      </c>
      <c r="H38" s="39" t="e">
        <f t="shared" si="7"/>
        <v>#REF!</v>
      </c>
      <c r="I38" s="39" t="e">
        <f t="shared" si="7"/>
        <v>#REF!</v>
      </c>
      <c r="K38" s="41" t="e">
        <f>SUM(C38:J38)</f>
        <v>#REF!</v>
      </c>
    </row>
    <row r="40" spans="1:11" x14ac:dyDescent="0.2">
      <c r="A40" s="13" t="s">
        <v>65</v>
      </c>
      <c r="C40" s="41" t="e">
        <f t="shared" ref="C40:I40" si="8">+C37-C38</f>
        <v>#REF!</v>
      </c>
      <c r="D40" s="41" t="e">
        <f t="shared" si="8"/>
        <v>#REF!</v>
      </c>
      <c r="E40" s="41" t="e">
        <f t="shared" si="8"/>
        <v>#REF!</v>
      </c>
      <c r="F40" s="41" t="e">
        <f t="shared" si="8"/>
        <v>#REF!</v>
      </c>
      <c r="G40" s="41" t="e">
        <f t="shared" si="8"/>
        <v>#REF!</v>
      </c>
      <c r="H40" s="41" t="e">
        <f t="shared" si="8"/>
        <v>#REF!</v>
      </c>
      <c r="I40" s="41" t="e">
        <f t="shared" si="8"/>
        <v>#REF!</v>
      </c>
      <c r="K40" s="41" t="e">
        <f>SUM(C40:J40)</f>
        <v>#REF!</v>
      </c>
    </row>
  </sheetData>
  <phoneticPr fontId="0" type="noConversion"/>
  <pageMargins left="0.75" right="0.75" top="1" bottom="1" header="0.5" footer="0.5"/>
  <pageSetup scale="77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zoomScale="70" zoomScaleNormal="70" workbookViewId="0">
      <selection activeCell="B54" sqref="B54"/>
    </sheetView>
  </sheetViews>
  <sheetFormatPr defaultRowHeight="15" x14ac:dyDescent="0.25"/>
  <cols>
    <col min="1" max="1" width="26.7109375" style="215" customWidth="1"/>
    <col min="2" max="3" width="18.7109375" style="215" customWidth="1"/>
    <col min="4" max="4" width="27.7109375" style="215" customWidth="1"/>
    <col min="5" max="5" width="15.7109375" style="215" customWidth="1"/>
    <col min="6" max="7" width="12.7109375" style="215" customWidth="1"/>
    <col min="8" max="8" width="17.7109375" style="215" customWidth="1"/>
    <col min="9" max="10" width="15.7109375" style="215" customWidth="1"/>
    <col min="11" max="13" width="18.7109375" style="98" customWidth="1"/>
    <col min="14" max="21" width="15.85546875" style="98" customWidth="1"/>
    <col min="22" max="256" width="9.140625" style="98"/>
    <col min="257" max="257" width="26.7109375" style="98" customWidth="1"/>
    <col min="258" max="259" width="18.7109375" style="98" customWidth="1"/>
    <col min="260" max="260" width="27.7109375" style="98" customWidth="1"/>
    <col min="261" max="261" width="15.7109375" style="98" customWidth="1"/>
    <col min="262" max="263" width="12.7109375" style="98" customWidth="1"/>
    <col min="264" max="264" width="17.7109375" style="98" customWidth="1"/>
    <col min="265" max="266" width="15.7109375" style="98" customWidth="1"/>
    <col min="267" max="269" width="18.7109375" style="98" customWidth="1"/>
    <col min="270" max="277" width="15.85546875" style="98" customWidth="1"/>
    <col min="278" max="512" width="9.140625" style="98"/>
    <col min="513" max="513" width="26.7109375" style="98" customWidth="1"/>
    <col min="514" max="515" width="18.7109375" style="98" customWidth="1"/>
    <col min="516" max="516" width="27.7109375" style="98" customWidth="1"/>
    <col min="517" max="517" width="15.7109375" style="98" customWidth="1"/>
    <col min="518" max="519" width="12.7109375" style="98" customWidth="1"/>
    <col min="520" max="520" width="17.7109375" style="98" customWidth="1"/>
    <col min="521" max="522" width="15.7109375" style="98" customWidth="1"/>
    <col min="523" max="525" width="18.7109375" style="98" customWidth="1"/>
    <col min="526" max="533" width="15.85546875" style="98" customWidth="1"/>
    <col min="534" max="768" width="9.140625" style="98"/>
    <col min="769" max="769" width="26.7109375" style="98" customWidth="1"/>
    <col min="770" max="771" width="18.7109375" style="98" customWidth="1"/>
    <col min="772" max="772" width="27.7109375" style="98" customWidth="1"/>
    <col min="773" max="773" width="15.7109375" style="98" customWidth="1"/>
    <col min="774" max="775" width="12.7109375" style="98" customWidth="1"/>
    <col min="776" max="776" width="17.7109375" style="98" customWidth="1"/>
    <col min="777" max="778" width="15.7109375" style="98" customWidth="1"/>
    <col min="779" max="781" width="18.7109375" style="98" customWidth="1"/>
    <col min="782" max="789" width="15.85546875" style="98" customWidth="1"/>
    <col min="790" max="1024" width="9.140625" style="98"/>
    <col min="1025" max="1025" width="26.7109375" style="98" customWidth="1"/>
    <col min="1026" max="1027" width="18.7109375" style="98" customWidth="1"/>
    <col min="1028" max="1028" width="27.7109375" style="98" customWidth="1"/>
    <col min="1029" max="1029" width="15.7109375" style="98" customWidth="1"/>
    <col min="1030" max="1031" width="12.7109375" style="98" customWidth="1"/>
    <col min="1032" max="1032" width="17.7109375" style="98" customWidth="1"/>
    <col min="1033" max="1034" width="15.7109375" style="98" customWidth="1"/>
    <col min="1035" max="1037" width="18.7109375" style="98" customWidth="1"/>
    <col min="1038" max="1045" width="15.85546875" style="98" customWidth="1"/>
    <col min="1046" max="1280" width="9.140625" style="98"/>
    <col min="1281" max="1281" width="26.7109375" style="98" customWidth="1"/>
    <col min="1282" max="1283" width="18.7109375" style="98" customWidth="1"/>
    <col min="1284" max="1284" width="27.7109375" style="98" customWidth="1"/>
    <col min="1285" max="1285" width="15.7109375" style="98" customWidth="1"/>
    <col min="1286" max="1287" width="12.7109375" style="98" customWidth="1"/>
    <col min="1288" max="1288" width="17.7109375" style="98" customWidth="1"/>
    <col min="1289" max="1290" width="15.7109375" style="98" customWidth="1"/>
    <col min="1291" max="1293" width="18.7109375" style="98" customWidth="1"/>
    <col min="1294" max="1301" width="15.85546875" style="98" customWidth="1"/>
    <col min="1302" max="1536" width="9.140625" style="98"/>
    <col min="1537" max="1537" width="26.7109375" style="98" customWidth="1"/>
    <col min="1538" max="1539" width="18.7109375" style="98" customWidth="1"/>
    <col min="1540" max="1540" width="27.7109375" style="98" customWidth="1"/>
    <col min="1541" max="1541" width="15.7109375" style="98" customWidth="1"/>
    <col min="1542" max="1543" width="12.7109375" style="98" customWidth="1"/>
    <col min="1544" max="1544" width="17.7109375" style="98" customWidth="1"/>
    <col min="1545" max="1546" width="15.7109375" style="98" customWidth="1"/>
    <col min="1547" max="1549" width="18.7109375" style="98" customWidth="1"/>
    <col min="1550" max="1557" width="15.85546875" style="98" customWidth="1"/>
    <col min="1558" max="1792" width="9.140625" style="98"/>
    <col min="1793" max="1793" width="26.7109375" style="98" customWidth="1"/>
    <col min="1794" max="1795" width="18.7109375" style="98" customWidth="1"/>
    <col min="1796" max="1796" width="27.7109375" style="98" customWidth="1"/>
    <col min="1797" max="1797" width="15.7109375" style="98" customWidth="1"/>
    <col min="1798" max="1799" width="12.7109375" style="98" customWidth="1"/>
    <col min="1800" max="1800" width="17.7109375" style="98" customWidth="1"/>
    <col min="1801" max="1802" width="15.7109375" style="98" customWidth="1"/>
    <col min="1803" max="1805" width="18.7109375" style="98" customWidth="1"/>
    <col min="1806" max="1813" width="15.85546875" style="98" customWidth="1"/>
    <col min="1814" max="2048" width="9.140625" style="98"/>
    <col min="2049" max="2049" width="26.7109375" style="98" customWidth="1"/>
    <col min="2050" max="2051" width="18.7109375" style="98" customWidth="1"/>
    <col min="2052" max="2052" width="27.7109375" style="98" customWidth="1"/>
    <col min="2053" max="2053" width="15.7109375" style="98" customWidth="1"/>
    <col min="2054" max="2055" width="12.7109375" style="98" customWidth="1"/>
    <col min="2056" max="2056" width="17.7109375" style="98" customWidth="1"/>
    <col min="2057" max="2058" width="15.7109375" style="98" customWidth="1"/>
    <col min="2059" max="2061" width="18.7109375" style="98" customWidth="1"/>
    <col min="2062" max="2069" width="15.85546875" style="98" customWidth="1"/>
    <col min="2070" max="2304" width="9.140625" style="98"/>
    <col min="2305" max="2305" width="26.7109375" style="98" customWidth="1"/>
    <col min="2306" max="2307" width="18.7109375" style="98" customWidth="1"/>
    <col min="2308" max="2308" width="27.7109375" style="98" customWidth="1"/>
    <col min="2309" max="2309" width="15.7109375" style="98" customWidth="1"/>
    <col min="2310" max="2311" width="12.7109375" style="98" customWidth="1"/>
    <col min="2312" max="2312" width="17.7109375" style="98" customWidth="1"/>
    <col min="2313" max="2314" width="15.7109375" style="98" customWidth="1"/>
    <col min="2315" max="2317" width="18.7109375" style="98" customWidth="1"/>
    <col min="2318" max="2325" width="15.85546875" style="98" customWidth="1"/>
    <col min="2326" max="2560" width="9.140625" style="98"/>
    <col min="2561" max="2561" width="26.7109375" style="98" customWidth="1"/>
    <col min="2562" max="2563" width="18.7109375" style="98" customWidth="1"/>
    <col min="2564" max="2564" width="27.7109375" style="98" customWidth="1"/>
    <col min="2565" max="2565" width="15.7109375" style="98" customWidth="1"/>
    <col min="2566" max="2567" width="12.7109375" style="98" customWidth="1"/>
    <col min="2568" max="2568" width="17.7109375" style="98" customWidth="1"/>
    <col min="2569" max="2570" width="15.7109375" style="98" customWidth="1"/>
    <col min="2571" max="2573" width="18.7109375" style="98" customWidth="1"/>
    <col min="2574" max="2581" width="15.85546875" style="98" customWidth="1"/>
    <col min="2582" max="2816" width="9.140625" style="98"/>
    <col min="2817" max="2817" width="26.7109375" style="98" customWidth="1"/>
    <col min="2818" max="2819" width="18.7109375" style="98" customWidth="1"/>
    <col min="2820" max="2820" width="27.7109375" style="98" customWidth="1"/>
    <col min="2821" max="2821" width="15.7109375" style="98" customWidth="1"/>
    <col min="2822" max="2823" width="12.7109375" style="98" customWidth="1"/>
    <col min="2824" max="2824" width="17.7109375" style="98" customWidth="1"/>
    <col min="2825" max="2826" width="15.7109375" style="98" customWidth="1"/>
    <col min="2827" max="2829" width="18.7109375" style="98" customWidth="1"/>
    <col min="2830" max="2837" width="15.85546875" style="98" customWidth="1"/>
    <col min="2838" max="3072" width="9.140625" style="98"/>
    <col min="3073" max="3073" width="26.7109375" style="98" customWidth="1"/>
    <col min="3074" max="3075" width="18.7109375" style="98" customWidth="1"/>
    <col min="3076" max="3076" width="27.7109375" style="98" customWidth="1"/>
    <col min="3077" max="3077" width="15.7109375" style="98" customWidth="1"/>
    <col min="3078" max="3079" width="12.7109375" style="98" customWidth="1"/>
    <col min="3080" max="3080" width="17.7109375" style="98" customWidth="1"/>
    <col min="3081" max="3082" width="15.7109375" style="98" customWidth="1"/>
    <col min="3083" max="3085" width="18.7109375" style="98" customWidth="1"/>
    <col min="3086" max="3093" width="15.85546875" style="98" customWidth="1"/>
    <col min="3094" max="3328" width="9.140625" style="98"/>
    <col min="3329" max="3329" width="26.7109375" style="98" customWidth="1"/>
    <col min="3330" max="3331" width="18.7109375" style="98" customWidth="1"/>
    <col min="3332" max="3332" width="27.7109375" style="98" customWidth="1"/>
    <col min="3333" max="3333" width="15.7109375" style="98" customWidth="1"/>
    <col min="3334" max="3335" width="12.7109375" style="98" customWidth="1"/>
    <col min="3336" max="3336" width="17.7109375" style="98" customWidth="1"/>
    <col min="3337" max="3338" width="15.7109375" style="98" customWidth="1"/>
    <col min="3339" max="3341" width="18.7109375" style="98" customWidth="1"/>
    <col min="3342" max="3349" width="15.85546875" style="98" customWidth="1"/>
    <col min="3350" max="3584" width="9.140625" style="98"/>
    <col min="3585" max="3585" width="26.7109375" style="98" customWidth="1"/>
    <col min="3586" max="3587" width="18.7109375" style="98" customWidth="1"/>
    <col min="3588" max="3588" width="27.7109375" style="98" customWidth="1"/>
    <col min="3589" max="3589" width="15.7109375" style="98" customWidth="1"/>
    <col min="3590" max="3591" width="12.7109375" style="98" customWidth="1"/>
    <col min="3592" max="3592" width="17.7109375" style="98" customWidth="1"/>
    <col min="3593" max="3594" width="15.7109375" style="98" customWidth="1"/>
    <col min="3595" max="3597" width="18.7109375" style="98" customWidth="1"/>
    <col min="3598" max="3605" width="15.85546875" style="98" customWidth="1"/>
    <col min="3606" max="3840" width="9.140625" style="98"/>
    <col min="3841" max="3841" width="26.7109375" style="98" customWidth="1"/>
    <col min="3842" max="3843" width="18.7109375" style="98" customWidth="1"/>
    <col min="3844" max="3844" width="27.7109375" style="98" customWidth="1"/>
    <col min="3845" max="3845" width="15.7109375" style="98" customWidth="1"/>
    <col min="3846" max="3847" width="12.7109375" style="98" customWidth="1"/>
    <col min="3848" max="3848" width="17.7109375" style="98" customWidth="1"/>
    <col min="3849" max="3850" width="15.7109375" style="98" customWidth="1"/>
    <col min="3851" max="3853" width="18.7109375" style="98" customWidth="1"/>
    <col min="3854" max="3861" width="15.85546875" style="98" customWidth="1"/>
    <col min="3862" max="4096" width="9.140625" style="98"/>
    <col min="4097" max="4097" width="26.7109375" style="98" customWidth="1"/>
    <col min="4098" max="4099" width="18.7109375" style="98" customWidth="1"/>
    <col min="4100" max="4100" width="27.7109375" style="98" customWidth="1"/>
    <col min="4101" max="4101" width="15.7109375" style="98" customWidth="1"/>
    <col min="4102" max="4103" width="12.7109375" style="98" customWidth="1"/>
    <col min="4104" max="4104" width="17.7109375" style="98" customWidth="1"/>
    <col min="4105" max="4106" width="15.7109375" style="98" customWidth="1"/>
    <col min="4107" max="4109" width="18.7109375" style="98" customWidth="1"/>
    <col min="4110" max="4117" width="15.85546875" style="98" customWidth="1"/>
    <col min="4118" max="4352" width="9.140625" style="98"/>
    <col min="4353" max="4353" width="26.7109375" style="98" customWidth="1"/>
    <col min="4354" max="4355" width="18.7109375" style="98" customWidth="1"/>
    <col min="4356" max="4356" width="27.7109375" style="98" customWidth="1"/>
    <col min="4357" max="4357" width="15.7109375" style="98" customWidth="1"/>
    <col min="4358" max="4359" width="12.7109375" style="98" customWidth="1"/>
    <col min="4360" max="4360" width="17.7109375" style="98" customWidth="1"/>
    <col min="4361" max="4362" width="15.7109375" style="98" customWidth="1"/>
    <col min="4363" max="4365" width="18.7109375" style="98" customWidth="1"/>
    <col min="4366" max="4373" width="15.85546875" style="98" customWidth="1"/>
    <col min="4374" max="4608" width="9.140625" style="98"/>
    <col min="4609" max="4609" width="26.7109375" style="98" customWidth="1"/>
    <col min="4610" max="4611" width="18.7109375" style="98" customWidth="1"/>
    <col min="4612" max="4612" width="27.7109375" style="98" customWidth="1"/>
    <col min="4613" max="4613" width="15.7109375" style="98" customWidth="1"/>
    <col min="4614" max="4615" width="12.7109375" style="98" customWidth="1"/>
    <col min="4616" max="4616" width="17.7109375" style="98" customWidth="1"/>
    <col min="4617" max="4618" width="15.7109375" style="98" customWidth="1"/>
    <col min="4619" max="4621" width="18.7109375" style="98" customWidth="1"/>
    <col min="4622" max="4629" width="15.85546875" style="98" customWidth="1"/>
    <col min="4630" max="4864" width="9.140625" style="98"/>
    <col min="4865" max="4865" width="26.7109375" style="98" customWidth="1"/>
    <col min="4866" max="4867" width="18.7109375" style="98" customWidth="1"/>
    <col min="4868" max="4868" width="27.7109375" style="98" customWidth="1"/>
    <col min="4869" max="4869" width="15.7109375" style="98" customWidth="1"/>
    <col min="4870" max="4871" width="12.7109375" style="98" customWidth="1"/>
    <col min="4872" max="4872" width="17.7109375" style="98" customWidth="1"/>
    <col min="4873" max="4874" width="15.7109375" style="98" customWidth="1"/>
    <col min="4875" max="4877" width="18.7109375" style="98" customWidth="1"/>
    <col min="4878" max="4885" width="15.85546875" style="98" customWidth="1"/>
    <col min="4886" max="5120" width="9.140625" style="98"/>
    <col min="5121" max="5121" width="26.7109375" style="98" customWidth="1"/>
    <col min="5122" max="5123" width="18.7109375" style="98" customWidth="1"/>
    <col min="5124" max="5124" width="27.7109375" style="98" customWidth="1"/>
    <col min="5125" max="5125" width="15.7109375" style="98" customWidth="1"/>
    <col min="5126" max="5127" width="12.7109375" style="98" customWidth="1"/>
    <col min="5128" max="5128" width="17.7109375" style="98" customWidth="1"/>
    <col min="5129" max="5130" width="15.7109375" style="98" customWidth="1"/>
    <col min="5131" max="5133" width="18.7109375" style="98" customWidth="1"/>
    <col min="5134" max="5141" width="15.85546875" style="98" customWidth="1"/>
    <col min="5142" max="5376" width="9.140625" style="98"/>
    <col min="5377" max="5377" width="26.7109375" style="98" customWidth="1"/>
    <col min="5378" max="5379" width="18.7109375" style="98" customWidth="1"/>
    <col min="5380" max="5380" width="27.7109375" style="98" customWidth="1"/>
    <col min="5381" max="5381" width="15.7109375" style="98" customWidth="1"/>
    <col min="5382" max="5383" width="12.7109375" style="98" customWidth="1"/>
    <col min="5384" max="5384" width="17.7109375" style="98" customWidth="1"/>
    <col min="5385" max="5386" width="15.7109375" style="98" customWidth="1"/>
    <col min="5387" max="5389" width="18.7109375" style="98" customWidth="1"/>
    <col min="5390" max="5397" width="15.85546875" style="98" customWidth="1"/>
    <col min="5398" max="5632" width="9.140625" style="98"/>
    <col min="5633" max="5633" width="26.7109375" style="98" customWidth="1"/>
    <col min="5634" max="5635" width="18.7109375" style="98" customWidth="1"/>
    <col min="5636" max="5636" width="27.7109375" style="98" customWidth="1"/>
    <col min="5637" max="5637" width="15.7109375" style="98" customWidth="1"/>
    <col min="5638" max="5639" width="12.7109375" style="98" customWidth="1"/>
    <col min="5640" max="5640" width="17.7109375" style="98" customWidth="1"/>
    <col min="5641" max="5642" width="15.7109375" style="98" customWidth="1"/>
    <col min="5643" max="5645" width="18.7109375" style="98" customWidth="1"/>
    <col min="5646" max="5653" width="15.85546875" style="98" customWidth="1"/>
    <col min="5654" max="5888" width="9.140625" style="98"/>
    <col min="5889" max="5889" width="26.7109375" style="98" customWidth="1"/>
    <col min="5890" max="5891" width="18.7109375" style="98" customWidth="1"/>
    <col min="5892" max="5892" width="27.7109375" style="98" customWidth="1"/>
    <col min="5893" max="5893" width="15.7109375" style="98" customWidth="1"/>
    <col min="5894" max="5895" width="12.7109375" style="98" customWidth="1"/>
    <col min="5896" max="5896" width="17.7109375" style="98" customWidth="1"/>
    <col min="5897" max="5898" width="15.7109375" style="98" customWidth="1"/>
    <col min="5899" max="5901" width="18.7109375" style="98" customWidth="1"/>
    <col min="5902" max="5909" width="15.85546875" style="98" customWidth="1"/>
    <col min="5910" max="6144" width="9.140625" style="98"/>
    <col min="6145" max="6145" width="26.7109375" style="98" customWidth="1"/>
    <col min="6146" max="6147" width="18.7109375" style="98" customWidth="1"/>
    <col min="6148" max="6148" width="27.7109375" style="98" customWidth="1"/>
    <col min="6149" max="6149" width="15.7109375" style="98" customWidth="1"/>
    <col min="6150" max="6151" width="12.7109375" style="98" customWidth="1"/>
    <col min="6152" max="6152" width="17.7109375" style="98" customWidth="1"/>
    <col min="6153" max="6154" width="15.7109375" style="98" customWidth="1"/>
    <col min="6155" max="6157" width="18.7109375" style="98" customWidth="1"/>
    <col min="6158" max="6165" width="15.85546875" style="98" customWidth="1"/>
    <col min="6166" max="6400" width="9.140625" style="98"/>
    <col min="6401" max="6401" width="26.7109375" style="98" customWidth="1"/>
    <col min="6402" max="6403" width="18.7109375" style="98" customWidth="1"/>
    <col min="6404" max="6404" width="27.7109375" style="98" customWidth="1"/>
    <col min="6405" max="6405" width="15.7109375" style="98" customWidth="1"/>
    <col min="6406" max="6407" width="12.7109375" style="98" customWidth="1"/>
    <col min="6408" max="6408" width="17.7109375" style="98" customWidth="1"/>
    <col min="6409" max="6410" width="15.7109375" style="98" customWidth="1"/>
    <col min="6411" max="6413" width="18.7109375" style="98" customWidth="1"/>
    <col min="6414" max="6421" width="15.85546875" style="98" customWidth="1"/>
    <col min="6422" max="6656" width="9.140625" style="98"/>
    <col min="6657" max="6657" width="26.7109375" style="98" customWidth="1"/>
    <col min="6658" max="6659" width="18.7109375" style="98" customWidth="1"/>
    <col min="6660" max="6660" width="27.7109375" style="98" customWidth="1"/>
    <col min="6661" max="6661" width="15.7109375" style="98" customWidth="1"/>
    <col min="6662" max="6663" width="12.7109375" style="98" customWidth="1"/>
    <col min="6664" max="6664" width="17.7109375" style="98" customWidth="1"/>
    <col min="6665" max="6666" width="15.7109375" style="98" customWidth="1"/>
    <col min="6667" max="6669" width="18.7109375" style="98" customWidth="1"/>
    <col min="6670" max="6677" width="15.85546875" style="98" customWidth="1"/>
    <col min="6678" max="6912" width="9.140625" style="98"/>
    <col min="6913" max="6913" width="26.7109375" style="98" customWidth="1"/>
    <col min="6914" max="6915" width="18.7109375" style="98" customWidth="1"/>
    <col min="6916" max="6916" width="27.7109375" style="98" customWidth="1"/>
    <col min="6917" max="6917" width="15.7109375" style="98" customWidth="1"/>
    <col min="6918" max="6919" width="12.7109375" style="98" customWidth="1"/>
    <col min="6920" max="6920" width="17.7109375" style="98" customWidth="1"/>
    <col min="6921" max="6922" width="15.7109375" style="98" customWidth="1"/>
    <col min="6923" max="6925" width="18.7109375" style="98" customWidth="1"/>
    <col min="6926" max="6933" width="15.85546875" style="98" customWidth="1"/>
    <col min="6934" max="7168" width="9.140625" style="98"/>
    <col min="7169" max="7169" width="26.7109375" style="98" customWidth="1"/>
    <col min="7170" max="7171" width="18.7109375" style="98" customWidth="1"/>
    <col min="7172" max="7172" width="27.7109375" style="98" customWidth="1"/>
    <col min="7173" max="7173" width="15.7109375" style="98" customWidth="1"/>
    <col min="7174" max="7175" width="12.7109375" style="98" customWidth="1"/>
    <col min="7176" max="7176" width="17.7109375" style="98" customWidth="1"/>
    <col min="7177" max="7178" width="15.7109375" style="98" customWidth="1"/>
    <col min="7179" max="7181" width="18.7109375" style="98" customWidth="1"/>
    <col min="7182" max="7189" width="15.85546875" style="98" customWidth="1"/>
    <col min="7190" max="7424" width="9.140625" style="98"/>
    <col min="7425" max="7425" width="26.7109375" style="98" customWidth="1"/>
    <col min="7426" max="7427" width="18.7109375" style="98" customWidth="1"/>
    <col min="7428" max="7428" width="27.7109375" style="98" customWidth="1"/>
    <col min="7429" max="7429" width="15.7109375" style="98" customWidth="1"/>
    <col min="7430" max="7431" width="12.7109375" style="98" customWidth="1"/>
    <col min="7432" max="7432" width="17.7109375" style="98" customWidth="1"/>
    <col min="7433" max="7434" width="15.7109375" style="98" customWidth="1"/>
    <col min="7435" max="7437" width="18.7109375" style="98" customWidth="1"/>
    <col min="7438" max="7445" width="15.85546875" style="98" customWidth="1"/>
    <col min="7446" max="7680" width="9.140625" style="98"/>
    <col min="7681" max="7681" width="26.7109375" style="98" customWidth="1"/>
    <col min="7682" max="7683" width="18.7109375" style="98" customWidth="1"/>
    <col min="7684" max="7684" width="27.7109375" style="98" customWidth="1"/>
    <col min="7685" max="7685" width="15.7109375" style="98" customWidth="1"/>
    <col min="7686" max="7687" width="12.7109375" style="98" customWidth="1"/>
    <col min="7688" max="7688" width="17.7109375" style="98" customWidth="1"/>
    <col min="7689" max="7690" width="15.7109375" style="98" customWidth="1"/>
    <col min="7691" max="7693" width="18.7109375" style="98" customWidth="1"/>
    <col min="7694" max="7701" width="15.85546875" style="98" customWidth="1"/>
    <col min="7702" max="7936" width="9.140625" style="98"/>
    <col min="7937" max="7937" width="26.7109375" style="98" customWidth="1"/>
    <col min="7938" max="7939" width="18.7109375" style="98" customWidth="1"/>
    <col min="7940" max="7940" width="27.7109375" style="98" customWidth="1"/>
    <col min="7941" max="7941" width="15.7109375" style="98" customWidth="1"/>
    <col min="7942" max="7943" width="12.7109375" style="98" customWidth="1"/>
    <col min="7944" max="7944" width="17.7109375" style="98" customWidth="1"/>
    <col min="7945" max="7946" width="15.7109375" style="98" customWidth="1"/>
    <col min="7947" max="7949" width="18.7109375" style="98" customWidth="1"/>
    <col min="7950" max="7957" width="15.85546875" style="98" customWidth="1"/>
    <col min="7958" max="8192" width="9.140625" style="98"/>
    <col min="8193" max="8193" width="26.7109375" style="98" customWidth="1"/>
    <col min="8194" max="8195" width="18.7109375" style="98" customWidth="1"/>
    <col min="8196" max="8196" width="27.7109375" style="98" customWidth="1"/>
    <col min="8197" max="8197" width="15.7109375" style="98" customWidth="1"/>
    <col min="8198" max="8199" width="12.7109375" style="98" customWidth="1"/>
    <col min="8200" max="8200" width="17.7109375" style="98" customWidth="1"/>
    <col min="8201" max="8202" width="15.7109375" style="98" customWidth="1"/>
    <col min="8203" max="8205" width="18.7109375" style="98" customWidth="1"/>
    <col min="8206" max="8213" width="15.85546875" style="98" customWidth="1"/>
    <col min="8214" max="8448" width="9.140625" style="98"/>
    <col min="8449" max="8449" width="26.7109375" style="98" customWidth="1"/>
    <col min="8450" max="8451" width="18.7109375" style="98" customWidth="1"/>
    <col min="8452" max="8452" width="27.7109375" style="98" customWidth="1"/>
    <col min="8453" max="8453" width="15.7109375" style="98" customWidth="1"/>
    <col min="8454" max="8455" width="12.7109375" style="98" customWidth="1"/>
    <col min="8456" max="8456" width="17.7109375" style="98" customWidth="1"/>
    <col min="8457" max="8458" width="15.7109375" style="98" customWidth="1"/>
    <col min="8459" max="8461" width="18.7109375" style="98" customWidth="1"/>
    <col min="8462" max="8469" width="15.85546875" style="98" customWidth="1"/>
    <col min="8470" max="8704" width="9.140625" style="98"/>
    <col min="8705" max="8705" width="26.7109375" style="98" customWidth="1"/>
    <col min="8706" max="8707" width="18.7109375" style="98" customWidth="1"/>
    <col min="8708" max="8708" width="27.7109375" style="98" customWidth="1"/>
    <col min="8709" max="8709" width="15.7109375" style="98" customWidth="1"/>
    <col min="8710" max="8711" width="12.7109375" style="98" customWidth="1"/>
    <col min="8712" max="8712" width="17.7109375" style="98" customWidth="1"/>
    <col min="8713" max="8714" width="15.7109375" style="98" customWidth="1"/>
    <col min="8715" max="8717" width="18.7109375" style="98" customWidth="1"/>
    <col min="8718" max="8725" width="15.85546875" style="98" customWidth="1"/>
    <col min="8726" max="8960" width="9.140625" style="98"/>
    <col min="8961" max="8961" width="26.7109375" style="98" customWidth="1"/>
    <col min="8962" max="8963" width="18.7109375" style="98" customWidth="1"/>
    <col min="8964" max="8964" width="27.7109375" style="98" customWidth="1"/>
    <col min="8965" max="8965" width="15.7109375" style="98" customWidth="1"/>
    <col min="8966" max="8967" width="12.7109375" style="98" customWidth="1"/>
    <col min="8968" max="8968" width="17.7109375" style="98" customWidth="1"/>
    <col min="8969" max="8970" width="15.7109375" style="98" customWidth="1"/>
    <col min="8971" max="8973" width="18.7109375" style="98" customWidth="1"/>
    <col min="8974" max="8981" width="15.85546875" style="98" customWidth="1"/>
    <col min="8982" max="9216" width="9.140625" style="98"/>
    <col min="9217" max="9217" width="26.7109375" style="98" customWidth="1"/>
    <col min="9218" max="9219" width="18.7109375" style="98" customWidth="1"/>
    <col min="9220" max="9220" width="27.7109375" style="98" customWidth="1"/>
    <col min="9221" max="9221" width="15.7109375" style="98" customWidth="1"/>
    <col min="9222" max="9223" width="12.7109375" style="98" customWidth="1"/>
    <col min="9224" max="9224" width="17.7109375" style="98" customWidth="1"/>
    <col min="9225" max="9226" width="15.7109375" style="98" customWidth="1"/>
    <col min="9227" max="9229" width="18.7109375" style="98" customWidth="1"/>
    <col min="9230" max="9237" width="15.85546875" style="98" customWidth="1"/>
    <col min="9238" max="9472" width="9.140625" style="98"/>
    <col min="9473" max="9473" width="26.7109375" style="98" customWidth="1"/>
    <col min="9474" max="9475" width="18.7109375" style="98" customWidth="1"/>
    <col min="9476" max="9476" width="27.7109375" style="98" customWidth="1"/>
    <col min="9477" max="9477" width="15.7109375" style="98" customWidth="1"/>
    <col min="9478" max="9479" width="12.7109375" style="98" customWidth="1"/>
    <col min="9480" max="9480" width="17.7109375" style="98" customWidth="1"/>
    <col min="9481" max="9482" width="15.7109375" style="98" customWidth="1"/>
    <col min="9483" max="9485" width="18.7109375" style="98" customWidth="1"/>
    <col min="9486" max="9493" width="15.85546875" style="98" customWidth="1"/>
    <col min="9494" max="9728" width="9.140625" style="98"/>
    <col min="9729" max="9729" width="26.7109375" style="98" customWidth="1"/>
    <col min="9730" max="9731" width="18.7109375" style="98" customWidth="1"/>
    <col min="9732" max="9732" width="27.7109375" style="98" customWidth="1"/>
    <col min="9733" max="9733" width="15.7109375" style="98" customWidth="1"/>
    <col min="9734" max="9735" width="12.7109375" style="98" customWidth="1"/>
    <col min="9736" max="9736" width="17.7109375" style="98" customWidth="1"/>
    <col min="9737" max="9738" width="15.7109375" style="98" customWidth="1"/>
    <col min="9739" max="9741" width="18.7109375" style="98" customWidth="1"/>
    <col min="9742" max="9749" width="15.85546875" style="98" customWidth="1"/>
    <col min="9750" max="9984" width="9.140625" style="98"/>
    <col min="9985" max="9985" width="26.7109375" style="98" customWidth="1"/>
    <col min="9986" max="9987" width="18.7109375" style="98" customWidth="1"/>
    <col min="9988" max="9988" width="27.7109375" style="98" customWidth="1"/>
    <col min="9989" max="9989" width="15.7109375" style="98" customWidth="1"/>
    <col min="9990" max="9991" width="12.7109375" style="98" customWidth="1"/>
    <col min="9992" max="9992" width="17.7109375" style="98" customWidth="1"/>
    <col min="9993" max="9994" width="15.7109375" style="98" customWidth="1"/>
    <col min="9995" max="9997" width="18.7109375" style="98" customWidth="1"/>
    <col min="9998" max="10005" width="15.85546875" style="98" customWidth="1"/>
    <col min="10006" max="10240" width="9.140625" style="98"/>
    <col min="10241" max="10241" width="26.7109375" style="98" customWidth="1"/>
    <col min="10242" max="10243" width="18.7109375" style="98" customWidth="1"/>
    <col min="10244" max="10244" width="27.7109375" style="98" customWidth="1"/>
    <col min="10245" max="10245" width="15.7109375" style="98" customWidth="1"/>
    <col min="10246" max="10247" width="12.7109375" style="98" customWidth="1"/>
    <col min="10248" max="10248" width="17.7109375" style="98" customWidth="1"/>
    <col min="10249" max="10250" width="15.7109375" style="98" customWidth="1"/>
    <col min="10251" max="10253" width="18.7109375" style="98" customWidth="1"/>
    <col min="10254" max="10261" width="15.85546875" style="98" customWidth="1"/>
    <col min="10262" max="10496" width="9.140625" style="98"/>
    <col min="10497" max="10497" width="26.7109375" style="98" customWidth="1"/>
    <col min="10498" max="10499" width="18.7109375" style="98" customWidth="1"/>
    <col min="10500" max="10500" width="27.7109375" style="98" customWidth="1"/>
    <col min="10501" max="10501" width="15.7109375" style="98" customWidth="1"/>
    <col min="10502" max="10503" width="12.7109375" style="98" customWidth="1"/>
    <col min="10504" max="10504" width="17.7109375" style="98" customWidth="1"/>
    <col min="10505" max="10506" width="15.7109375" style="98" customWidth="1"/>
    <col min="10507" max="10509" width="18.7109375" style="98" customWidth="1"/>
    <col min="10510" max="10517" width="15.85546875" style="98" customWidth="1"/>
    <col min="10518" max="10752" width="9.140625" style="98"/>
    <col min="10753" max="10753" width="26.7109375" style="98" customWidth="1"/>
    <col min="10754" max="10755" width="18.7109375" style="98" customWidth="1"/>
    <col min="10756" max="10756" width="27.7109375" style="98" customWidth="1"/>
    <col min="10757" max="10757" width="15.7109375" style="98" customWidth="1"/>
    <col min="10758" max="10759" width="12.7109375" style="98" customWidth="1"/>
    <col min="10760" max="10760" width="17.7109375" style="98" customWidth="1"/>
    <col min="10761" max="10762" width="15.7109375" style="98" customWidth="1"/>
    <col min="10763" max="10765" width="18.7109375" style="98" customWidth="1"/>
    <col min="10766" max="10773" width="15.85546875" style="98" customWidth="1"/>
    <col min="10774" max="11008" width="9.140625" style="98"/>
    <col min="11009" max="11009" width="26.7109375" style="98" customWidth="1"/>
    <col min="11010" max="11011" width="18.7109375" style="98" customWidth="1"/>
    <col min="11012" max="11012" width="27.7109375" style="98" customWidth="1"/>
    <col min="11013" max="11013" width="15.7109375" style="98" customWidth="1"/>
    <col min="11014" max="11015" width="12.7109375" style="98" customWidth="1"/>
    <col min="11016" max="11016" width="17.7109375" style="98" customWidth="1"/>
    <col min="11017" max="11018" width="15.7109375" style="98" customWidth="1"/>
    <col min="11019" max="11021" width="18.7109375" style="98" customWidth="1"/>
    <col min="11022" max="11029" width="15.85546875" style="98" customWidth="1"/>
    <col min="11030" max="11264" width="9.140625" style="98"/>
    <col min="11265" max="11265" width="26.7109375" style="98" customWidth="1"/>
    <col min="11266" max="11267" width="18.7109375" style="98" customWidth="1"/>
    <col min="11268" max="11268" width="27.7109375" style="98" customWidth="1"/>
    <col min="11269" max="11269" width="15.7109375" style="98" customWidth="1"/>
    <col min="11270" max="11271" width="12.7109375" style="98" customWidth="1"/>
    <col min="11272" max="11272" width="17.7109375" style="98" customWidth="1"/>
    <col min="11273" max="11274" width="15.7109375" style="98" customWidth="1"/>
    <col min="11275" max="11277" width="18.7109375" style="98" customWidth="1"/>
    <col min="11278" max="11285" width="15.85546875" style="98" customWidth="1"/>
    <col min="11286" max="11520" width="9.140625" style="98"/>
    <col min="11521" max="11521" width="26.7109375" style="98" customWidth="1"/>
    <col min="11522" max="11523" width="18.7109375" style="98" customWidth="1"/>
    <col min="11524" max="11524" width="27.7109375" style="98" customWidth="1"/>
    <col min="11525" max="11525" width="15.7109375" style="98" customWidth="1"/>
    <col min="11526" max="11527" width="12.7109375" style="98" customWidth="1"/>
    <col min="11528" max="11528" width="17.7109375" style="98" customWidth="1"/>
    <col min="11529" max="11530" width="15.7109375" style="98" customWidth="1"/>
    <col min="11531" max="11533" width="18.7109375" style="98" customWidth="1"/>
    <col min="11534" max="11541" width="15.85546875" style="98" customWidth="1"/>
    <col min="11542" max="11776" width="9.140625" style="98"/>
    <col min="11777" max="11777" width="26.7109375" style="98" customWidth="1"/>
    <col min="11778" max="11779" width="18.7109375" style="98" customWidth="1"/>
    <col min="11780" max="11780" width="27.7109375" style="98" customWidth="1"/>
    <col min="11781" max="11781" width="15.7109375" style="98" customWidth="1"/>
    <col min="11782" max="11783" width="12.7109375" style="98" customWidth="1"/>
    <col min="11784" max="11784" width="17.7109375" style="98" customWidth="1"/>
    <col min="11785" max="11786" width="15.7109375" style="98" customWidth="1"/>
    <col min="11787" max="11789" width="18.7109375" style="98" customWidth="1"/>
    <col min="11790" max="11797" width="15.85546875" style="98" customWidth="1"/>
    <col min="11798" max="12032" width="9.140625" style="98"/>
    <col min="12033" max="12033" width="26.7109375" style="98" customWidth="1"/>
    <col min="12034" max="12035" width="18.7109375" style="98" customWidth="1"/>
    <col min="12036" max="12036" width="27.7109375" style="98" customWidth="1"/>
    <col min="12037" max="12037" width="15.7109375" style="98" customWidth="1"/>
    <col min="12038" max="12039" width="12.7109375" style="98" customWidth="1"/>
    <col min="12040" max="12040" width="17.7109375" style="98" customWidth="1"/>
    <col min="12041" max="12042" width="15.7109375" style="98" customWidth="1"/>
    <col min="12043" max="12045" width="18.7109375" style="98" customWidth="1"/>
    <col min="12046" max="12053" width="15.85546875" style="98" customWidth="1"/>
    <col min="12054" max="12288" width="9.140625" style="98"/>
    <col min="12289" max="12289" width="26.7109375" style="98" customWidth="1"/>
    <col min="12290" max="12291" width="18.7109375" style="98" customWidth="1"/>
    <col min="12292" max="12292" width="27.7109375" style="98" customWidth="1"/>
    <col min="12293" max="12293" width="15.7109375" style="98" customWidth="1"/>
    <col min="12294" max="12295" width="12.7109375" style="98" customWidth="1"/>
    <col min="12296" max="12296" width="17.7109375" style="98" customWidth="1"/>
    <col min="12297" max="12298" width="15.7109375" style="98" customWidth="1"/>
    <col min="12299" max="12301" width="18.7109375" style="98" customWidth="1"/>
    <col min="12302" max="12309" width="15.85546875" style="98" customWidth="1"/>
    <col min="12310" max="12544" width="9.140625" style="98"/>
    <col min="12545" max="12545" width="26.7109375" style="98" customWidth="1"/>
    <col min="12546" max="12547" width="18.7109375" style="98" customWidth="1"/>
    <col min="12548" max="12548" width="27.7109375" style="98" customWidth="1"/>
    <col min="12549" max="12549" width="15.7109375" style="98" customWidth="1"/>
    <col min="12550" max="12551" width="12.7109375" style="98" customWidth="1"/>
    <col min="12552" max="12552" width="17.7109375" style="98" customWidth="1"/>
    <col min="12553" max="12554" width="15.7109375" style="98" customWidth="1"/>
    <col min="12555" max="12557" width="18.7109375" style="98" customWidth="1"/>
    <col min="12558" max="12565" width="15.85546875" style="98" customWidth="1"/>
    <col min="12566" max="12800" width="9.140625" style="98"/>
    <col min="12801" max="12801" width="26.7109375" style="98" customWidth="1"/>
    <col min="12802" max="12803" width="18.7109375" style="98" customWidth="1"/>
    <col min="12804" max="12804" width="27.7109375" style="98" customWidth="1"/>
    <col min="12805" max="12805" width="15.7109375" style="98" customWidth="1"/>
    <col min="12806" max="12807" width="12.7109375" style="98" customWidth="1"/>
    <col min="12808" max="12808" width="17.7109375" style="98" customWidth="1"/>
    <col min="12809" max="12810" width="15.7109375" style="98" customWidth="1"/>
    <col min="12811" max="12813" width="18.7109375" style="98" customWidth="1"/>
    <col min="12814" max="12821" width="15.85546875" style="98" customWidth="1"/>
    <col min="12822" max="13056" width="9.140625" style="98"/>
    <col min="13057" max="13057" width="26.7109375" style="98" customWidth="1"/>
    <col min="13058" max="13059" width="18.7109375" style="98" customWidth="1"/>
    <col min="13060" max="13060" width="27.7109375" style="98" customWidth="1"/>
    <col min="13061" max="13061" width="15.7109375" style="98" customWidth="1"/>
    <col min="13062" max="13063" width="12.7109375" style="98" customWidth="1"/>
    <col min="13064" max="13064" width="17.7109375" style="98" customWidth="1"/>
    <col min="13065" max="13066" width="15.7109375" style="98" customWidth="1"/>
    <col min="13067" max="13069" width="18.7109375" style="98" customWidth="1"/>
    <col min="13070" max="13077" width="15.85546875" style="98" customWidth="1"/>
    <col min="13078" max="13312" width="9.140625" style="98"/>
    <col min="13313" max="13313" width="26.7109375" style="98" customWidth="1"/>
    <col min="13314" max="13315" width="18.7109375" style="98" customWidth="1"/>
    <col min="13316" max="13316" width="27.7109375" style="98" customWidth="1"/>
    <col min="13317" max="13317" width="15.7109375" style="98" customWidth="1"/>
    <col min="13318" max="13319" width="12.7109375" style="98" customWidth="1"/>
    <col min="13320" max="13320" width="17.7109375" style="98" customWidth="1"/>
    <col min="13321" max="13322" width="15.7109375" style="98" customWidth="1"/>
    <col min="13323" max="13325" width="18.7109375" style="98" customWidth="1"/>
    <col min="13326" max="13333" width="15.85546875" style="98" customWidth="1"/>
    <col min="13334" max="13568" width="9.140625" style="98"/>
    <col min="13569" max="13569" width="26.7109375" style="98" customWidth="1"/>
    <col min="13570" max="13571" width="18.7109375" style="98" customWidth="1"/>
    <col min="13572" max="13572" width="27.7109375" style="98" customWidth="1"/>
    <col min="13573" max="13573" width="15.7109375" style="98" customWidth="1"/>
    <col min="13574" max="13575" width="12.7109375" style="98" customWidth="1"/>
    <col min="13576" max="13576" width="17.7109375" style="98" customWidth="1"/>
    <col min="13577" max="13578" width="15.7109375" style="98" customWidth="1"/>
    <col min="13579" max="13581" width="18.7109375" style="98" customWidth="1"/>
    <col min="13582" max="13589" width="15.85546875" style="98" customWidth="1"/>
    <col min="13590" max="13824" width="9.140625" style="98"/>
    <col min="13825" max="13825" width="26.7109375" style="98" customWidth="1"/>
    <col min="13826" max="13827" width="18.7109375" style="98" customWidth="1"/>
    <col min="13828" max="13828" width="27.7109375" style="98" customWidth="1"/>
    <col min="13829" max="13829" width="15.7109375" style="98" customWidth="1"/>
    <col min="13830" max="13831" width="12.7109375" style="98" customWidth="1"/>
    <col min="13832" max="13832" width="17.7109375" style="98" customWidth="1"/>
    <col min="13833" max="13834" width="15.7109375" style="98" customWidth="1"/>
    <col min="13835" max="13837" width="18.7109375" style="98" customWidth="1"/>
    <col min="13838" max="13845" width="15.85546875" style="98" customWidth="1"/>
    <col min="13846" max="14080" width="9.140625" style="98"/>
    <col min="14081" max="14081" width="26.7109375" style="98" customWidth="1"/>
    <col min="14082" max="14083" width="18.7109375" style="98" customWidth="1"/>
    <col min="14084" max="14084" width="27.7109375" style="98" customWidth="1"/>
    <col min="14085" max="14085" width="15.7109375" style="98" customWidth="1"/>
    <col min="14086" max="14087" width="12.7109375" style="98" customWidth="1"/>
    <col min="14088" max="14088" width="17.7109375" style="98" customWidth="1"/>
    <col min="14089" max="14090" width="15.7109375" style="98" customWidth="1"/>
    <col min="14091" max="14093" width="18.7109375" style="98" customWidth="1"/>
    <col min="14094" max="14101" width="15.85546875" style="98" customWidth="1"/>
    <col min="14102" max="14336" width="9.140625" style="98"/>
    <col min="14337" max="14337" width="26.7109375" style="98" customWidth="1"/>
    <col min="14338" max="14339" width="18.7109375" style="98" customWidth="1"/>
    <col min="14340" max="14340" width="27.7109375" style="98" customWidth="1"/>
    <col min="14341" max="14341" width="15.7109375" style="98" customWidth="1"/>
    <col min="14342" max="14343" width="12.7109375" style="98" customWidth="1"/>
    <col min="14344" max="14344" width="17.7109375" style="98" customWidth="1"/>
    <col min="14345" max="14346" width="15.7109375" style="98" customWidth="1"/>
    <col min="14347" max="14349" width="18.7109375" style="98" customWidth="1"/>
    <col min="14350" max="14357" width="15.85546875" style="98" customWidth="1"/>
    <col min="14358" max="14592" width="9.140625" style="98"/>
    <col min="14593" max="14593" width="26.7109375" style="98" customWidth="1"/>
    <col min="14594" max="14595" width="18.7109375" style="98" customWidth="1"/>
    <col min="14596" max="14596" width="27.7109375" style="98" customWidth="1"/>
    <col min="14597" max="14597" width="15.7109375" style="98" customWidth="1"/>
    <col min="14598" max="14599" width="12.7109375" style="98" customWidth="1"/>
    <col min="14600" max="14600" width="17.7109375" style="98" customWidth="1"/>
    <col min="14601" max="14602" width="15.7109375" style="98" customWidth="1"/>
    <col min="14603" max="14605" width="18.7109375" style="98" customWidth="1"/>
    <col min="14606" max="14613" width="15.85546875" style="98" customWidth="1"/>
    <col min="14614" max="14848" width="9.140625" style="98"/>
    <col min="14849" max="14849" width="26.7109375" style="98" customWidth="1"/>
    <col min="14850" max="14851" width="18.7109375" style="98" customWidth="1"/>
    <col min="14852" max="14852" width="27.7109375" style="98" customWidth="1"/>
    <col min="14853" max="14853" width="15.7109375" style="98" customWidth="1"/>
    <col min="14854" max="14855" width="12.7109375" style="98" customWidth="1"/>
    <col min="14856" max="14856" width="17.7109375" style="98" customWidth="1"/>
    <col min="14857" max="14858" width="15.7109375" style="98" customWidth="1"/>
    <col min="14859" max="14861" width="18.7109375" style="98" customWidth="1"/>
    <col min="14862" max="14869" width="15.85546875" style="98" customWidth="1"/>
    <col min="14870" max="15104" width="9.140625" style="98"/>
    <col min="15105" max="15105" width="26.7109375" style="98" customWidth="1"/>
    <col min="15106" max="15107" width="18.7109375" style="98" customWidth="1"/>
    <col min="15108" max="15108" width="27.7109375" style="98" customWidth="1"/>
    <col min="15109" max="15109" width="15.7109375" style="98" customWidth="1"/>
    <col min="15110" max="15111" width="12.7109375" style="98" customWidth="1"/>
    <col min="15112" max="15112" width="17.7109375" style="98" customWidth="1"/>
    <col min="15113" max="15114" width="15.7109375" style="98" customWidth="1"/>
    <col min="15115" max="15117" width="18.7109375" style="98" customWidth="1"/>
    <col min="15118" max="15125" width="15.85546875" style="98" customWidth="1"/>
    <col min="15126" max="15360" width="9.140625" style="98"/>
    <col min="15361" max="15361" width="26.7109375" style="98" customWidth="1"/>
    <col min="15362" max="15363" width="18.7109375" style="98" customWidth="1"/>
    <col min="15364" max="15364" width="27.7109375" style="98" customWidth="1"/>
    <col min="15365" max="15365" width="15.7109375" style="98" customWidth="1"/>
    <col min="15366" max="15367" width="12.7109375" style="98" customWidth="1"/>
    <col min="15368" max="15368" width="17.7109375" style="98" customWidth="1"/>
    <col min="15369" max="15370" width="15.7109375" style="98" customWidth="1"/>
    <col min="15371" max="15373" width="18.7109375" style="98" customWidth="1"/>
    <col min="15374" max="15381" width="15.85546875" style="98" customWidth="1"/>
    <col min="15382" max="15616" width="9.140625" style="98"/>
    <col min="15617" max="15617" width="26.7109375" style="98" customWidth="1"/>
    <col min="15618" max="15619" width="18.7109375" style="98" customWidth="1"/>
    <col min="15620" max="15620" width="27.7109375" style="98" customWidth="1"/>
    <col min="15621" max="15621" width="15.7109375" style="98" customWidth="1"/>
    <col min="15622" max="15623" width="12.7109375" style="98" customWidth="1"/>
    <col min="15624" max="15624" width="17.7109375" style="98" customWidth="1"/>
    <col min="15625" max="15626" width="15.7109375" style="98" customWidth="1"/>
    <col min="15627" max="15629" width="18.7109375" style="98" customWidth="1"/>
    <col min="15630" max="15637" width="15.85546875" style="98" customWidth="1"/>
    <col min="15638" max="15872" width="9.140625" style="98"/>
    <col min="15873" max="15873" width="26.7109375" style="98" customWidth="1"/>
    <col min="15874" max="15875" width="18.7109375" style="98" customWidth="1"/>
    <col min="15876" max="15876" width="27.7109375" style="98" customWidth="1"/>
    <col min="15877" max="15877" width="15.7109375" style="98" customWidth="1"/>
    <col min="15878" max="15879" width="12.7109375" style="98" customWidth="1"/>
    <col min="15880" max="15880" width="17.7109375" style="98" customWidth="1"/>
    <col min="15881" max="15882" width="15.7109375" style="98" customWidth="1"/>
    <col min="15883" max="15885" width="18.7109375" style="98" customWidth="1"/>
    <col min="15886" max="15893" width="15.85546875" style="98" customWidth="1"/>
    <col min="15894" max="16128" width="9.140625" style="98"/>
    <col min="16129" max="16129" width="26.7109375" style="98" customWidth="1"/>
    <col min="16130" max="16131" width="18.7109375" style="98" customWidth="1"/>
    <col min="16132" max="16132" width="27.7109375" style="98" customWidth="1"/>
    <col min="16133" max="16133" width="15.7109375" style="98" customWidth="1"/>
    <col min="16134" max="16135" width="12.7109375" style="98" customWidth="1"/>
    <col min="16136" max="16136" width="17.7109375" style="98" customWidth="1"/>
    <col min="16137" max="16138" width="15.7109375" style="98" customWidth="1"/>
    <col min="16139" max="16141" width="18.7109375" style="98" customWidth="1"/>
    <col min="16142" max="16149" width="15.85546875" style="98" customWidth="1"/>
    <col min="16150" max="16384" width="9.140625" style="98"/>
  </cols>
  <sheetData>
    <row r="1" spans="1:21" ht="18" x14ac:dyDescent="0.25">
      <c r="A1" s="268" t="s">
        <v>72</v>
      </c>
      <c r="B1" s="269"/>
      <c r="C1" s="269"/>
      <c r="D1" s="269"/>
      <c r="E1" s="269"/>
      <c r="F1" s="269"/>
      <c r="G1" s="269"/>
      <c r="H1" s="269"/>
      <c r="I1" s="269"/>
      <c r="J1" s="270"/>
      <c r="K1" s="268" t="s">
        <v>72</v>
      </c>
      <c r="L1" s="269"/>
      <c r="M1" s="269"/>
      <c r="N1" s="269"/>
      <c r="O1" s="269"/>
      <c r="P1" s="269"/>
      <c r="Q1" s="269"/>
      <c r="R1" s="269"/>
      <c r="S1" s="269"/>
      <c r="T1" s="269"/>
      <c r="U1" s="270"/>
    </row>
    <row r="2" spans="1:21" ht="18" x14ac:dyDescent="0.25">
      <c r="A2" s="271" t="s">
        <v>170</v>
      </c>
      <c r="B2" s="272"/>
      <c r="C2" s="272"/>
      <c r="D2" s="272"/>
      <c r="E2" s="272"/>
      <c r="F2" s="272"/>
      <c r="G2" s="272"/>
      <c r="H2" s="272"/>
      <c r="I2" s="272"/>
      <c r="J2" s="273"/>
      <c r="K2" s="271" t="s">
        <v>171</v>
      </c>
      <c r="L2" s="272"/>
      <c r="M2" s="272"/>
      <c r="N2" s="272"/>
      <c r="O2" s="272"/>
      <c r="P2" s="272"/>
      <c r="Q2" s="272"/>
      <c r="R2" s="272"/>
      <c r="S2" s="272"/>
      <c r="T2" s="272"/>
      <c r="U2" s="273"/>
    </row>
    <row r="3" spans="1:21" x14ac:dyDescent="0.25">
      <c r="A3" s="114"/>
      <c r="B3" s="115"/>
      <c r="C3" s="116"/>
      <c r="D3" s="274" t="s">
        <v>172</v>
      </c>
      <c r="E3" s="274"/>
      <c r="F3" s="274"/>
      <c r="G3" s="116"/>
      <c r="H3" s="115"/>
      <c r="I3" s="115"/>
      <c r="J3" s="117"/>
      <c r="K3" s="114"/>
      <c r="L3" s="115"/>
      <c r="M3" s="116"/>
      <c r="N3" s="274" t="s">
        <v>172</v>
      </c>
      <c r="O3" s="274"/>
      <c r="P3" s="274"/>
      <c r="Q3" s="274"/>
      <c r="R3" s="116"/>
      <c r="S3" s="116"/>
      <c r="T3" s="115"/>
      <c r="U3" s="117"/>
    </row>
    <row r="4" spans="1:21" x14ac:dyDescent="0.25">
      <c r="A4" s="118"/>
      <c r="B4" s="119"/>
      <c r="C4" s="119"/>
      <c r="D4" s="119"/>
      <c r="E4" s="119"/>
      <c r="F4" s="275" t="s">
        <v>80</v>
      </c>
      <c r="G4" s="275"/>
      <c r="H4" s="275"/>
      <c r="I4" s="275"/>
      <c r="J4" s="276"/>
      <c r="K4" s="120"/>
      <c r="L4" s="121"/>
      <c r="M4" s="121"/>
      <c r="N4" s="121"/>
      <c r="O4" s="121"/>
      <c r="P4" s="121"/>
      <c r="Q4" s="121"/>
      <c r="R4" s="121"/>
      <c r="S4" s="121"/>
      <c r="T4" s="121"/>
      <c r="U4" s="122"/>
    </row>
    <row r="5" spans="1:21" ht="15" customHeight="1" x14ac:dyDescent="0.25">
      <c r="A5" s="123" t="s">
        <v>81</v>
      </c>
      <c r="B5" s="277" t="s">
        <v>82</v>
      </c>
      <c r="C5" s="278"/>
      <c r="D5" s="124" t="s">
        <v>83</v>
      </c>
      <c r="E5" s="125"/>
      <c r="F5" s="124" t="s">
        <v>84</v>
      </c>
      <c r="G5" s="126"/>
      <c r="H5" s="127" t="s">
        <v>85</v>
      </c>
      <c r="I5" s="128" t="s">
        <v>86</v>
      </c>
      <c r="J5" s="128"/>
      <c r="K5" s="123" t="s">
        <v>81</v>
      </c>
      <c r="L5" s="279" t="s">
        <v>82</v>
      </c>
      <c r="M5" s="280"/>
      <c r="N5" s="124" t="s">
        <v>87</v>
      </c>
      <c r="O5" s="126"/>
      <c r="P5" s="281" t="s">
        <v>173</v>
      </c>
      <c r="Q5" s="282"/>
      <c r="R5" s="282"/>
      <c r="S5" s="282"/>
      <c r="T5" s="282"/>
      <c r="U5" s="283"/>
    </row>
    <row r="6" spans="1:21" x14ac:dyDescent="0.25">
      <c r="A6" s="129" t="s">
        <v>88</v>
      </c>
      <c r="B6" s="290" t="s">
        <v>174</v>
      </c>
      <c r="C6" s="291"/>
      <c r="D6" s="130" t="s">
        <v>89</v>
      </c>
      <c r="E6" s="131">
        <v>0.97640958080667295</v>
      </c>
      <c r="F6" s="132" t="s">
        <v>90</v>
      </c>
      <c r="G6" s="133"/>
      <c r="H6" s="134">
        <v>74.5</v>
      </c>
      <c r="I6" s="135">
        <v>32864</v>
      </c>
      <c r="J6" s="136"/>
      <c r="K6" s="129" t="s">
        <v>88</v>
      </c>
      <c r="L6" s="292" t="s">
        <v>174</v>
      </c>
      <c r="M6" s="293"/>
      <c r="N6" s="137">
        <v>38821</v>
      </c>
      <c r="O6" s="138"/>
      <c r="P6" s="284"/>
      <c r="Q6" s="285"/>
      <c r="R6" s="285"/>
      <c r="S6" s="285"/>
      <c r="T6" s="285"/>
      <c r="U6" s="286"/>
    </row>
    <row r="7" spans="1:21" x14ac:dyDescent="0.25">
      <c r="A7" s="129" t="s">
        <v>91</v>
      </c>
      <c r="B7" s="294" t="s">
        <v>92</v>
      </c>
      <c r="C7" s="293"/>
      <c r="D7" s="139" t="s">
        <v>93</v>
      </c>
      <c r="E7" s="140">
        <v>878.34303810704705</v>
      </c>
      <c r="F7" s="132" t="s">
        <v>94</v>
      </c>
      <c r="G7" s="133"/>
      <c r="H7" s="141">
        <v>64</v>
      </c>
      <c r="I7" s="142">
        <v>32863</v>
      </c>
      <c r="J7" s="143"/>
      <c r="K7" s="144" t="s">
        <v>91</v>
      </c>
      <c r="L7" s="295" t="s">
        <v>92</v>
      </c>
      <c r="M7" s="296"/>
      <c r="N7" s="124"/>
      <c r="O7" s="126"/>
      <c r="P7" s="287"/>
      <c r="Q7" s="288"/>
      <c r="R7" s="288"/>
      <c r="S7" s="288"/>
      <c r="T7" s="288"/>
      <c r="U7" s="289"/>
    </row>
    <row r="8" spans="1:21" ht="15.75" x14ac:dyDescent="0.25">
      <c r="A8" s="129" t="s">
        <v>95</v>
      </c>
      <c r="B8" s="303" t="s">
        <v>96</v>
      </c>
      <c r="C8" s="304"/>
      <c r="D8" s="139" t="s">
        <v>97</v>
      </c>
      <c r="E8" s="140">
        <v>1721.5523546898121</v>
      </c>
      <c r="F8" s="132"/>
      <c r="G8" s="133"/>
      <c r="H8" s="128" t="s">
        <v>98</v>
      </c>
      <c r="I8" s="145" t="s">
        <v>86</v>
      </c>
      <c r="J8" s="128" t="s">
        <v>99</v>
      </c>
      <c r="K8" s="146"/>
      <c r="L8" s="147"/>
      <c r="M8" s="147"/>
      <c r="N8" s="147"/>
      <c r="O8" s="147"/>
      <c r="P8" s="147"/>
      <c r="Q8" s="147"/>
      <c r="R8" s="147"/>
      <c r="S8" s="147"/>
      <c r="T8" s="147"/>
      <c r="U8" s="148"/>
    </row>
    <row r="9" spans="1:21" ht="15.75" x14ac:dyDescent="0.25">
      <c r="A9" s="129" t="s">
        <v>100</v>
      </c>
      <c r="B9" s="303" t="s">
        <v>101</v>
      </c>
      <c r="C9" s="304"/>
      <c r="D9" s="139" t="s">
        <v>102</v>
      </c>
      <c r="E9" s="149">
        <v>38821</v>
      </c>
      <c r="F9" s="132" t="s">
        <v>103</v>
      </c>
      <c r="G9" s="133"/>
      <c r="H9" s="141">
        <v>65.88</v>
      </c>
      <c r="I9" s="150">
        <v>41645</v>
      </c>
      <c r="J9" s="151">
        <v>34001</v>
      </c>
      <c r="K9" s="305" t="s">
        <v>104</v>
      </c>
      <c r="L9" s="306"/>
      <c r="M9" s="306"/>
      <c r="N9" s="306"/>
      <c r="O9" s="306"/>
      <c r="P9" s="306"/>
      <c r="Q9" s="306"/>
      <c r="R9" s="306"/>
      <c r="S9" s="306"/>
      <c r="T9" s="306"/>
      <c r="U9" s="307"/>
    </row>
    <row r="10" spans="1:21" x14ac:dyDescent="0.25">
      <c r="A10" s="129" t="s">
        <v>105</v>
      </c>
      <c r="B10" s="294" t="s">
        <v>106</v>
      </c>
      <c r="C10" s="293"/>
      <c r="D10" s="139" t="s">
        <v>107</v>
      </c>
      <c r="E10" s="140">
        <v>0</v>
      </c>
      <c r="F10" s="152" t="s">
        <v>108</v>
      </c>
      <c r="G10" s="153"/>
      <c r="H10" s="154">
        <v>65.88</v>
      </c>
      <c r="I10" s="155">
        <v>41645</v>
      </c>
      <c r="J10" s="156">
        <v>34001</v>
      </c>
      <c r="K10" s="157"/>
      <c r="L10" s="158" t="s">
        <v>109</v>
      </c>
      <c r="M10" s="159"/>
      <c r="N10" s="158" t="s">
        <v>110</v>
      </c>
      <c r="O10" s="159"/>
      <c r="P10" s="158" t="s">
        <v>111</v>
      </c>
      <c r="Q10" s="159"/>
      <c r="R10" s="158" t="s">
        <v>112</v>
      </c>
      <c r="S10" s="159"/>
      <c r="T10" s="158" t="s">
        <v>113</v>
      </c>
      <c r="U10" s="160"/>
    </row>
    <row r="11" spans="1:21" ht="15" customHeight="1" x14ac:dyDescent="0.25">
      <c r="A11" s="308" t="s">
        <v>175</v>
      </c>
      <c r="B11" s="309"/>
      <c r="C11" s="310"/>
      <c r="D11" s="161" t="s">
        <v>114</v>
      </c>
      <c r="E11" s="162">
        <v>38821</v>
      </c>
      <c r="F11" s="124" t="s">
        <v>115</v>
      </c>
      <c r="G11" s="126"/>
      <c r="H11" s="127" t="s">
        <v>116</v>
      </c>
      <c r="I11" s="128" t="s">
        <v>117</v>
      </c>
      <c r="J11" s="128" t="s">
        <v>118</v>
      </c>
      <c r="K11" s="163" t="s">
        <v>119</v>
      </c>
      <c r="L11" s="127" t="s">
        <v>120</v>
      </c>
      <c r="M11" s="127" t="s">
        <v>121</v>
      </c>
      <c r="N11" s="127" t="s">
        <v>120</v>
      </c>
      <c r="O11" s="127" t="s">
        <v>121</v>
      </c>
      <c r="P11" s="127" t="s">
        <v>120</v>
      </c>
      <c r="Q11" s="127" t="s">
        <v>121</v>
      </c>
      <c r="R11" s="127" t="s">
        <v>120</v>
      </c>
      <c r="S11" s="127" t="s">
        <v>121</v>
      </c>
      <c r="T11" s="127" t="s">
        <v>120</v>
      </c>
      <c r="U11" s="127" t="s">
        <v>121</v>
      </c>
    </row>
    <row r="12" spans="1:21" x14ac:dyDescent="0.25">
      <c r="A12" s="311"/>
      <c r="B12" s="312"/>
      <c r="C12" s="313"/>
      <c r="D12" s="125" t="s">
        <v>122</v>
      </c>
      <c r="E12" s="164"/>
      <c r="F12" s="123" t="s">
        <v>123</v>
      </c>
      <c r="G12" s="123"/>
      <c r="H12" s="165">
        <v>2400857.2816457702</v>
      </c>
      <c r="I12" s="165">
        <v>752.41490550255969</v>
      </c>
      <c r="J12" s="165">
        <v>2401609.6965512726</v>
      </c>
      <c r="K12" s="129" t="s">
        <v>124</v>
      </c>
      <c r="L12" s="166">
        <v>995.00000000000011</v>
      </c>
      <c r="M12" s="167">
        <v>497028.76826129522</v>
      </c>
      <c r="N12" s="166">
        <v>1094.4999999999995</v>
      </c>
      <c r="O12" s="167">
        <v>538844.82237255387</v>
      </c>
      <c r="P12" s="166">
        <v>1194.0000000000002</v>
      </c>
      <c r="Q12" s="167">
        <v>580660.876483812</v>
      </c>
      <c r="R12" s="166">
        <v>895.50000000000045</v>
      </c>
      <c r="S12" s="167">
        <v>455212.71415003703</v>
      </c>
      <c r="T12" s="166">
        <v>795.99999999999966</v>
      </c>
      <c r="U12" s="167">
        <v>413396.66003877838</v>
      </c>
    </row>
    <row r="13" spans="1:21" x14ac:dyDescent="0.25">
      <c r="A13" s="311"/>
      <c r="B13" s="312"/>
      <c r="C13" s="313"/>
      <c r="D13" s="168" t="s">
        <v>125</v>
      </c>
      <c r="E13" s="167">
        <v>38500</v>
      </c>
      <c r="F13" s="133" t="s">
        <v>126</v>
      </c>
      <c r="G13" s="129"/>
      <c r="H13" s="169">
        <v>1844946.3142187467</v>
      </c>
      <c r="I13" s="169">
        <v>463.996214015855</v>
      </c>
      <c r="J13" s="169">
        <v>1845410.3104327626</v>
      </c>
      <c r="K13" s="129" t="s">
        <v>127</v>
      </c>
      <c r="L13" s="149">
        <v>788.00000000000034</v>
      </c>
      <c r="M13" s="140">
        <v>388217.22956707404</v>
      </c>
      <c r="N13" s="149">
        <v>866.8000000000003</v>
      </c>
      <c r="O13" s="140">
        <v>421477.97396569262</v>
      </c>
      <c r="P13" s="149">
        <v>945.60000000000014</v>
      </c>
      <c r="Q13" s="140">
        <v>454738.71836431115</v>
      </c>
      <c r="R13" s="149">
        <v>709.19999999999993</v>
      </c>
      <c r="S13" s="140">
        <v>354956.4851684554</v>
      </c>
      <c r="T13" s="149">
        <v>630.40000000000032</v>
      </c>
      <c r="U13" s="140">
        <v>321695.74076983682</v>
      </c>
    </row>
    <row r="14" spans="1:21" ht="15" customHeight="1" x14ac:dyDescent="0.25">
      <c r="A14" s="311"/>
      <c r="B14" s="312"/>
      <c r="C14" s="313"/>
      <c r="D14" s="170" t="s">
        <v>128</v>
      </c>
      <c r="E14" s="140">
        <v>-321</v>
      </c>
      <c r="F14" s="317" t="s">
        <v>176</v>
      </c>
      <c r="G14" s="309"/>
      <c r="H14" s="309"/>
      <c r="I14" s="309"/>
      <c r="J14" s="310"/>
      <c r="K14" s="129" t="s">
        <v>129</v>
      </c>
      <c r="L14" s="149">
        <v>605.00000000000011</v>
      </c>
      <c r="M14" s="140">
        <v>292702.35243953305</v>
      </c>
      <c r="N14" s="149">
        <v>665.5</v>
      </c>
      <c r="O14" s="140">
        <v>318332.92871171579</v>
      </c>
      <c r="P14" s="149">
        <v>725.99999999999977</v>
      </c>
      <c r="Q14" s="140">
        <v>343963.5049838986</v>
      </c>
      <c r="R14" s="149">
        <v>544.50000000000011</v>
      </c>
      <c r="S14" s="140">
        <v>267071.7761673503</v>
      </c>
      <c r="T14" s="149">
        <v>484</v>
      </c>
      <c r="U14" s="140">
        <v>241441.19989516746</v>
      </c>
    </row>
    <row r="15" spans="1:21" x14ac:dyDescent="0.25">
      <c r="A15" s="311"/>
      <c r="B15" s="312"/>
      <c r="C15" s="313"/>
      <c r="D15" s="170" t="s">
        <v>130</v>
      </c>
      <c r="E15" s="171">
        <v>-8.268720537853224E-3</v>
      </c>
      <c r="F15" s="311"/>
      <c r="G15" s="312"/>
      <c r="H15" s="312"/>
      <c r="I15" s="312"/>
      <c r="J15" s="313"/>
      <c r="K15" s="129" t="s">
        <v>131</v>
      </c>
      <c r="L15" s="149">
        <v>313.00000000000011</v>
      </c>
      <c r="M15" s="140">
        <v>154777.72027990414</v>
      </c>
      <c r="N15" s="149">
        <v>344.30000000000018</v>
      </c>
      <c r="O15" s="140">
        <v>169414.95744198878</v>
      </c>
      <c r="P15" s="149">
        <v>375.59999999999991</v>
      </c>
      <c r="Q15" s="140">
        <v>184052.19460407321</v>
      </c>
      <c r="R15" s="149">
        <v>281.70000000000005</v>
      </c>
      <c r="S15" s="140">
        <v>140140.48311781956</v>
      </c>
      <c r="T15" s="149">
        <v>250.39999999999992</v>
      </c>
      <c r="U15" s="140">
        <v>125503.24595573504</v>
      </c>
    </row>
    <row r="16" spans="1:21" x14ac:dyDescent="0.25">
      <c r="A16" s="314"/>
      <c r="B16" s="315"/>
      <c r="C16" s="316"/>
      <c r="D16" s="172"/>
      <c r="E16" s="173"/>
      <c r="F16" s="314"/>
      <c r="G16" s="315"/>
      <c r="H16" s="315"/>
      <c r="I16" s="315"/>
      <c r="J16" s="316"/>
      <c r="K16" s="129" t="s">
        <v>67</v>
      </c>
      <c r="L16" s="149">
        <v>111</v>
      </c>
      <c r="M16" s="140">
        <v>76795.123334033109</v>
      </c>
      <c r="N16" s="149">
        <v>122.10000000000001</v>
      </c>
      <c r="O16" s="140">
        <v>82094.611549577545</v>
      </c>
      <c r="P16" s="149">
        <v>133.19999999999993</v>
      </c>
      <c r="Q16" s="140">
        <v>87394.09976512198</v>
      </c>
      <c r="R16" s="149">
        <v>99.90000000000002</v>
      </c>
      <c r="S16" s="140">
        <v>71495.635118488644</v>
      </c>
      <c r="T16" s="149">
        <v>88.800000000000011</v>
      </c>
      <c r="U16" s="140">
        <v>66196.146902944165</v>
      </c>
    </row>
    <row r="17" spans="1:21" x14ac:dyDescent="0.25">
      <c r="A17" s="174"/>
      <c r="B17" s="175"/>
      <c r="C17" s="175"/>
      <c r="D17" s="175"/>
      <c r="E17" s="176"/>
      <c r="F17" s="177"/>
      <c r="G17" s="175"/>
      <c r="H17" s="175"/>
      <c r="I17" s="175"/>
      <c r="J17" s="178"/>
      <c r="K17" s="129" t="s">
        <v>68</v>
      </c>
      <c r="L17" s="149">
        <v>10.999999999999998</v>
      </c>
      <c r="M17" s="140">
        <v>54071.949612254743</v>
      </c>
      <c r="N17" s="149">
        <v>12.100000000000019</v>
      </c>
      <c r="O17" s="140">
        <v>54621.092418689303</v>
      </c>
      <c r="P17" s="149">
        <v>13.199999999999998</v>
      </c>
      <c r="Q17" s="140">
        <v>55170.23522512387</v>
      </c>
      <c r="R17" s="149">
        <v>9.9000000000000163</v>
      </c>
      <c r="S17" s="140">
        <v>53522.806805820175</v>
      </c>
      <c r="T17" s="149">
        <v>8.7999999999999989</v>
      </c>
      <c r="U17" s="140">
        <v>52973.663999385608</v>
      </c>
    </row>
    <row r="18" spans="1:21" ht="15.75" x14ac:dyDescent="0.25">
      <c r="A18" s="318" t="s">
        <v>132</v>
      </c>
      <c r="B18" s="319"/>
      <c r="C18" s="319"/>
      <c r="D18" s="319"/>
      <c r="E18" s="319"/>
      <c r="F18" s="319"/>
      <c r="G18" s="319"/>
      <c r="H18" s="319"/>
      <c r="I18" s="319"/>
      <c r="J18" s="320"/>
      <c r="K18" s="129" t="s">
        <v>69</v>
      </c>
      <c r="L18" s="149">
        <v>0</v>
      </c>
      <c r="M18" s="140">
        <v>49103.585572785138</v>
      </c>
      <c r="N18" s="149">
        <v>0</v>
      </c>
      <c r="O18" s="140">
        <v>49106.988974258769</v>
      </c>
      <c r="P18" s="149">
        <v>0</v>
      </c>
      <c r="Q18" s="140">
        <v>49110.392375732365</v>
      </c>
      <c r="R18" s="149">
        <v>0</v>
      </c>
      <c r="S18" s="140">
        <v>49100.182171311528</v>
      </c>
      <c r="T18" s="149">
        <v>0</v>
      </c>
      <c r="U18" s="140">
        <v>49096.778769837932</v>
      </c>
    </row>
    <row r="19" spans="1:21" x14ac:dyDescent="0.25">
      <c r="A19" s="128" t="s">
        <v>133</v>
      </c>
      <c r="B19" s="297" t="s">
        <v>134</v>
      </c>
      <c r="C19" s="298"/>
      <c r="D19" s="299"/>
      <c r="E19" s="128" t="s">
        <v>135</v>
      </c>
      <c r="F19" s="297" t="s">
        <v>136</v>
      </c>
      <c r="G19" s="300"/>
      <c r="H19" s="301"/>
      <c r="I19" s="301"/>
      <c r="J19" s="302"/>
      <c r="K19" s="129" t="s">
        <v>137</v>
      </c>
      <c r="L19" s="149">
        <v>1.9999999999999984</v>
      </c>
      <c r="M19" s="140">
        <v>49640.952220185012</v>
      </c>
      <c r="N19" s="149">
        <v>2.2000000000000002</v>
      </c>
      <c r="O19" s="140">
        <v>49731.362191971937</v>
      </c>
      <c r="P19" s="149">
        <v>2.3999999999999977</v>
      </c>
      <c r="Q19" s="140">
        <v>49821.772163758847</v>
      </c>
      <c r="R19" s="149">
        <v>1.7999999999999996</v>
      </c>
      <c r="S19" s="140">
        <v>49550.542248398058</v>
      </c>
      <c r="T19" s="149">
        <v>1.599999999999999</v>
      </c>
      <c r="U19" s="140">
        <v>49460.132276611133</v>
      </c>
    </row>
    <row r="20" spans="1:21" x14ac:dyDescent="0.25">
      <c r="A20" s="179" t="s">
        <v>138</v>
      </c>
      <c r="B20" s="180" t="s">
        <v>139</v>
      </c>
      <c r="C20" s="181"/>
      <c r="D20" s="182"/>
      <c r="E20" s="140">
        <v>12000</v>
      </c>
      <c r="F20" s="183" t="s">
        <v>177</v>
      </c>
      <c r="G20" s="183"/>
      <c r="H20" s="183"/>
      <c r="I20" s="183"/>
      <c r="J20" s="184"/>
      <c r="K20" s="129" t="s">
        <v>140</v>
      </c>
      <c r="L20" s="149">
        <v>52.000000000000014</v>
      </c>
      <c r="M20" s="140">
        <v>57709.769643693449</v>
      </c>
      <c r="N20" s="149">
        <v>57.2</v>
      </c>
      <c r="O20" s="140">
        <v>59979.644369955218</v>
      </c>
      <c r="P20" s="149">
        <v>62.399999999999977</v>
      </c>
      <c r="Q20" s="140">
        <v>62249.519096217002</v>
      </c>
      <c r="R20" s="149">
        <v>46.79999999999999</v>
      </c>
      <c r="S20" s="140">
        <v>55439.894917431659</v>
      </c>
      <c r="T20" s="149">
        <v>41.600000000000009</v>
      </c>
      <c r="U20" s="140">
        <v>53170.020191169897</v>
      </c>
    </row>
    <row r="21" spans="1:21" x14ac:dyDescent="0.25">
      <c r="A21" s="185" t="s">
        <v>138</v>
      </c>
      <c r="B21" s="186" t="s">
        <v>141</v>
      </c>
      <c r="C21" s="187"/>
      <c r="D21" s="188"/>
      <c r="E21" s="140">
        <v>24000</v>
      </c>
      <c r="F21" s="183" t="s">
        <v>177</v>
      </c>
      <c r="G21" s="183"/>
      <c r="H21" s="183"/>
      <c r="I21" s="183"/>
      <c r="J21" s="184"/>
      <c r="K21" s="129" t="s">
        <v>142</v>
      </c>
      <c r="L21" s="149">
        <v>272</v>
      </c>
      <c r="M21" s="140">
        <v>113811.86676416751</v>
      </c>
      <c r="N21" s="149">
        <v>299.2</v>
      </c>
      <c r="O21" s="140">
        <v>126123.70553557322</v>
      </c>
      <c r="P21" s="149">
        <v>326.40000000000003</v>
      </c>
      <c r="Q21" s="140">
        <v>138435.54430697893</v>
      </c>
      <c r="R21" s="149">
        <v>244.79999999999995</v>
      </c>
      <c r="S21" s="140">
        <v>101500.0279927618</v>
      </c>
      <c r="T21" s="149">
        <v>217.60000000000008</v>
      </c>
      <c r="U21" s="140">
        <v>89188.189221356064</v>
      </c>
    </row>
    <row r="22" spans="1:21" x14ac:dyDescent="0.25">
      <c r="A22" s="185" t="s">
        <v>138</v>
      </c>
      <c r="B22" s="186" t="s">
        <v>178</v>
      </c>
      <c r="C22" s="187"/>
      <c r="D22" s="188"/>
      <c r="E22" s="140">
        <v>2500</v>
      </c>
      <c r="F22" s="183" t="s">
        <v>179</v>
      </c>
      <c r="G22" s="183"/>
      <c r="H22" s="183"/>
      <c r="I22" s="183"/>
      <c r="J22" s="184"/>
      <c r="K22" s="129" t="s">
        <v>143</v>
      </c>
      <c r="L22" s="149">
        <v>560.99999999999989</v>
      </c>
      <c r="M22" s="140">
        <v>245971.18036838723</v>
      </c>
      <c r="N22" s="149">
        <v>617.09999999999991</v>
      </c>
      <c r="O22" s="140">
        <v>269369.17325992981</v>
      </c>
      <c r="P22" s="149">
        <v>673.2</v>
      </c>
      <c r="Q22" s="140">
        <v>292767.16615147213</v>
      </c>
      <c r="R22" s="149">
        <v>504.9</v>
      </c>
      <c r="S22" s="140">
        <v>222573.18747684488</v>
      </c>
      <c r="T22" s="149">
        <v>448.80000000000007</v>
      </c>
      <c r="U22" s="140">
        <v>199175.1945853025</v>
      </c>
    </row>
    <row r="23" spans="1:21" x14ac:dyDescent="0.25">
      <c r="A23" s="185"/>
      <c r="B23" s="186"/>
      <c r="C23" s="187"/>
      <c r="D23" s="188"/>
      <c r="E23" s="140"/>
      <c r="F23" s="183"/>
      <c r="G23" s="183"/>
      <c r="H23" s="183"/>
      <c r="I23" s="183"/>
      <c r="J23" s="184"/>
      <c r="K23" s="129" t="s">
        <v>144</v>
      </c>
      <c r="L23" s="149">
        <v>901.00000000000023</v>
      </c>
      <c r="M23" s="140">
        <v>421026.7835824574</v>
      </c>
      <c r="N23" s="149">
        <v>991.10000000000036</v>
      </c>
      <c r="O23" s="140">
        <v>458714.71716402355</v>
      </c>
      <c r="P23" s="149">
        <v>1081.2</v>
      </c>
      <c r="Q23" s="140">
        <v>496402.6507455894</v>
      </c>
      <c r="R23" s="149">
        <v>810.9000000000002</v>
      </c>
      <c r="S23" s="140">
        <v>383338.85000089149</v>
      </c>
      <c r="T23" s="149">
        <v>720.80000000000007</v>
      </c>
      <c r="U23" s="140">
        <v>345650.91641932551</v>
      </c>
    </row>
    <row r="24" spans="1:21" x14ac:dyDescent="0.25">
      <c r="A24" s="185"/>
      <c r="B24" s="186"/>
      <c r="C24" s="187"/>
      <c r="D24" s="188"/>
      <c r="E24" s="140"/>
      <c r="F24" s="183"/>
      <c r="G24" s="183"/>
      <c r="H24" s="183"/>
      <c r="I24" s="183"/>
      <c r="J24" s="184"/>
      <c r="K24" s="189" t="s">
        <v>145</v>
      </c>
      <c r="L24" s="190">
        <v>4611.0000000000009</v>
      </c>
      <c r="M24" s="190">
        <v>2400857.2816457702</v>
      </c>
      <c r="N24" s="190">
        <v>5072.0999999999995</v>
      </c>
      <c r="O24" s="190">
        <v>2597811.9779559299</v>
      </c>
      <c r="P24" s="190">
        <v>5533.2</v>
      </c>
      <c r="Q24" s="190">
        <v>2794766.6742660888</v>
      </c>
      <c r="R24" s="190">
        <v>4149.9000000000015</v>
      </c>
      <c r="S24" s="190">
        <v>2203902.5853356104</v>
      </c>
      <c r="T24" s="190">
        <v>3688.8000000000006</v>
      </c>
      <c r="U24" s="190">
        <v>2006947.8890254502</v>
      </c>
    </row>
    <row r="25" spans="1:21" x14ac:dyDescent="0.25">
      <c r="A25" s="185"/>
      <c r="B25" s="186"/>
      <c r="C25" s="187"/>
      <c r="D25" s="188"/>
      <c r="E25" s="140"/>
      <c r="F25" s="183"/>
      <c r="G25" s="183"/>
      <c r="H25" s="183"/>
      <c r="I25" s="183"/>
      <c r="J25" s="184"/>
      <c r="K25" s="189" t="s">
        <v>146</v>
      </c>
      <c r="L25" s="190">
        <v>3850.0000000000009</v>
      </c>
      <c r="M25" s="190">
        <v>1844946.3142187467</v>
      </c>
      <c r="N25" s="190">
        <v>4235</v>
      </c>
      <c r="O25" s="190">
        <v>2006739.6154739156</v>
      </c>
      <c r="P25" s="190">
        <v>4620</v>
      </c>
      <c r="Q25" s="190">
        <v>2168532.9167290833</v>
      </c>
      <c r="R25" s="190">
        <v>3465.0000000000005</v>
      </c>
      <c r="S25" s="190">
        <v>1683153.012963579</v>
      </c>
      <c r="T25" s="190">
        <v>3080.0000000000005</v>
      </c>
      <c r="U25" s="190">
        <v>1521359.7117084106</v>
      </c>
    </row>
    <row r="26" spans="1:21" x14ac:dyDescent="0.25">
      <c r="A26" s="185"/>
      <c r="B26" s="186"/>
      <c r="C26" s="187"/>
      <c r="D26" s="188"/>
      <c r="E26" s="140"/>
      <c r="F26" s="183"/>
      <c r="G26" s="183"/>
      <c r="H26" s="183"/>
      <c r="I26" s="183"/>
      <c r="J26" s="184"/>
      <c r="K26" s="191"/>
      <c r="L26" s="192"/>
      <c r="M26" s="192"/>
      <c r="N26" s="192"/>
      <c r="O26" s="192"/>
      <c r="P26" s="192"/>
      <c r="Q26" s="192"/>
      <c r="R26" s="192"/>
      <c r="S26" s="192"/>
      <c r="T26" s="192"/>
      <c r="U26" s="193"/>
    </row>
    <row r="27" spans="1:21" ht="15.75" x14ac:dyDescent="0.25">
      <c r="A27" s="185"/>
      <c r="B27" s="186"/>
      <c r="C27" s="187"/>
      <c r="D27" s="188"/>
      <c r="E27" s="140"/>
      <c r="F27" s="183"/>
      <c r="G27" s="183"/>
      <c r="H27" s="183"/>
      <c r="I27" s="183"/>
      <c r="J27" s="184"/>
      <c r="K27" s="305" t="s">
        <v>147</v>
      </c>
      <c r="L27" s="306"/>
      <c r="M27" s="306"/>
      <c r="N27" s="306"/>
      <c r="O27" s="306"/>
      <c r="P27" s="306"/>
      <c r="Q27" s="306"/>
      <c r="R27" s="306"/>
      <c r="S27" s="306"/>
      <c r="T27" s="306"/>
      <c r="U27" s="307"/>
    </row>
    <row r="28" spans="1:21" x14ac:dyDescent="0.25">
      <c r="A28" s="185"/>
      <c r="B28" s="186"/>
      <c r="C28" s="187"/>
      <c r="D28" s="188"/>
      <c r="E28" s="140"/>
      <c r="F28" s="183"/>
      <c r="G28" s="183"/>
      <c r="H28" s="183"/>
      <c r="I28" s="183"/>
      <c r="J28" s="184"/>
      <c r="K28" s="157"/>
      <c r="L28" s="158" t="s">
        <v>109</v>
      </c>
      <c r="M28" s="159"/>
      <c r="N28" s="158" t="s">
        <v>110</v>
      </c>
      <c r="O28" s="159"/>
      <c r="P28" s="158" t="s">
        <v>111</v>
      </c>
      <c r="Q28" s="159"/>
      <c r="R28" s="158" t="s">
        <v>112</v>
      </c>
      <c r="S28" s="159"/>
      <c r="T28" s="158" t="s">
        <v>113</v>
      </c>
      <c r="U28" s="160"/>
    </row>
    <row r="29" spans="1:21" x14ac:dyDescent="0.25">
      <c r="A29" s="185"/>
      <c r="B29" s="186"/>
      <c r="C29" s="187"/>
      <c r="D29" s="188"/>
      <c r="E29" s="140"/>
      <c r="F29" s="183"/>
      <c r="G29" s="183"/>
      <c r="H29" s="183"/>
      <c r="I29" s="183"/>
      <c r="J29" s="184"/>
      <c r="K29" s="163" t="s">
        <v>119</v>
      </c>
      <c r="L29" s="127" t="s">
        <v>120</v>
      </c>
      <c r="M29" s="127" t="s">
        <v>121</v>
      </c>
      <c r="N29" s="127" t="s">
        <v>120</v>
      </c>
      <c r="O29" s="127" t="s">
        <v>121</v>
      </c>
      <c r="P29" s="127" t="s">
        <v>120</v>
      </c>
      <c r="Q29" s="127" t="s">
        <v>121</v>
      </c>
      <c r="R29" s="127" t="s">
        <v>120</v>
      </c>
      <c r="S29" s="127" t="s">
        <v>121</v>
      </c>
      <c r="T29" s="127" t="s">
        <v>120</v>
      </c>
      <c r="U29" s="127" t="s">
        <v>121</v>
      </c>
    </row>
    <row r="30" spans="1:21" x14ac:dyDescent="0.25">
      <c r="A30" s="194"/>
      <c r="B30" s="195"/>
      <c r="C30" s="196"/>
      <c r="D30" s="197"/>
      <c r="E30" s="198"/>
      <c r="F30" s="183"/>
      <c r="G30" s="183"/>
      <c r="H30" s="183"/>
      <c r="I30" s="183"/>
      <c r="J30" s="184"/>
      <c r="K30" s="129" t="s">
        <v>124</v>
      </c>
      <c r="L30" s="166">
        <v>995.00000000000011</v>
      </c>
      <c r="M30" s="167">
        <v>107.08092705995807</v>
      </c>
      <c r="N30" s="166">
        <v>1094.4999999999995</v>
      </c>
      <c r="O30" s="167">
        <v>117.16802590520211</v>
      </c>
      <c r="P30" s="166">
        <v>1194.0000000000002</v>
      </c>
      <c r="Q30" s="167">
        <v>127.25512475044617</v>
      </c>
      <c r="R30" s="166">
        <v>895.50000000000045</v>
      </c>
      <c r="S30" s="167">
        <v>96.993828214714</v>
      </c>
      <c r="T30" s="166">
        <v>795.99999999999966</v>
      </c>
      <c r="U30" s="167">
        <v>86.906729369469971</v>
      </c>
    </row>
    <row r="31" spans="1:21" x14ac:dyDescent="0.25">
      <c r="A31" s="199"/>
      <c r="B31" s="200"/>
      <c r="C31" s="200"/>
      <c r="D31" s="200" t="s">
        <v>148</v>
      </c>
      <c r="E31" s="201">
        <v>38500</v>
      </c>
      <c r="F31" s="202"/>
      <c r="G31" s="202"/>
      <c r="H31" s="202"/>
      <c r="I31" s="202"/>
      <c r="J31" s="203"/>
      <c r="K31" s="129" t="s">
        <v>127</v>
      </c>
      <c r="L31" s="149">
        <v>788.00000000000034</v>
      </c>
      <c r="M31" s="140">
        <v>75.483453367914095</v>
      </c>
      <c r="N31" s="149">
        <v>866.8000000000003</v>
      </c>
      <c r="O31" s="140">
        <v>83.575002864978842</v>
      </c>
      <c r="P31" s="149">
        <v>945.60000000000014</v>
      </c>
      <c r="Q31" s="140">
        <v>91.666552362043547</v>
      </c>
      <c r="R31" s="149">
        <v>709.19999999999993</v>
      </c>
      <c r="S31" s="140">
        <v>67.391903870849333</v>
      </c>
      <c r="T31" s="149">
        <v>630.40000000000032</v>
      </c>
      <c r="U31" s="140">
        <v>59.300354373784593</v>
      </c>
    </row>
    <row r="32" spans="1:21" x14ac:dyDescent="0.25">
      <c r="A32" s="204"/>
      <c r="B32" s="205"/>
      <c r="C32" s="205"/>
      <c r="D32" s="206"/>
      <c r="E32" s="207"/>
      <c r="F32" s="208"/>
      <c r="G32" s="208"/>
      <c r="H32" s="208"/>
      <c r="I32" s="208"/>
      <c r="J32" s="209"/>
      <c r="K32" s="129" t="s">
        <v>129</v>
      </c>
      <c r="L32" s="149">
        <v>605.00000000000011</v>
      </c>
      <c r="M32" s="140">
        <v>103.82520580305105</v>
      </c>
      <c r="N32" s="149">
        <v>665.5</v>
      </c>
      <c r="O32" s="140">
        <v>110.11140559846757</v>
      </c>
      <c r="P32" s="149">
        <v>725.99999999999977</v>
      </c>
      <c r="Q32" s="140">
        <v>116.39760539388409</v>
      </c>
      <c r="R32" s="149">
        <v>544.50000000000011</v>
      </c>
      <c r="S32" s="140">
        <v>97.539006007634484</v>
      </c>
      <c r="T32" s="149">
        <v>484</v>
      </c>
      <c r="U32" s="140">
        <v>91.252806212217976</v>
      </c>
    </row>
    <row r="33" spans="1:21" ht="15.75" x14ac:dyDescent="0.25">
      <c r="A33" s="318" t="s">
        <v>149</v>
      </c>
      <c r="B33" s="319"/>
      <c r="C33" s="319"/>
      <c r="D33" s="319"/>
      <c r="E33" s="319"/>
      <c r="F33" s="319"/>
      <c r="G33" s="319"/>
      <c r="H33" s="319"/>
      <c r="I33" s="319"/>
      <c r="J33" s="320"/>
      <c r="K33" s="129" t="s">
        <v>131</v>
      </c>
      <c r="L33" s="149">
        <v>313.00000000000011</v>
      </c>
      <c r="M33" s="140">
        <v>69.067149706788854</v>
      </c>
      <c r="N33" s="149">
        <v>344.30000000000018</v>
      </c>
      <c r="O33" s="140">
        <v>71.866082911369844</v>
      </c>
      <c r="P33" s="149">
        <v>375.59999999999991</v>
      </c>
      <c r="Q33" s="140">
        <v>74.66501611595082</v>
      </c>
      <c r="R33" s="149">
        <v>281.70000000000005</v>
      </c>
      <c r="S33" s="140">
        <v>66.268216502207878</v>
      </c>
      <c r="T33" s="149">
        <v>250.39999999999992</v>
      </c>
      <c r="U33" s="140">
        <v>63.46928329762693</v>
      </c>
    </row>
    <row r="34" spans="1:21" x14ac:dyDescent="0.25">
      <c r="A34" s="128" t="s">
        <v>133</v>
      </c>
      <c r="B34" s="297" t="s">
        <v>134</v>
      </c>
      <c r="C34" s="298"/>
      <c r="D34" s="299"/>
      <c r="E34" s="128" t="s">
        <v>135</v>
      </c>
      <c r="F34" s="297" t="s">
        <v>136</v>
      </c>
      <c r="G34" s="300"/>
      <c r="H34" s="301"/>
      <c r="I34" s="301"/>
      <c r="J34" s="302"/>
      <c r="K34" s="129" t="s">
        <v>67</v>
      </c>
      <c r="L34" s="149">
        <v>111</v>
      </c>
      <c r="M34" s="140">
        <v>42.050214737731316</v>
      </c>
      <c r="N34" s="149">
        <v>122.10000000000001</v>
      </c>
      <c r="O34" s="140">
        <v>43.010954173109532</v>
      </c>
      <c r="P34" s="149">
        <v>133.19999999999993</v>
      </c>
      <c r="Q34" s="140">
        <v>43.971693608487755</v>
      </c>
      <c r="R34" s="149">
        <v>99.90000000000002</v>
      </c>
      <c r="S34" s="140">
        <v>41.089475302353108</v>
      </c>
      <c r="T34" s="149">
        <v>88.800000000000011</v>
      </c>
      <c r="U34" s="140">
        <v>40.128735866974878</v>
      </c>
    </row>
    <row r="35" spans="1:21" x14ac:dyDescent="0.25">
      <c r="A35" s="179"/>
      <c r="B35" s="180"/>
      <c r="C35" s="181"/>
      <c r="D35" s="210"/>
      <c r="E35" s="167"/>
      <c r="F35" s="211"/>
      <c r="G35" s="211"/>
      <c r="H35" s="211"/>
      <c r="I35" s="211"/>
      <c r="J35" s="212"/>
      <c r="K35" s="129" t="s">
        <v>68</v>
      </c>
      <c r="L35" s="149">
        <v>10.999999999999998</v>
      </c>
      <c r="M35" s="140">
        <v>29.627795159938557</v>
      </c>
      <c r="N35" s="149">
        <v>12.100000000000019</v>
      </c>
      <c r="O35" s="140">
        <v>29.733776065791108</v>
      </c>
      <c r="P35" s="149">
        <v>13.199999999999998</v>
      </c>
      <c r="Q35" s="140">
        <v>29.83975697164367</v>
      </c>
      <c r="R35" s="149">
        <v>9.9000000000000163</v>
      </c>
      <c r="S35" s="140">
        <v>29.521814254085982</v>
      </c>
      <c r="T35" s="149">
        <v>8.7999999999999989</v>
      </c>
      <c r="U35" s="140">
        <v>29.415833348233427</v>
      </c>
    </row>
    <row r="36" spans="1:21" x14ac:dyDescent="0.25">
      <c r="A36" s="185"/>
      <c r="B36" s="186"/>
      <c r="C36" s="187"/>
      <c r="D36" s="213"/>
      <c r="E36" s="140"/>
      <c r="F36" s="183"/>
      <c r="G36" s="183"/>
      <c r="H36" s="183"/>
      <c r="I36" s="183"/>
      <c r="J36" s="184"/>
      <c r="K36" s="129" t="s">
        <v>69</v>
      </c>
      <c r="L36" s="149">
        <v>0</v>
      </c>
      <c r="M36" s="140">
        <v>26.61466183540918</v>
      </c>
      <c r="N36" s="149">
        <v>0</v>
      </c>
      <c r="O36" s="140">
        <v>26.615712251071887</v>
      </c>
      <c r="P36" s="149">
        <v>0</v>
      </c>
      <c r="Q36" s="140">
        <v>26.616762666734587</v>
      </c>
      <c r="R36" s="149">
        <v>0</v>
      </c>
      <c r="S36" s="140">
        <v>26.613611419746473</v>
      </c>
      <c r="T36" s="149">
        <v>0</v>
      </c>
      <c r="U36" s="140">
        <v>26.612561004083769</v>
      </c>
    </row>
    <row r="37" spans="1:21" x14ac:dyDescent="0.25">
      <c r="A37" s="185"/>
      <c r="B37" s="186"/>
      <c r="C37" s="187"/>
      <c r="D37" s="213"/>
      <c r="E37" s="140"/>
      <c r="F37" s="183"/>
      <c r="G37" s="183"/>
      <c r="H37" s="183"/>
      <c r="I37" s="183"/>
      <c r="J37" s="184"/>
      <c r="K37" s="129" t="s">
        <v>137</v>
      </c>
      <c r="L37" s="149">
        <v>1.9999999999999984</v>
      </c>
      <c r="M37" s="140">
        <v>27.555637679085333</v>
      </c>
      <c r="N37" s="149">
        <v>2.2000000000000002</v>
      </c>
      <c r="O37" s="140">
        <v>27.571569751513312</v>
      </c>
      <c r="P37" s="149">
        <v>2.3999999999999977</v>
      </c>
      <c r="Q37" s="140">
        <v>27.587501823941327</v>
      </c>
      <c r="R37" s="149">
        <v>1.7999999999999996</v>
      </c>
      <c r="S37" s="140">
        <v>27.539705606657339</v>
      </c>
      <c r="T37" s="149">
        <v>1.599999999999999</v>
      </c>
      <c r="U37" s="140">
        <v>27.523773534229356</v>
      </c>
    </row>
    <row r="38" spans="1:21" x14ac:dyDescent="0.25">
      <c r="A38" s="185"/>
      <c r="B38" s="186"/>
      <c r="C38" s="187"/>
      <c r="D38" s="213"/>
      <c r="E38" s="140"/>
      <c r="F38" s="183"/>
      <c r="G38" s="183"/>
      <c r="H38" s="183"/>
      <c r="I38" s="183"/>
      <c r="J38" s="184"/>
      <c r="K38" s="129" t="s">
        <v>140</v>
      </c>
      <c r="L38" s="149">
        <v>52.000000000000014</v>
      </c>
      <c r="M38" s="140">
        <v>34.75190336420274</v>
      </c>
      <c r="N38" s="149">
        <v>57.2</v>
      </c>
      <c r="O38" s="140">
        <v>35.151543319112811</v>
      </c>
      <c r="P38" s="149">
        <v>62.399999999999977</v>
      </c>
      <c r="Q38" s="140">
        <v>35.551183274022897</v>
      </c>
      <c r="R38" s="149">
        <v>46.79999999999999</v>
      </c>
      <c r="S38" s="140">
        <v>34.352263409292647</v>
      </c>
      <c r="T38" s="149">
        <v>41.600000000000009</v>
      </c>
      <c r="U38" s="140">
        <v>33.952623454382575</v>
      </c>
    </row>
    <row r="39" spans="1:21" x14ac:dyDescent="0.25">
      <c r="A39" s="185"/>
      <c r="B39" s="186"/>
      <c r="C39" s="187"/>
      <c r="D39" s="213"/>
      <c r="E39" s="140"/>
      <c r="F39" s="183"/>
      <c r="G39" s="183"/>
      <c r="H39" s="183"/>
      <c r="I39" s="183"/>
      <c r="J39" s="184"/>
      <c r="K39" s="129" t="s">
        <v>142</v>
      </c>
      <c r="L39" s="149">
        <v>272</v>
      </c>
      <c r="M39" s="140">
        <v>58.751329003548683</v>
      </c>
      <c r="N39" s="149">
        <v>299.2</v>
      </c>
      <c r="O39" s="140">
        <v>60.92332189704473</v>
      </c>
      <c r="P39" s="149">
        <v>326.40000000000003</v>
      </c>
      <c r="Q39" s="140">
        <v>63.095314790540741</v>
      </c>
      <c r="R39" s="149">
        <v>244.79999999999995</v>
      </c>
      <c r="S39" s="140">
        <v>56.579336110052665</v>
      </c>
      <c r="T39" s="149">
        <v>217.60000000000008</v>
      </c>
      <c r="U39" s="140">
        <v>54.407343216556647</v>
      </c>
    </row>
    <row r="40" spans="1:21" x14ac:dyDescent="0.25">
      <c r="A40" s="185"/>
      <c r="B40" s="186"/>
      <c r="C40" s="187"/>
      <c r="D40" s="213"/>
      <c r="E40" s="140"/>
      <c r="F40" s="183"/>
      <c r="G40" s="183"/>
      <c r="H40" s="183"/>
      <c r="I40" s="183"/>
      <c r="J40" s="184"/>
      <c r="K40" s="129" t="s">
        <v>143</v>
      </c>
      <c r="L40" s="149">
        <v>560.99999999999989</v>
      </c>
      <c r="M40" s="140">
        <v>80.299550601191072</v>
      </c>
      <c r="N40" s="149">
        <v>617.09999999999991</v>
      </c>
      <c r="O40" s="140">
        <v>85.723698761375033</v>
      </c>
      <c r="P40" s="149">
        <v>673.2</v>
      </c>
      <c r="Q40" s="140">
        <v>91.147846921559037</v>
      </c>
      <c r="R40" s="149">
        <v>504.9</v>
      </c>
      <c r="S40" s="140">
        <v>74.875402441007097</v>
      </c>
      <c r="T40" s="149">
        <v>448.80000000000007</v>
      </c>
      <c r="U40" s="140">
        <v>69.451254280823107</v>
      </c>
    </row>
    <row r="41" spans="1:21" x14ac:dyDescent="0.25">
      <c r="A41" s="185"/>
      <c r="B41" s="186"/>
      <c r="C41" s="187"/>
      <c r="D41" s="213"/>
      <c r="E41" s="140"/>
      <c r="F41" s="183"/>
      <c r="G41" s="183"/>
      <c r="H41" s="183"/>
      <c r="I41" s="183"/>
      <c r="J41" s="184"/>
      <c r="K41" s="129" t="s">
        <v>144</v>
      </c>
      <c r="L41" s="149">
        <v>901.00000000000023</v>
      </c>
      <c r="M41" s="140">
        <v>97.307077183740702</v>
      </c>
      <c r="N41" s="149">
        <v>991.10000000000036</v>
      </c>
      <c r="O41" s="140">
        <v>106.31589044280271</v>
      </c>
      <c r="P41" s="149">
        <v>1081.2</v>
      </c>
      <c r="Q41" s="140">
        <v>115.32470370186473</v>
      </c>
      <c r="R41" s="149">
        <v>810.9000000000002</v>
      </c>
      <c r="S41" s="140">
        <v>88.298263924678707</v>
      </c>
      <c r="T41" s="149">
        <v>720.80000000000007</v>
      </c>
      <c r="U41" s="140">
        <v>79.289450665616684</v>
      </c>
    </row>
    <row r="42" spans="1:21" x14ac:dyDescent="0.25">
      <c r="A42" s="185"/>
      <c r="B42" s="186"/>
      <c r="C42" s="187"/>
      <c r="D42" s="213"/>
      <c r="E42" s="140"/>
      <c r="F42" s="183"/>
      <c r="G42" s="183"/>
      <c r="H42" s="183"/>
      <c r="I42" s="183"/>
      <c r="J42" s="184"/>
      <c r="K42" s="189" t="s">
        <v>150</v>
      </c>
      <c r="L42" s="190">
        <v>4611.0000000000009</v>
      </c>
      <c r="M42" s="190">
        <v>752.41490550255969</v>
      </c>
      <c r="N42" s="190">
        <v>5072.0999999999995</v>
      </c>
      <c r="O42" s="190">
        <v>797.76698394183961</v>
      </c>
      <c r="P42" s="190">
        <v>5533.2</v>
      </c>
      <c r="Q42" s="190">
        <v>843.11906238111942</v>
      </c>
      <c r="R42" s="190">
        <v>4149.9000000000015</v>
      </c>
      <c r="S42" s="190">
        <v>707.06282706327966</v>
      </c>
      <c r="T42" s="190">
        <v>3688.8000000000006</v>
      </c>
      <c r="U42" s="190">
        <v>661.71074862399996</v>
      </c>
    </row>
    <row r="43" spans="1:21" x14ac:dyDescent="0.25">
      <c r="A43" s="185"/>
      <c r="B43" s="186"/>
      <c r="C43" s="187"/>
      <c r="D43" s="213"/>
      <c r="E43" s="140"/>
      <c r="F43" s="183"/>
      <c r="G43" s="183"/>
      <c r="H43" s="183"/>
      <c r="I43" s="183"/>
      <c r="J43" s="184"/>
      <c r="K43" s="189" t="s">
        <v>151</v>
      </c>
      <c r="L43" s="190">
        <v>3850.0000000000009</v>
      </c>
      <c r="M43" s="190">
        <v>463.996214015855</v>
      </c>
      <c r="N43" s="190">
        <v>4235</v>
      </c>
      <c r="O43" s="190">
        <v>502.89402357282626</v>
      </c>
      <c r="P43" s="190">
        <v>4620</v>
      </c>
      <c r="Q43" s="190">
        <v>541.79183312979762</v>
      </c>
      <c r="R43" s="190">
        <v>3465.0000000000005</v>
      </c>
      <c r="S43" s="190">
        <v>425.09840445888369</v>
      </c>
      <c r="T43" s="190">
        <v>3080.0000000000005</v>
      </c>
      <c r="U43" s="190">
        <v>386.20059490191232</v>
      </c>
    </row>
    <row r="44" spans="1:21" x14ac:dyDescent="0.25">
      <c r="A44" s="185"/>
      <c r="B44" s="195"/>
      <c r="C44" s="196"/>
      <c r="D44" s="214"/>
      <c r="E44" s="198"/>
      <c r="F44" s="183"/>
      <c r="G44" s="183"/>
      <c r="H44" s="183"/>
      <c r="I44" s="183"/>
      <c r="J44" s="184"/>
      <c r="K44" s="189" t="s">
        <v>152</v>
      </c>
      <c r="L44" s="190">
        <v>4611.0000000000009</v>
      </c>
      <c r="M44" s="190">
        <v>2401609.6965512726</v>
      </c>
      <c r="N44" s="190">
        <v>5072.0999999999995</v>
      </c>
      <c r="O44" s="190">
        <v>2598609.7449398716</v>
      </c>
      <c r="P44" s="190">
        <v>5533.2</v>
      </c>
      <c r="Q44" s="190">
        <v>2795609.7933284701</v>
      </c>
      <c r="R44" s="190">
        <v>4149.9000000000015</v>
      </c>
      <c r="S44" s="190">
        <v>2204609.6481626737</v>
      </c>
      <c r="T44" s="190">
        <v>3688.8000000000006</v>
      </c>
      <c r="U44" s="190">
        <v>2007609.5997740743</v>
      </c>
    </row>
    <row r="45" spans="1:21" x14ac:dyDescent="0.25">
      <c r="A45" s="199"/>
      <c r="B45" s="200"/>
      <c r="C45" s="200"/>
      <c r="D45" s="200" t="s">
        <v>153</v>
      </c>
      <c r="E45" s="201">
        <v>0</v>
      </c>
      <c r="F45" s="202"/>
      <c r="G45" s="202"/>
      <c r="H45" s="202"/>
      <c r="I45" s="202"/>
      <c r="J45" s="203"/>
      <c r="K45" s="189" t="s">
        <v>154</v>
      </c>
      <c r="L45" s="190">
        <v>3850.0000000000009</v>
      </c>
      <c r="M45" s="190">
        <v>1845410.3104327626</v>
      </c>
      <c r="N45" s="190">
        <v>4235</v>
      </c>
      <c r="O45" s="190">
        <v>2007242.5094974884</v>
      </c>
      <c r="P45" s="190">
        <v>4620</v>
      </c>
      <c r="Q45" s="190">
        <v>2169074.708562213</v>
      </c>
      <c r="R45" s="190">
        <v>3465.0000000000005</v>
      </c>
      <c r="S45" s="190">
        <v>1683578.111368038</v>
      </c>
      <c r="T45" s="190">
        <v>3080.0000000000005</v>
      </c>
      <c r="U45" s="190">
        <v>1521745.9123033124</v>
      </c>
    </row>
  </sheetData>
  <mergeCells count="27">
    <mergeCell ref="B34:D34"/>
    <mergeCell ref="F34:J34"/>
    <mergeCell ref="B8:C8"/>
    <mergeCell ref="B9:C9"/>
    <mergeCell ref="K9:U9"/>
    <mergeCell ref="B10:C10"/>
    <mergeCell ref="A11:C16"/>
    <mergeCell ref="F14:J16"/>
    <mergeCell ref="A18:J18"/>
    <mergeCell ref="B19:D19"/>
    <mergeCell ref="F19:J19"/>
    <mergeCell ref="K27:U27"/>
    <mergeCell ref="A33:J33"/>
    <mergeCell ref="F4:J4"/>
    <mergeCell ref="B5:C5"/>
    <mergeCell ref="L5:M5"/>
    <mergeCell ref="P5:U7"/>
    <mergeCell ref="B6:C6"/>
    <mergeCell ref="L6:M6"/>
    <mergeCell ref="B7:C7"/>
    <mergeCell ref="L7:M7"/>
    <mergeCell ref="A1:J1"/>
    <mergeCell ref="K1:U1"/>
    <mergeCell ref="A2:J2"/>
    <mergeCell ref="K2:U2"/>
    <mergeCell ref="D3:F3"/>
    <mergeCell ref="N3:Q3"/>
  </mergeCells>
  <conditionalFormatting sqref="F4:J4">
    <cfRule type="containsText" dxfId="3" priority="1" stopIfTrue="1" operator="containsText" text="PEAK DAY">
      <formula>NOT(ISERROR(SEARCH("PEAK DAY",F4)))</formula>
    </cfRule>
  </conditionalFormatting>
  <conditionalFormatting sqref="J9">
    <cfRule type="cellIs" dxfId="2" priority="4" stopIfTrue="1" operator="greaterThanOrEqual">
      <formula>#REF!</formula>
    </cfRule>
  </conditionalFormatting>
  <conditionalFormatting sqref="J10">
    <cfRule type="cellIs" dxfId="1" priority="3" stopIfTrue="1" operator="greaterThanOrEqual">
      <formula>#REF!</formula>
    </cfRule>
  </conditionalFormatting>
  <conditionalFormatting sqref="H9">
    <cfRule type="cellIs" dxfId="0" priority="2" stopIfTrue="1" operator="greaterThanOrEqual">
      <formula>#REF!</formula>
    </cfRule>
  </conditionalFormatting>
  <pageMargins left="0.7" right="0.7" top="0.75" bottom="0.75" header="0.3" footer="0.3"/>
  <pageSetup scale="66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35"/>
  <sheetViews>
    <sheetView topLeftCell="A13" workbookViewId="0">
      <selection activeCell="D35" sqref="D35"/>
    </sheetView>
  </sheetViews>
  <sheetFormatPr defaultRowHeight="12.75" x14ac:dyDescent="0.2"/>
  <cols>
    <col min="4" max="4" width="11.28515625" bestFit="1" customWidth="1"/>
  </cols>
  <sheetData>
    <row r="3" spans="3:4" x14ac:dyDescent="0.2">
      <c r="C3" t="s">
        <v>193</v>
      </c>
    </row>
    <row r="4" spans="3:4" x14ac:dyDescent="0.2">
      <c r="C4" t="s">
        <v>194</v>
      </c>
    </row>
    <row r="5" spans="3:4" x14ac:dyDescent="0.2">
      <c r="C5" s="20">
        <v>42095</v>
      </c>
      <c r="D5" s="229">
        <v>7203.1090276233899</v>
      </c>
    </row>
    <row r="6" spans="3:4" x14ac:dyDescent="0.2">
      <c r="C6" s="20">
        <v>42096</v>
      </c>
      <c r="D6" s="229">
        <v>6563.6685719019488</v>
      </c>
    </row>
    <row r="7" spans="3:4" x14ac:dyDescent="0.2">
      <c r="C7" s="20">
        <v>42097</v>
      </c>
      <c r="D7" s="229">
        <v>5885.4274002630154</v>
      </c>
    </row>
    <row r="8" spans="3:4" x14ac:dyDescent="0.2">
      <c r="C8" s="20">
        <v>42098</v>
      </c>
      <c r="D8" s="229">
        <v>5438.2550728779615</v>
      </c>
    </row>
    <row r="9" spans="3:4" x14ac:dyDescent="0.2">
      <c r="C9" s="20">
        <v>42099</v>
      </c>
      <c r="D9" s="229">
        <v>5265.5210529498154</v>
      </c>
    </row>
    <row r="10" spans="3:4" x14ac:dyDescent="0.2">
      <c r="C10" s="20">
        <v>42100</v>
      </c>
      <c r="D10" s="229">
        <v>5366.2823153030567</v>
      </c>
    </row>
    <row r="11" spans="3:4" x14ac:dyDescent="0.2">
      <c r="C11" s="20">
        <v>42101</v>
      </c>
      <c r="D11" s="229">
        <v>5363.8735818115729</v>
      </c>
    </row>
    <row r="12" spans="3:4" x14ac:dyDescent="0.2">
      <c r="C12" s="20">
        <v>42102</v>
      </c>
      <c r="D12" s="229">
        <v>5415.5042934877438</v>
      </c>
    </row>
    <row r="13" spans="3:4" x14ac:dyDescent="0.2">
      <c r="C13" s="20">
        <v>42103</v>
      </c>
      <c r="D13" s="229">
        <v>5035.8878201189618</v>
      </c>
    </row>
    <row r="14" spans="3:4" x14ac:dyDescent="0.2">
      <c r="C14" s="20">
        <v>42104</v>
      </c>
      <c r="D14" s="229">
        <v>4537.9864904628694</v>
      </c>
    </row>
    <row r="15" spans="3:4" x14ac:dyDescent="0.2">
      <c r="C15" s="20">
        <v>42105</v>
      </c>
      <c r="D15" s="229">
        <v>4221.0804335142248</v>
      </c>
    </row>
    <row r="16" spans="3:4" x14ac:dyDescent="0.2">
      <c r="C16" s="20">
        <v>42106</v>
      </c>
      <c r="D16" s="229">
        <v>4151.0975925168441</v>
      </c>
    </row>
    <row r="17" spans="3:4" x14ac:dyDescent="0.2">
      <c r="C17" s="20">
        <v>42107</v>
      </c>
      <c r="D17" s="229">
        <v>4317.550784082724</v>
      </c>
    </row>
    <row r="18" spans="3:4" x14ac:dyDescent="0.2">
      <c r="C18" s="20">
        <v>42108</v>
      </c>
      <c r="D18" s="229">
        <v>4362.5531994484418</v>
      </c>
    </row>
    <row r="19" spans="3:4" x14ac:dyDescent="0.2">
      <c r="C19" s="20">
        <v>42109</v>
      </c>
      <c r="D19" s="229">
        <v>4201.3917616143553</v>
      </c>
    </row>
    <row r="20" spans="3:4" x14ac:dyDescent="0.2">
      <c r="C20" s="20">
        <v>42110</v>
      </c>
      <c r="D20" s="229">
        <v>4018.1126732446792</v>
      </c>
    </row>
    <row r="21" spans="3:4" x14ac:dyDescent="0.2">
      <c r="C21" s="20">
        <v>42111</v>
      </c>
      <c r="D21" s="229">
        <v>3589.7559726950981</v>
      </c>
    </row>
    <row r="22" spans="3:4" x14ac:dyDescent="0.2">
      <c r="C22" s="20">
        <v>42112</v>
      </c>
      <c r="D22" s="229">
        <v>3292.5969445224514</v>
      </c>
    </row>
    <row r="23" spans="3:4" x14ac:dyDescent="0.2">
      <c r="C23" s="20">
        <v>42113</v>
      </c>
      <c r="D23" s="229">
        <v>3245.2904079613227</v>
      </c>
    </row>
    <row r="24" spans="3:4" x14ac:dyDescent="0.2">
      <c r="C24" s="20">
        <v>42114</v>
      </c>
      <c r="D24" s="229">
        <v>3419.5701363731932</v>
      </c>
    </row>
    <row r="25" spans="3:4" x14ac:dyDescent="0.2">
      <c r="C25" s="20">
        <v>42115</v>
      </c>
      <c r="D25" s="229">
        <v>3470.1688397315061</v>
      </c>
    </row>
    <row r="26" spans="3:4" x14ac:dyDescent="0.2">
      <c r="C26" s="20">
        <v>42116</v>
      </c>
      <c r="D26" s="229">
        <v>3560.103109979178</v>
      </c>
    </row>
    <row r="27" spans="3:4" x14ac:dyDescent="0.2">
      <c r="C27" s="20">
        <v>42117</v>
      </c>
      <c r="D27" s="229">
        <v>3225.40197653313</v>
      </c>
    </row>
    <row r="28" spans="3:4" x14ac:dyDescent="0.2">
      <c r="C28" s="20">
        <v>42118</v>
      </c>
      <c r="D28" s="229">
        <v>2742.8406728216546</v>
      </c>
    </row>
    <row r="29" spans="3:4" x14ac:dyDescent="0.2">
      <c r="C29" s="20">
        <v>42119</v>
      </c>
      <c r="D29" s="229">
        <v>2436.9009967575012</v>
      </c>
    </row>
    <row r="30" spans="3:4" x14ac:dyDescent="0.2">
      <c r="C30" s="20">
        <v>42120</v>
      </c>
      <c r="D30" s="229">
        <v>2392.0782112908355</v>
      </c>
    </row>
    <row r="31" spans="3:4" x14ac:dyDescent="0.2">
      <c r="C31" s="20">
        <v>42121</v>
      </c>
      <c r="D31" s="229">
        <v>2559.595804603744</v>
      </c>
    </row>
    <row r="32" spans="3:4" x14ac:dyDescent="0.2">
      <c r="C32" s="20">
        <v>42122</v>
      </c>
      <c r="D32" s="229">
        <v>2605.2487095664937</v>
      </c>
    </row>
    <row r="33" spans="3:4" x14ac:dyDescent="0.2">
      <c r="C33" s="20">
        <v>42123</v>
      </c>
      <c r="D33" s="229">
        <v>2691.6086219215185</v>
      </c>
    </row>
    <row r="34" spans="3:4" x14ac:dyDescent="0.2">
      <c r="C34" s="20">
        <v>42124</v>
      </c>
      <c r="D34" s="230">
        <v>2362.9427340042234</v>
      </c>
    </row>
    <row r="35" spans="3:4" x14ac:dyDescent="0.2">
      <c r="D35" s="229">
        <f>SUM(D5:D34)</f>
        <v>122941.40520998344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TGTStorCost</vt:lpstr>
      <vt:lpstr>Hist</vt:lpstr>
      <vt:lpstr>TGP Plan</vt:lpstr>
      <vt:lpstr>TGT Data tab</vt:lpstr>
      <vt:lpstr>TGT Data tab (2)</vt:lpstr>
      <vt:lpstr>Normalized Sales 2014-15</vt:lpstr>
      <vt:lpstr>Fred short term</vt:lpstr>
      <vt:lpstr>Hist!Print_Area</vt:lpstr>
      <vt:lpstr>'TGP Plan'!Print_Area</vt:lpstr>
      <vt:lpstr>TGTStorCost!Print_Area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Atmos Energy</dc:creator>
  <cp:lastModifiedBy>Eric  Wilen</cp:lastModifiedBy>
  <cp:lastPrinted>2015-12-04T14:49:26Z</cp:lastPrinted>
  <dcterms:created xsi:type="dcterms:W3CDTF">1999-08-29T23:56:55Z</dcterms:created>
  <dcterms:modified xsi:type="dcterms:W3CDTF">2015-12-04T14:49:44Z</dcterms:modified>
</cp:coreProperties>
</file>